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1" activeTab="1"/>
  </bookViews>
  <sheets>
    <sheet name="Inputs" sheetId="1" state="hidden" r:id="rId3"/>
    <sheet name="Detailed Model" sheetId="2" state="visible" r:id="rId4"/>
    <sheet name="Trend Analysis" sheetId="3" state="hidden" r:id="rId5"/>
    <sheet name="KPI's &amp; Charts" sheetId="4" state="hidden" r:id="rId6"/>
    <sheet name="Master Request LIst" sheetId="5" state="hidden" r:id="rId7"/>
    <sheet name="Asset Codes" sheetId="6" state="visible" r:id="rId8"/>
  </sheets>
  <definedNames>
    <definedName function="false" hidden="false" name="_P" vbProcedure="false">'"$#ref'!$a$1</definedName>
    <definedName function="false" hidden="false" localSheetId="0" name="ashish" vbProcedure="false">Inputs!$J$6:$AF$6</definedName>
    <definedName function="false" hidden="false" localSheetId="0" name="DRes" vbProcedure="false">Inputs!$A$24</definedName>
    <definedName function="false" hidden="false" localSheetId="0" name="html" vbProcedure="false">Inputs!$J$6:$AF$6</definedName>
    <definedName function="false" hidden="false" localSheetId="0" name="htmlnew" vbProcedure="false">Inputs!$J$6:$AF$6</definedName>
    <definedName function="false" hidden="false" localSheetId="0" name="HTML_Control" vbProcedure="false">Inputs!$AC$5:$CR$48</definedName>
    <definedName function="false" hidden="false" localSheetId="0" name="IQRX6" vbProcedure="false">Inputs!$X$7:$X$258</definedName>
    <definedName function="false" hidden="false" localSheetId="0" name="IQRY6" vbProcedure="false">Inputs!$Y$7:$Y$258</definedName>
    <definedName function="false" hidden="false" localSheetId="0" name="IQRZ6" vbProcedure="false">Inputs!$Z$7:$Z$258</definedName>
    <definedName function="false" hidden="false" localSheetId="0" name="JUNK" vbProcedure="false">Inputs!$TCA$1</definedName>
    <definedName function="false" hidden="false" localSheetId="0" name="newhtml" vbProcedure="false">Inputs!$J$6:$AF$6</definedName>
    <definedName function="false" hidden="false" localSheetId="0" name="oldhtl" vbProcedure="false">Inputs!$J$6:$AF$6</definedName>
    <definedName function="false" hidden="false" localSheetId="0" name="sadsadsa" vbProcedure="false">Inputs!$J$6:$AF$6</definedName>
    <definedName function="false" hidden="false" localSheetId="0" name="sdcds" vbProcedure="false">Inputs!$J$6:$AF$6</definedName>
    <definedName function="false" hidden="false" localSheetId="0" name="tdc" vbProcedure="false">Inputs!$A$24</definedName>
    <definedName function="false" hidden="false" localSheetId="1" name="ashish" vbProcedure="false">'Detailed Model'!$J$6:$AF$6</definedName>
    <definedName function="false" hidden="false" localSheetId="1" name="DRes" vbProcedure="false">'Detailed Model'!$A$24</definedName>
    <definedName function="false" hidden="false" localSheetId="1" name="html" vbProcedure="false">'Detailed Model'!$J$6:$AF$6</definedName>
    <definedName function="false" hidden="false" localSheetId="1" name="htmlnew" vbProcedure="false">'Detailed Model'!$J$6:$AF$6</definedName>
    <definedName function="false" hidden="false" localSheetId="1" name="HTML_Control" vbProcedure="false">'Detailed Model'!$AC$5:$CR$48</definedName>
    <definedName function="false" hidden="false" localSheetId="1" name="IQRX6" vbProcedure="false">'Detailed Model'!$X$7:$X$258</definedName>
    <definedName function="false" hidden="false" localSheetId="1" name="IQRY6" vbProcedure="false">'Detailed Model'!$Y$7:$Y$258</definedName>
    <definedName function="false" hidden="false" localSheetId="1" name="IQRZ6" vbProcedure="false">'Detailed Model'!$Z$7:$Z$258</definedName>
    <definedName function="false" hidden="false" localSheetId="1" name="JUNK" vbProcedure="false">'Detailed Model'!$TCA$1</definedName>
    <definedName function="false" hidden="false" localSheetId="1" name="newhtml" vbProcedure="false">'Detailed Model'!$J$6:$AF$6</definedName>
    <definedName function="false" hidden="false" localSheetId="1" name="oldhtl" vbProcedure="false">'Detailed Model'!$J$6:$AF$6</definedName>
    <definedName function="false" hidden="false" localSheetId="1" name="sadsadsa" vbProcedure="false">'Detailed Model'!$J$6:$AF$6</definedName>
    <definedName function="false" hidden="false" localSheetId="1" name="sdcds" vbProcedure="false">'Detailed Model'!$J$6:$AF$6</definedName>
    <definedName function="false" hidden="false" localSheetId="1" name="tdc" vbProcedure="false">'Detailed Model'!$A$24</definedName>
    <definedName function="false" hidden="false" localSheetId="2" name="ashish" vbProcedure="false">'Trend Analysis'!$J$6:$AF$6</definedName>
    <definedName function="false" hidden="false" localSheetId="2" name="DRes" vbProcedure="false">'Trend Analysis'!$A$24</definedName>
    <definedName function="false" hidden="false" localSheetId="2" name="html" vbProcedure="false">'Trend Analysis'!$J$6:$AF$6</definedName>
    <definedName function="false" hidden="false" localSheetId="2" name="htmlnew" vbProcedure="false">'Trend Analysis'!$J$6:$AF$6</definedName>
    <definedName function="false" hidden="false" localSheetId="2" name="HTML_Control" vbProcedure="false">'Trend Analysis'!$AC$5:$CR$48</definedName>
    <definedName function="false" hidden="false" localSheetId="2" name="IQRX6" vbProcedure="false">'Trend Analysis'!$X$7:$X$258</definedName>
    <definedName function="false" hidden="false" localSheetId="2" name="IQRY6" vbProcedure="false">'Trend Analysis'!$Y$7:$Y$258</definedName>
    <definedName function="false" hidden="false" localSheetId="2" name="IQRZ6" vbProcedure="false">'Trend Analysis'!$Z$7:$Z$258</definedName>
    <definedName function="false" hidden="false" localSheetId="2" name="JUNK" vbProcedure="false">'Trend Analysis'!$TCA$1</definedName>
    <definedName function="false" hidden="false" localSheetId="2" name="newhtml" vbProcedure="false">'Trend Analysis'!$J$6:$AF$6</definedName>
    <definedName function="false" hidden="false" localSheetId="2" name="oldhtl" vbProcedure="false">'Trend Analysis'!$J$6:$AF$6</definedName>
    <definedName function="false" hidden="false" localSheetId="2" name="sadsadsa" vbProcedure="false">'Trend Analysis'!$J$6:$AF$6</definedName>
    <definedName function="false" hidden="false" localSheetId="2" name="sdcds" vbProcedure="false">'Trend Analysis'!$J$6:$AF$6</definedName>
    <definedName function="false" hidden="false" localSheetId="2" name="tdc" vbProcedure="false">'Trend Analysis'!$A$24</definedName>
    <definedName function="false" hidden="false" localSheetId="3" name="ashish" vbProcedure="false">'KPI''s &amp; Charts'!$J$6:$AF$6</definedName>
    <definedName function="false" hidden="false" localSheetId="3" name="DRes" vbProcedure="false">'KPI''s &amp; Charts'!$A$24</definedName>
    <definedName function="false" hidden="false" localSheetId="3" name="html" vbProcedure="false">'KPI''s &amp; Charts'!$J$6:$AF$6</definedName>
    <definedName function="false" hidden="false" localSheetId="3" name="htmlnew" vbProcedure="false">'KPI''s &amp; Charts'!$J$6:$AF$6</definedName>
    <definedName function="false" hidden="false" localSheetId="3" name="HTML_Control" vbProcedure="false">'KPI''s &amp; Charts'!$AC$5:$CR$48</definedName>
    <definedName function="false" hidden="false" localSheetId="3" name="IQRX6" vbProcedure="false">'KPI''s &amp; Charts'!$X$7:$X$258</definedName>
    <definedName function="false" hidden="false" localSheetId="3" name="IQRY6" vbProcedure="false">'KPI''s &amp; Charts'!$Y$7:$Y$258</definedName>
    <definedName function="false" hidden="false" localSheetId="3" name="IQRZ6" vbProcedure="false">'KPI''s &amp; Charts'!$Z$7:$Z$258</definedName>
    <definedName function="false" hidden="false" localSheetId="3" name="JUNK" vbProcedure="false">'KPI''s &amp; Charts'!$TCA$1</definedName>
    <definedName function="false" hidden="false" localSheetId="3" name="newhtml" vbProcedure="false">'KPI''s &amp; Charts'!$J$6:$AF$6</definedName>
    <definedName function="false" hidden="false" localSheetId="3" name="oldhtl" vbProcedure="false">'KPI''s &amp; Charts'!$J$6:$AF$6</definedName>
    <definedName function="false" hidden="false" localSheetId="3" name="sadsadsa" vbProcedure="false">'KPI''s &amp; Charts'!$J$6:$AF$6</definedName>
    <definedName function="false" hidden="false" localSheetId="3" name="sdcds" vbProcedure="false">'KPI''s &amp; Charts'!$J$6:$AF$6</definedName>
    <definedName function="false" hidden="false" localSheetId="3" name="tdc" vbProcedure="false">'KPI''s &amp; Charts'!$A$24</definedName>
    <definedName function="false" hidden="false" localSheetId="4" name="ashish" vbProcedure="false">'Master Request LIst'!$J$6:$AF$6</definedName>
    <definedName function="false" hidden="false" localSheetId="4" name="DRes" vbProcedure="false">'Master Request LIst'!$A$24</definedName>
    <definedName function="false" hidden="false" localSheetId="4" name="html" vbProcedure="false">'Master Request LIst'!$J$6:$AF$6</definedName>
    <definedName function="false" hidden="false" localSheetId="4" name="htmlnew" vbProcedure="false">'Master Request LIst'!$J$6:$AF$6</definedName>
    <definedName function="false" hidden="false" localSheetId="4" name="HTML_Control" vbProcedure="false">'Master Request LIst'!$AC$5:$CR$48</definedName>
    <definedName function="false" hidden="false" localSheetId="4" name="IQRX6" vbProcedure="false">'Master Request LIst'!$X$7:$X$258</definedName>
    <definedName function="false" hidden="false" localSheetId="4" name="IQRY6" vbProcedure="false">'Master Request LIst'!$Y$7:$Y$258</definedName>
    <definedName function="false" hidden="false" localSheetId="4" name="IQRZ6" vbProcedure="false">'Master Request LIst'!$Z$7:$Z$258</definedName>
    <definedName function="false" hidden="false" localSheetId="4" name="JUNK" vbProcedure="false">'Master Request LIst'!$TCA$1</definedName>
    <definedName function="false" hidden="false" localSheetId="4" name="newhtml" vbProcedure="false">'Master Request LIst'!$J$6:$AF$6</definedName>
    <definedName function="false" hidden="false" localSheetId="4" name="oldhtl" vbProcedure="false">'Master Request LIst'!$J$6:$AF$6</definedName>
    <definedName function="false" hidden="false" localSheetId="4" name="sadsadsa" vbProcedure="false">'Master Request LIst'!$J$6:$AF$6</definedName>
    <definedName function="false" hidden="false" localSheetId="4" name="sdcds" vbProcedure="false">'Master Request LIst'!$J$6:$AF$6</definedName>
    <definedName function="false" hidden="false" localSheetId="4" name="tdc" vbProcedure="false">'Master Request LIst'!$A$24</definedName>
    <definedName function="false" hidden="false" localSheetId="5" name="ashish" vbProcedure="false">'Asset Codes'!$J$6:$AF$6</definedName>
    <definedName function="false" hidden="false" localSheetId="5" name="DRes" vbProcedure="false">'Asset Codes'!$A$24</definedName>
    <definedName function="false" hidden="false" localSheetId="5" name="html" vbProcedure="false">'Asset Codes'!$J$6:$AF$6</definedName>
    <definedName function="false" hidden="false" localSheetId="5" name="htmlnew" vbProcedure="false">'Asset Codes'!$J$6:$AF$6</definedName>
    <definedName function="false" hidden="false" localSheetId="5" name="HTML_Control" vbProcedure="false">'Asset Codes'!$AC$5:$CR$48</definedName>
    <definedName function="false" hidden="false" localSheetId="5" name="IQRX6" vbProcedure="false">'Asset Codes'!$X$7:$X$258</definedName>
    <definedName function="false" hidden="false" localSheetId="5" name="IQRY6" vbProcedure="false">'Asset Codes'!$Y$7:$Y$258</definedName>
    <definedName function="false" hidden="false" localSheetId="5" name="IQRZ6" vbProcedure="false">'Asset Codes'!$Z$7:$Z$258</definedName>
    <definedName function="false" hidden="false" localSheetId="5" name="JUNK" vbProcedure="false">'Asset Codes'!$TCA$1</definedName>
    <definedName function="false" hidden="false" localSheetId="5" name="newhtml" vbProcedure="false">'Asset Codes'!$J$6:$AF$6</definedName>
    <definedName function="false" hidden="false" localSheetId="5" name="oldhtl" vbProcedure="false">'Asset Codes'!$J$6:$AF$6</definedName>
    <definedName function="false" hidden="false" localSheetId="5" name="sadsadsa" vbProcedure="false">'Asset Codes'!$J$6:$AF$6</definedName>
    <definedName function="false" hidden="false" localSheetId="5" name="sdcds" vbProcedure="false">'Asset Codes'!$J$6:$AF$6</definedName>
    <definedName function="false" hidden="false" localSheetId="5" name="tdc" vbProcedure="false">'Asset Codes'!$A$24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<sst xmlns="http://schemas.openxmlformats.org/spreadsheetml/2006/main" count="1122" uniqueCount="365">
  <si>
    <t xml:space="preserve">Financing Programs</t>
  </si>
  <si>
    <t xml:space="preserve">Conventional</t>
  </si>
  <si>
    <t xml:space="preserve">HUD</t>
  </si>
  <si>
    <t xml:space="preserve">SBA</t>
  </si>
  <si>
    <t xml:space="preserve">T12</t>
  </si>
  <si>
    <t xml:space="preserve">T6</t>
  </si>
  <si>
    <t xml:space="preserve">T3A</t>
  </si>
  <si>
    <t xml:space="preserve">Op. Proforma</t>
  </si>
  <si>
    <t xml:space="preserve">Helios Proforma</t>
  </si>
  <si>
    <t xml:space="preserve">PROPERTY NAME</t>
  </si>
  <si>
    <t xml:space="preserve">TOTAL UNITS</t>
  </si>
  <si>
    <t xml:space="preserve">Trailing 12 Months</t>
  </si>
  <si>
    <t xml:space="preserve">Trailing 6 Months Annualized</t>
  </si>
  <si>
    <t xml:space="preserve">Trailing 3 Months Annualized</t>
  </si>
  <si>
    <t xml:space="preserve">Operator Proforma</t>
  </si>
  <si>
    <t xml:space="preserve">Asset Codes</t>
  </si>
  <si>
    <t xml:space="preserve">(1/1/2022 - 12/31/2022)</t>
  </si>
  <si>
    <t xml:space="preserve">(6/1/2023 - 5/31/2024)</t>
  </si>
  <si>
    <t xml:space="preserve">(12/1/2023 - 5/31/2024)</t>
  </si>
  <si>
    <t xml:space="preserve">(3/1/24 - 5/31/24)</t>
  </si>
  <si>
    <t xml:space="preserve">DATE RANGE</t>
  </si>
  <si>
    <t xml:space="preserve">CODE RANGE</t>
  </si>
  <si>
    <t xml:space="preserve">DATA RANGE</t>
  </si>
  <si>
    <t xml:space="preserve">$H$1:$BZ$1</t>
  </si>
  <si>
    <t xml:space="preserve">$B$2:$B$500</t>
  </si>
  <si>
    <t xml:space="preserve">$H$2:$BZ$500</t>
  </si>
  <si>
    <t xml:space="preserve">TOTAL BEDS</t>
  </si>
  <si>
    <t xml:space="preserve">DATE FORMULA</t>
  </si>
  <si>
    <t xml:space="preserve">CODE FORMULA</t>
  </si>
  <si>
    <t xml:space="preserve">DATA FORMULA</t>
  </si>
  <si>
    <t xml:space="preserve">Independent Living Units</t>
  </si>
  <si>
    <t xml:space="preserve">Assisted Living Beds</t>
  </si>
  <si>
    <t xml:space="preserve">Assisted Living Units</t>
  </si>
  <si>
    <t xml:space="preserve">Memory Care Beds</t>
  </si>
  <si>
    <t xml:space="preserve">Memory Care Units</t>
  </si>
  <si>
    <t xml:space="preserve">AVERAGE MONTHLY CENSUS BY PAYOR</t>
  </si>
  <si>
    <r>
      <rPr>
        <b val="true"/>
        <sz val="14"/>
        <color theme="1"/>
        <rFont val="Aptos Narrow"/>
        <family val="2"/>
        <charset val="1"/>
      </rPr>
      <t xml:space="preserve">AMC</t>
    </r>
    <r>
      <rPr>
        <b val="true"/>
        <vertAlign val="superscript"/>
        <sz val="14"/>
        <color theme="1"/>
        <rFont val="Calibri (Body)"/>
        <family val="0"/>
        <charset val="1"/>
      </rPr>
      <t xml:space="preserve">1</t>
    </r>
  </si>
  <si>
    <t xml:space="preserve">Per Resident</t>
  </si>
  <si>
    <t xml:space="preserve">%-CENSUS</t>
  </si>
  <si>
    <t xml:space="preserve">AMC</t>
  </si>
  <si>
    <t xml:space="preserve">Independent Living Census</t>
  </si>
  <si>
    <t xml:space="preserve">Private Pay</t>
  </si>
  <si>
    <t xml:space="preserve">TOTAL INDEPENDENT LIVING CENSUS</t>
  </si>
  <si>
    <t xml:space="preserve">Assisted Living/Memory Care Census</t>
  </si>
  <si>
    <t xml:space="preserve">Medicaid Waiver</t>
  </si>
  <si>
    <t xml:space="preserve">TOTAL ASSISTED LIVING CENSUS</t>
  </si>
  <si>
    <t xml:space="preserve">Memory Care Census</t>
  </si>
  <si>
    <t xml:space="preserve">TOTAL MEMORY CARE CENSUS</t>
  </si>
  <si>
    <t xml:space="preserve">TOTAL AVERAGE MONTHLY CENSUS</t>
  </si>
  <si>
    <t xml:space="preserve">Independent Occupancy</t>
  </si>
  <si>
    <t xml:space="preserve">Assisted Living Occupancy</t>
  </si>
  <si>
    <t xml:space="preserve">Memory Care Occupancy</t>
  </si>
  <si>
    <t xml:space="preserve">TOTAL OCCUPANCY</t>
  </si>
  <si>
    <r>
      <rPr>
        <b val="true"/>
        <sz val="14"/>
        <rFont val="Aptos Narrow"/>
        <family val="2"/>
        <charset val="1"/>
      </rPr>
      <t xml:space="preserve">Quality Mix</t>
    </r>
    <r>
      <rPr>
        <b val="true"/>
        <vertAlign val="superscript"/>
        <sz val="14"/>
        <rFont val="Calibri (Body)"/>
        <family val="0"/>
        <charset val="1"/>
      </rPr>
      <t xml:space="preserve">2</t>
    </r>
  </si>
  <si>
    <t xml:space="preserve">REVENUE BY PAYOR</t>
  </si>
  <si>
    <t xml:space="preserve">%-REV</t>
  </si>
  <si>
    <t xml:space="preserve"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</si>
  <si>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</si>
  <si>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</si>
  <si>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</si>
  <si>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</si>
  <si>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</si>
  <si>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</si>
  <si>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 xml:space="preserve">Resident Revenue</t>
  </si>
  <si>
    <t xml:space="preserve">Rent Concessions</t>
  </si>
  <si>
    <t xml:space="preserve">TOTAL RENTAL INCOME</t>
  </si>
  <si>
    <t xml:space="preserve">Service Income</t>
  </si>
  <si>
    <t xml:space="preserve">Levels of Care - Assisted Living</t>
  </si>
  <si>
    <t xml:space="preserve">Levels of Care - Memory Care</t>
  </si>
  <si>
    <t xml:space="preserve">Levels of Care Concessions</t>
  </si>
  <si>
    <t xml:space="preserve">Respite</t>
  </si>
  <si>
    <t xml:space="preserve">TOTAL SERVICE INCOME</t>
  </si>
  <si>
    <t xml:space="preserve">Move-in/Community Fees</t>
  </si>
  <si>
    <t xml:space="preserve">Miscellaneous</t>
  </si>
  <si>
    <r>
      <rPr>
        <sz val="14"/>
        <color theme="1"/>
        <rFont val="Aptos Narrow"/>
        <family val="2"/>
        <charset val="1"/>
      </rPr>
      <t xml:space="preserve">Excluded Revenue</t>
    </r>
    <r>
      <rPr>
        <vertAlign val="superscript"/>
        <sz val="14"/>
        <color theme="1"/>
        <rFont val="Calibri (Body)"/>
        <family val="0"/>
        <charset val="1"/>
      </rPr>
      <t xml:space="preserve">3</t>
    </r>
  </si>
  <si>
    <t xml:space="preserve">TOTAL REVENUE</t>
  </si>
  <si>
    <t xml:space="preserve">OPERATING EXPENSES</t>
  </si>
  <si>
    <t xml:space="preserve">Resident Care &amp; Services</t>
  </si>
  <si>
    <t xml:space="preserve">Dietary</t>
  </si>
  <si>
    <t xml:space="preserve">Activities</t>
  </si>
  <si>
    <t xml:space="preserve">Housekeeping</t>
  </si>
  <si>
    <t xml:space="preserve">Laundry</t>
  </si>
  <si>
    <t xml:space="preserve">General Administrative</t>
  </si>
  <si>
    <t xml:space="preserve">Marketing</t>
  </si>
  <si>
    <t xml:space="preserve">Worker's Compensation</t>
  </si>
  <si>
    <t xml:space="preserve">Employee Benefits</t>
  </si>
  <si>
    <t xml:space="preserve">Payroll Taxes</t>
  </si>
  <si>
    <t xml:space="preserve">Insurance</t>
  </si>
  <si>
    <t xml:space="preserve">Real Estate Taxes</t>
  </si>
  <si>
    <t xml:space="preserve">Property, Plant, &amp; Maintenance</t>
  </si>
  <si>
    <t xml:space="preserve">Utilities</t>
  </si>
  <si>
    <t xml:space="preserve">Bad Debt</t>
  </si>
  <si>
    <r>
      <rPr>
        <sz val="14"/>
        <rFont val="Aptos Narrow"/>
        <family val="2"/>
        <charset val="1"/>
      </rPr>
      <t xml:space="preserve">Non-Operational &amp; Excluded</t>
    </r>
    <r>
      <rPr>
        <vertAlign val="superscript"/>
        <sz val="14"/>
        <rFont val="Calibri (Body)"/>
        <family val="0"/>
        <charset val="1"/>
      </rPr>
      <t xml:space="preserve">4</t>
    </r>
  </si>
  <si>
    <t xml:space="preserve">TOTAL ADJUSTED OPERATING EXPENSES</t>
  </si>
  <si>
    <t xml:space="preserve">EBITDARM</t>
  </si>
  <si>
    <r>
      <rPr>
        <sz val="14"/>
        <rFont val="Aptos Narrow"/>
        <family val="2"/>
        <charset val="1"/>
      </rPr>
      <t xml:space="preserve">Management Fee (5%)</t>
    </r>
    <r>
      <rPr>
        <vertAlign val="superscript"/>
        <sz val="14"/>
        <rFont val="Calibri (Body)"/>
        <family val="0"/>
        <charset val="1"/>
      </rPr>
      <t xml:space="preserve">5</t>
    </r>
  </si>
  <si>
    <t xml:space="preserve">EBITDAR</t>
  </si>
  <si>
    <t xml:space="preserve">DAYS:</t>
  </si>
  <si>
    <t xml:space="preserve">MULTIPLIER (annualization factor):</t>
  </si>
  <si>
    <t xml:space="preserve">MONTHS:</t>
  </si>
  <si>
    <t xml:space="preserve">Underwriting Notes:</t>
  </si>
  <si>
    <t xml:space="preserve">Valuation Metrics:</t>
  </si>
  <si>
    <t xml:space="preserve">1) "AMC" defined as average monthly census</t>
  </si>
  <si>
    <t xml:space="preserve">Cap Rate</t>
  </si>
  <si>
    <t xml:space="preserve">Value</t>
  </si>
  <si>
    <t xml:space="preserve">Price/Unit</t>
  </si>
  <si>
    <t xml:space="preserve">2) "Quality Mix" calculated as percentage of non-Medicaid residents</t>
  </si>
  <si>
    <t xml:space="preserve">3) "Excluded Revenue" includes _______________</t>
  </si>
  <si>
    <t xml:space="preserve">4) "Non-Operational &amp; Excluded" includes ___________</t>
  </si>
  <si>
    <t xml:space="preserve">5) Industry Standard 5% management fee applied</t>
  </si>
  <si>
    <t xml:space="preserve">Revenue/Expense Checks:</t>
  </si>
  <si>
    <t xml:space="preserve">Model Rev</t>
  </si>
  <si>
    <t xml:space="preserve">Source Rev</t>
  </si>
  <si>
    <t xml:space="preserve">Difference</t>
  </si>
  <si>
    <t xml:space="preserve">%:</t>
  </si>
  <si>
    <t xml:space="preserve">Model Exp</t>
  </si>
  <si>
    <t xml:space="preserve">Source Exp</t>
  </si>
  <si>
    <t xml:space="preserve">Trend Analysis</t>
  </si>
  <si>
    <t xml:space="preserve">Time Horizon</t>
  </si>
  <si>
    <t xml:space="preserve">Previous Entry</t>
  </si>
  <si>
    <t xml:space="preserve">New Entry</t>
  </si>
  <si>
    <t xml:space="preserve">Months:</t>
  </si>
  <si>
    <t xml:space="preserve">INSERT DATE HERE</t>
  </si>
  <si>
    <t xml:space="preserve">% Change</t>
  </si>
  <si>
    <t xml:space="preserve">$ Difference</t>
  </si>
  <si>
    <t xml:space="preserve">Trailing 12 Months </t>
  </si>
  <si>
    <t xml:space="preserve">Total Average Monthly Census</t>
  </si>
  <si>
    <t xml:space="preserve">Total Occupancy</t>
  </si>
  <si>
    <t xml:space="preserve">Total Revenue</t>
  </si>
  <si>
    <t xml:space="preserve">Avg. Monthly Rent</t>
  </si>
  <si>
    <t xml:space="preserve">Total Adjusted Expense</t>
  </si>
  <si>
    <t xml:space="preserve">EBITDAR </t>
  </si>
  <si>
    <t xml:space="preserve">Margin</t>
  </si>
  <si>
    <t xml:space="preserve">Trailing 6 Months Annualized </t>
  </si>
  <si>
    <t xml:space="preserve">Notes:</t>
  </si>
  <si>
    <t xml:space="preserve">Previous Entry Input Instructions:</t>
  </si>
  <si>
    <t xml:space="preserve">Copy &amp; Paste "Original Model" values &amp; source formatting in new tab</t>
  </si>
  <si>
    <t xml:space="preserve">Use formulas within "New Entry" column to reference "Original Model" values</t>
  </si>
  <si>
    <t xml:space="preserve">Hide "Original Model" tab</t>
  </si>
  <si>
    <t xml:space="preserve">Previous/New Date Entry Instructions:</t>
  </si>
  <si>
    <t xml:space="preserve">Enter end-date of most recent financials used, do not use parenthesis</t>
  </si>
  <si>
    <t xml:space="preserve">Objective:</t>
  </si>
  <si>
    <t xml:space="preserve">Analyze changes between historical financial model and newly updated financial model </t>
  </si>
  <si>
    <t xml:space="preserve"> </t>
  </si>
  <si>
    <t xml:space="preserve">Master Request List – Production Processing</t>
  </si>
  <si>
    <t xml:space="preserve">1.     YE ’22, YE ’23, and T12 P&amp;L statements (excel format)</t>
  </si>
  <si>
    <t xml:space="preserve">2.     YE ’22, YE ’23, and T12 monthly census reports by care type (and by payor source if applicable)</t>
  </si>
  <si>
    <t xml:space="preserve">3.     Current Rent Roll</t>
  </si>
  <si>
    <t xml:space="preserve">4.     Most recent budget/proforma</t>
  </si>
  <si>
    <t xml:space="preserve">5.     Most recent OpCo and PropCo balance sheets</t>
  </si>
  <si>
    <t xml:space="preserve">6.     Most recent loan statement</t>
  </si>
  <si>
    <t xml:space="preserve">7.     Most recent appraisal </t>
  </si>
  <si>
    <t xml:space="preserve">Skilled Nursing Specific: </t>
  </si>
  <si>
    <t xml:space="preserve">1.     Most recent Medicaid Rate Letter</t>
  </si>
  <si>
    <t xml:space="preserve">TABLE</t>
  </si>
  <si>
    <t xml:space="preserve">CODE</t>
  </si>
  <si>
    <t xml:space="preserve">ITEM</t>
  </si>
  <si>
    <t xml:space="preserve">FORMATTED FIELD</t>
  </si>
  <si>
    <t xml:space="preserve">-</t>
  </si>
  <si>
    <t xml:space="preserve">PRICING MODEL IDENTIFICATION</t>
  </si>
  <si>
    <t xml:space="preserve">FIELD</t>
  </si>
  <si>
    <t xml:space="preserve">CENSUS</t>
  </si>
  <si>
    <t xml:space="preserve"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</si>
  <si>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</si>
  <si>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</si>
  <si>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</si>
  <si>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</si>
  <si>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 xml:space="preserve">Resident Days</t>
  </si>
  <si>
    <t xml:space="preserve"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</si>
  <si>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</si>
  <si>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</si>
  <si>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</si>
  <si>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</si>
  <si>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</si>
  <si>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</si>
  <si>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</si>
  <si>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</si>
  <si>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</si>
  <si>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</si>
  <si>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</si>
  <si>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</si>
  <si>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</si>
  <si>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</si>
  <si>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</si>
  <si>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</si>
  <si>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</si>
  <si>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</si>
  <si>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</si>
  <si>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</si>
  <si>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</si>
  <si>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</si>
  <si>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</si>
  <si>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</si>
  <si>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</si>
  <si>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</si>
  <si>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</si>
  <si>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</si>
  <si>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</si>
  <si>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</si>
  <si>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</si>
  <si>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 xml:space="preserve"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</si>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</sst>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m/d/yyyy"/>
    <numFmt numFmtId="166" formatCode="\$#,##0_);[RED]&quot;($&quot;#,##0\)"/>
    <numFmt numFmtId="167" formatCode="0.0"/>
    <numFmt numFmtId="168" formatCode="\$#,##0"/>
    <numFmt numFmtId="169" formatCode="0.0%"/>
    <numFmt numFmtId="170" formatCode="0%"/>
    <numFmt numFmtId="171" formatCode="#,##0"/>
    <numFmt numFmtId="172" formatCode="0.000%"/>
    <numFmt numFmtId="173" formatCode="\$#,##0.00_);[RED]&quot;($&quot;#,##0.00\)"/>
    <numFmt numFmtId="174" formatCode="\$#,##0.00"/>
    <numFmt numFmtId="175" formatCode="0.000"/>
    <numFmt numFmtId="176" formatCode="0.00%"/>
    <numFmt numFmtId="177" formatCode="0"/>
    <numFmt numFmtId="178" formatCode="0.00"/>
    <numFmt numFmtId="179" formatCode="mmm\ yyyy"/>
    <numFmt numFmtId="180" formatCode="_(* #,##0.0_);_(* \(#,##0.0\);_(* \-??_);_(@_)"/>
    <numFmt numFmtId="181" formatCode="#,##0.00;\(#,##0.00\)"/>
    <numFmt numFmtId="182" formatCode="#,##0.0\ %;\(#,##0.0&quot;) &quot;%"/>
    <numFmt numFmtId="183" formatCode="#,##0;\(#,##0\)"/>
    <numFmt numFmtId="184" formatCode="_(* #,##0_);_(* \(#,##0\);_(* \-??_);_(@_)"/>
  </numFmts>
  <fonts count="3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i val="true"/>
      <sz val="14"/>
      <color theme="1"/>
      <name val="Aptos Narrow"/>
      <family val="2"/>
      <charset val="1"/>
    </font>
    <font>
      <sz val="14"/>
      <color theme="0"/>
      <name val="Aptos Narrow"/>
      <family val="2"/>
      <charset val="1"/>
    </font>
    <font>
      <sz val="14"/>
      <name val="Aptos Narrow"/>
      <family val="2"/>
      <charset val="1"/>
    </font>
    <font>
      <b val="true"/>
      <sz val="14"/>
      <color theme="0"/>
      <name val="Aptos Narrow"/>
      <family val="2"/>
      <charset val="1"/>
    </font>
    <font>
      <b val="true"/>
      <sz val="14"/>
      <color theme="1"/>
      <name val="Aptos Narrow"/>
      <family val="2"/>
      <charset val="1"/>
    </font>
    <font>
      <b val="true"/>
      <sz val="14"/>
      <name val="Aptos Narrow"/>
      <family val="2"/>
      <charset val="1"/>
    </font>
    <font>
      <b val="true"/>
      <vertAlign val="superscript"/>
      <sz val="14"/>
      <color theme="1"/>
      <name val="Calibri (Body)"/>
      <family val="0"/>
      <charset val="1"/>
    </font>
    <font>
      <b val="true"/>
      <u val="single"/>
      <sz val="16"/>
      <color theme="1"/>
      <name val="Aptos Narrow"/>
      <family val="2"/>
      <charset val="1"/>
    </font>
    <font>
      <b val="true"/>
      <i val="true"/>
      <sz val="14"/>
      <name val="Aptos Narrow"/>
      <family val="2"/>
      <charset val="1"/>
    </font>
    <font>
      <sz val="14"/>
      <color rgb="FF0066FF"/>
      <name val="Aptos Narrow"/>
      <family val="2"/>
      <charset val="1"/>
    </font>
    <font>
      <i val="true"/>
      <sz val="14"/>
      <color rgb="FF000000"/>
      <name val="Aptos Narrow"/>
      <family val="2"/>
      <charset val="1"/>
    </font>
    <font>
      <b val="true"/>
      <vertAlign val="superscript"/>
      <sz val="14"/>
      <name val="Calibri (Body)"/>
      <family val="0"/>
      <charset val="1"/>
    </font>
    <font>
      <sz val="12"/>
      <color theme="1"/>
      <name val="Aptos Narrow"/>
      <family val="2"/>
      <charset val="1"/>
    </font>
    <font>
      <b val="true"/>
      <i val="true"/>
      <sz val="14"/>
      <color theme="1"/>
      <name val="Aptos Narrow"/>
      <family val="2"/>
      <charset val="1"/>
    </font>
    <font>
      <vertAlign val="superscript"/>
      <sz val="14"/>
      <color theme="1"/>
      <name val="Calibri (Body)"/>
      <family val="0"/>
      <charset val="1"/>
    </font>
    <font>
      <vertAlign val="superscript"/>
      <sz val="14"/>
      <name val="Calibri (Body)"/>
      <family val="0"/>
      <charset val="1"/>
    </font>
    <font>
      <u val="single"/>
      <sz val="14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i val="true"/>
      <sz val="11"/>
      <color theme="1"/>
      <name val="Aptos Narrow"/>
      <family val="2"/>
      <charset val="1"/>
    </font>
    <font>
      <b val="true"/>
      <sz val="16"/>
      <color theme="0"/>
      <name val="Aptos Narrow"/>
      <family val="2"/>
      <charset val="1"/>
    </font>
    <font>
      <b val="true"/>
      <u val="single"/>
      <sz val="14"/>
      <color theme="1"/>
      <name val="Aptos Narrow"/>
      <family val="2"/>
      <charset val="1"/>
    </font>
    <font>
      <sz val="13"/>
      <color theme="1"/>
      <name val="Aptos Narrow"/>
      <family val="2"/>
      <charset val="1"/>
    </font>
    <font>
      <u val="single"/>
      <sz val="12"/>
      <color theme="1"/>
      <name val="Aptos Narrow"/>
      <family val="2"/>
      <charset val="1"/>
    </font>
    <font>
      <sz val="12"/>
      <color theme="1"/>
      <name val="Calibri (Body)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b val="true"/>
      <sz val="14"/>
      <color theme="0"/>
      <name val="Open Sans"/>
      <family val="2"/>
      <charset val="1"/>
    </font>
    <font>
      <b val="true"/>
      <sz val="14"/>
      <name val="Open Sans"/>
      <family val="2"/>
      <charset val="1"/>
    </font>
    <font>
      <sz val="14"/>
      <name val="Open Sans"/>
      <family val="2"/>
      <charset val="1"/>
    </font>
    <font>
      <sz val="14"/>
      <color theme="1"/>
      <name val="Open Sans"/>
      <family val="2"/>
      <charset val="1"/>
    </font>
    <font>
      <b val="true"/>
      <sz val="14"/>
      <color theme="8" tint="-0.5"/>
      <name val="Open Sans"/>
      <family val="2"/>
      <charset val="1"/>
    </font>
    <font>
      <b val="true"/>
      <i val="true"/>
      <sz val="14"/>
      <name val="Open Sans"/>
      <family val="2"/>
      <charset val="1"/>
    </font>
    <font>
      <sz val="14"/>
      <color theme="1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4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9" fillId="5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5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5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6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9" fillId="5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5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5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7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2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2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5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5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5" fillId="2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6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5" fillId="2" borderId="5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5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5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0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7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4" fillId="2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11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70" fontId="11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1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8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10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5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10" fillId="2" borderId="5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0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19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19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15" fillId="2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2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10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5" fillId="2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5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9" fillId="5" borderId="1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5" borderId="1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9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5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4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9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3" borderId="7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5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5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8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5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9" fillId="5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9" fontId="9" fillId="0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5" borderId="1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1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5" fontId="9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2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6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32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9" fontId="32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7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80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3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1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8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1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2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84" fontId="3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2060"/>
      <rgbColor rgb="FF808000"/>
      <rgbColor rgb="FF800080"/>
      <rgbColor rgb="FF008080"/>
      <rgbColor rgb="FFBFBFBF"/>
      <rgbColor rgb="FF808080"/>
      <rgbColor rgb="FF8EA9DB"/>
      <rgbColor rgb="FF993366"/>
      <rgbColor rgb="FFFBE3D6"/>
      <rgbColor rgb="FFE8E8E8"/>
      <rgbColor rgb="FF501649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C6EFCE"/>
      <rgbColor rgb="FFFFEB9C"/>
      <rgbColor rgb="FF99CCFF"/>
      <rgbColor rgb="FFFFC7CE"/>
      <rgbColor rgb="FFCC99FF"/>
      <rgbColor rgb="FFF6C6AD"/>
      <rgbColor rgb="FF3366FF"/>
      <rgbColor rgb="FF46B1E1"/>
      <rgbColor rgb="FF92D050"/>
      <rgbColor rgb="FFFFC000"/>
      <rgbColor rgb="FFFFC001"/>
      <rgbColor rgb="FFF26627"/>
      <rgbColor rgb="FF666699"/>
      <rgbColor rgb="FF969696"/>
      <rgbColor rgb="FF0B3041"/>
      <rgbColor rgb="FF339966"/>
      <rgbColor rgb="FF0D0D0D"/>
      <rgbColor rgb="FF333300"/>
      <rgbColor rgb="FF9C5700"/>
      <rgbColor rgb="FF993366"/>
      <rgbColor rgb="FF333399"/>
      <rgbColor rgb="FF1F37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00390625" defaultRowHeight="15.75" customHeight="true" zeroHeight="false" outlineLevelRow="0" outlineLevelCol="0"/>
  <cols>
    <col collapsed="false" customWidth="true" hidden="false" outlineLevel="0" max="1" min="1" style="0" width="19.38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2</v>
      </c>
    </row>
    <row r="4" customFormat="false" ht="15.7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AF1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2" activeCellId="0" sqref="K122"/>
    </sheetView>
  </sheetViews>
  <sheetFormatPr defaultColWidth="7.3828125" defaultRowHeight="18.75" customHeight="true" zeroHeight="false" outlineLevelRow="1" outlineLevelCol="1"/>
  <cols>
    <col collapsed="false" customWidth="true" hidden="false" outlineLevel="0" max="1" min="1" style="2" width="8.13"/>
    <col collapsed="false" customWidth="true" hidden="false" outlineLevel="0" max="2" min="2" style="2" width="1.51"/>
    <col collapsed="false" customWidth="true" hidden="false" outlineLevel="0" max="3" min="3" style="2" width="56.13"/>
    <col collapsed="false" customWidth="true" hidden="false" outlineLevel="0" max="4" min="4" style="2" width="0.51"/>
    <col collapsed="false" customWidth="true" hidden="true" outlineLevel="0" max="7" min="5" style="2" width="14.87"/>
    <col collapsed="false" customWidth="true" hidden="false" outlineLevel="0" max="8" min="8" style="2" width="0.51"/>
    <col collapsed="false" customWidth="true" hidden="false" outlineLevel="0" max="11" min="9" style="2" width="14.87"/>
    <col collapsed="false" customWidth="true" hidden="false" outlineLevel="0" max="12" min="12" style="2" width="0.51"/>
    <col collapsed="false" customWidth="true" hidden="false" outlineLevel="1" max="15" min="13" style="2" width="14.87"/>
    <col collapsed="false" customWidth="true" hidden="false" outlineLevel="0" max="16" min="16" style="2" width="0.51"/>
    <col collapsed="false" customWidth="true" hidden="false" outlineLevel="1" max="19" min="17" style="2" width="14.87"/>
    <col collapsed="false" customWidth="true" hidden="false" outlineLevel="0" max="20" min="20" style="2" width="0.51"/>
    <col collapsed="false" customWidth="true" hidden="true" outlineLevel="1" max="23" min="21" style="2" width="14.87"/>
    <col collapsed="false" customWidth="true" hidden="true" outlineLevel="0" max="24" min="24" style="2" width="0.51"/>
    <col collapsed="false" customWidth="true" hidden="true" outlineLevel="1" max="27" min="25" style="2" width="14.87"/>
    <col collapsed="false" customWidth="true" hidden="false" outlineLevel="0" max="28" min="28" style="3" width="14.87"/>
    <col collapsed="false" customWidth="true" hidden="false" outlineLevel="0" max="29" min="29" style="2" width="22.88"/>
    <col collapsed="false" customWidth="true" hidden="false" outlineLevel="0" max="30" min="30" style="2" width="24.87"/>
    <col collapsed="false" customWidth="true" hidden="false" outlineLevel="0" max="31" min="31" style="2" width="29.38"/>
    <col collapsed="false" customWidth="true" hidden="false" outlineLevel="0" max="32" min="32" style="2" width="26.62"/>
    <col collapsed="false" customWidth="true" hidden="false" outlineLevel="0" max="33" min="33" style="2" width="14.13"/>
    <col collapsed="false" customWidth="true" hidden="false" outlineLevel="0" max="34" min="34" style="2" width="13.62"/>
    <col collapsed="false" customWidth="false" hidden="false" outlineLevel="0" max="35" min="35" style="2" width="7.38"/>
    <col collapsed="false" customWidth="true" hidden="false" outlineLevel="0" max="36" min="36" style="2" width="14.13"/>
    <col collapsed="false" customWidth="true" hidden="false" outlineLevel="0" max="37" min="37" style="2" width="11.5"/>
    <col collapsed="false" customWidth="false" hidden="false" outlineLevel="0" max="38" min="38" style="2" width="7.38"/>
    <col collapsed="false" customWidth="true" hidden="false" outlineLevel="0" max="39" min="39" style="2" width="14.13"/>
    <col collapsed="false" customWidth="true" hidden="false" outlineLevel="0" max="40" min="40" style="2" width="12"/>
    <col collapsed="false" customWidth="false" hidden="false" outlineLevel="0" max="41" min="41" style="2" width="7.38"/>
    <col collapsed="false" customWidth="true" hidden="false" outlineLevel="0" max="42" min="42" style="2" width="14.13"/>
    <col collapsed="false" customWidth="true" hidden="false" outlineLevel="0" max="43" min="43" style="2" width="11.62"/>
    <col collapsed="false" customWidth="false" hidden="false" outlineLevel="0" max="44" min="44" style="2" width="7.38"/>
    <col collapsed="false" customWidth="true" hidden="false" outlineLevel="0" max="45" min="45" style="2" width="14.13"/>
    <col collapsed="false" customWidth="true" hidden="false" outlineLevel="0" max="46" min="46" style="2" width="8.13"/>
    <col collapsed="false" customWidth="false" hidden="false" outlineLevel="0" max="16384" min="47" style="2" width="7.38"/>
  </cols>
  <sheetData>
    <row r="2" customFormat="false" ht="18.75" hidden="false" customHeight="false" outlineLevel="0" collapsed="false">
      <c r="A2" s="4"/>
      <c r="B2" s="5"/>
      <c r="C2" s="6"/>
      <c r="D2" s="5"/>
      <c r="E2" s="7" t="n">
        <v>44927</v>
      </c>
      <c r="F2" s="7" t="n">
        <v>45291</v>
      </c>
      <c r="G2" s="8" t="n">
        <v>2023</v>
      </c>
      <c r="H2" s="5"/>
      <c r="I2" s="7" t="n">
        <v>45078</v>
      </c>
      <c r="J2" s="7" t="n">
        <v>45443</v>
      </c>
      <c r="K2" s="8" t="s">
        <v>4</v>
      </c>
      <c r="L2" s="5"/>
      <c r="M2" s="7" t="n">
        <v>45261</v>
      </c>
      <c r="N2" s="7" t="n">
        <v>45443</v>
      </c>
      <c r="O2" s="8" t="s">
        <v>5</v>
      </c>
      <c r="P2" s="5"/>
      <c r="Q2" s="7" t="n">
        <v>45413</v>
      </c>
      <c r="R2" s="7" t="n">
        <v>45504</v>
      </c>
      <c r="S2" s="9" t="s">
        <v>6</v>
      </c>
      <c r="T2" s="10"/>
      <c r="U2" s="11" t="n">
        <v>45658</v>
      </c>
      <c r="V2" s="7" t="n">
        <v>46022</v>
      </c>
      <c r="W2" s="12" t="s">
        <v>7</v>
      </c>
      <c r="X2" s="10"/>
      <c r="Y2" s="11" t="n">
        <v>46023</v>
      </c>
      <c r="Z2" s="7" t="n">
        <v>46387</v>
      </c>
      <c r="AA2" s="8" t="s">
        <v>8</v>
      </c>
      <c r="AB2" s="13"/>
      <c r="AC2" s="5"/>
      <c r="AD2" s="14" t="s">
        <v>9</v>
      </c>
      <c r="AE2" s="14" t="s">
        <v>10</v>
      </c>
    </row>
    <row r="3" customFormat="false" ht="18.75" hidden="false" customHeight="true" outlineLevel="0" collapsed="false">
      <c r="A3" s="4"/>
      <c r="B3" s="5"/>
      <c r="C3" s="15"/>
      <c r="D3" s="16"/>
      <c r="E3" s="17"/>
      <c r="F3" s="18" t="n">
        <v>2023</v>
      </c>
      <c r="G3" s="17"/>
      <c r="H3" s="16"/>
      <c r="I3" s="17"/>
      <c r="J3" s="18" t="s">
        <v>11</v>
      </c>
      <c r="K3" s="17"/>
      <c r="L3" s="16"/>
      <c r="M3" s="17"/>
      <c r="N3" s="18" t="s">
        <v>12</v>
      </c>
      <c r="O3" s="17"/>
      <c r="P3" s="16"/>
      <c r="Q3" s="17"/>
      <c r="R3" s="18" t="s">
        <v>13</v>
      </c>
      <c r="S3" s="19"/>
      <c r="T3" s="16"/>
      <c r="U3" s="17"/>
      <c r="V3" s="18" t="s">
        <v>14</v>
      </c>
      <c r="W3" s="17"/>
      <c r="X3" s="16"/>
      <c r="Y3" s="17"/>
      <c r="Z3" s="18" t="s">
        <v>8</v>
      </c>
      <c r="AA3" s="19"/>
      <c r="AB3" s="13"/>
      <c r="AC3" s="5"/>
      <c r="AD3" s="20" t="s">
        <v>15</v>
      </c>
      <c r="AE3" s="20" t="n">
        <f aca="false">N6</f>
        <v>79</v>
      </c>
    </row>
    <row r="4" customFormat="false" ht="18.75" hidden="false" customHeight="true" outlineLevel="0" collapsed="false">
      <c r="A4" s="4"/>
      <c r="B4" s="5"/>
      <c r="C4" s="21"/>
      <c r="D4" s="22"/>
      <c r="E4" s="23"/>
      <c r="F4" s="24" t="s">
        <v>16</v>
      </c>
      <c r="G4" s="23"/>
      <c r="H4" s="22"/>
      <c r="I4" s="23"/>
      <c r="J4" s="24" t="s">
        <v>17</v>
      </c>
      <c r="K4" s="23"/>
      <c r="L4" s="22"/>
      <c r="M4" s="23"/>
      <c r="N4" s="24" t="s">
        <v>18</v>
      </c>
      <c r="O4" s="23"/>
      <c r="P4" s="22"/>
      <c r="Q4" s="23"/>
      <c r="R4" s="24" t="s">
        <v>19</v>
      </c>
      <c r="S4" s="25"/>
      <c r="T4" s="22"/>
      <c r="U4" s="23"/>
      <c r="V4" s="24"/>
      <c r="W4" s="23"/>
      <c r="X4" s="22"/>
      <c r="Y4" s="23"/>
      <c r="Z4" s="24"/>
      <c r="AA4" s="25"/>
      <c r="AB4" s="13"/>
      <c r="AC4" s="5"/>
      <c r="AD4" s="14" t="s">
        <v>20</v>
      </c>
      <c r="AE4" s="14" t="s">
        <v>21</v>
      </c>
      <c r="AF4" s="14" t="s">
        <v>22</v>
      </c>
    </row>
    <row r="5" customFormat="false" ht="18.75" hidden="false" customHeight="true" outlineLevel="0" collapsed="false">
      <c r="A5" s="4"/>
      <c r="B5" s="5"/>
      <c r="C5" s="26"/>
      <c r="D5" s="27"/>
      <c r="E5" s="26"/>
      <c r="F5" s="28"/>
      <c r="G5" s="28"/>
      <c r="H5" s="27"/>
      <c r="I5" s="26"/>
      <c r="J5" s="28"/>
      <c r="K5" s="28"/>
      <c r="L5" s="27"/>
      <c r="M5" s="26"/>
      <c r="N5" s="28"/>
      <c r="O5" s="28"/>
      <c r="P5" s="27"/>
      <c r="Q5" s="26"/>
      <c r="R5" s="28"/>
      <c r="S5" s="29"/>
      <c r="T5" s="27"/>
      <c r="U5" s="26"/>
      <c r="V5" s="28"/>
      <c r="W5" s="28"/>
      <c r="X5" s="27"/>
      <c r="Y5" s="26"/>
      <c r="Z5" s="28"/>
      <c r="AA5" s="29"/>
      <c r="AB5" s="13"/>
      <c r="AC5" s="5"/>
      <c r="AD5" s="20" t="s">
        <v>23</v>
      </c>
      <c r="AE5" s="20" t="s">
        <v>24</v>
      </c>
      <c r="AF5" s="20" t="s">
        <v>25</v>
      </c>
    </row>
    <row r="6" customFormat="false" ht="18.75" hidden="false" customHeight="true" outlineLevel="0" collapsed="false">
      <c r="A6" s="30" t="n">
        <v>100</v>
      </c>
      <c r="B6" s="5"/>
      <c r="C6" s="31" t="s">
        <v>26</v>
      </c>
      <c r="D6" s="27"/>
      <c r="E6" s="26"/>
      <c r="F6" s="32" t="n">
        <v>79</v>
      </c>
      <c r="G6" s="28"/>
      <c r="H6" s="27"/>
      <c r="I6" s="26"/>
      <c r="J6" s="32" t="n">
        <v>79</v>
      </c>
      <c r="K6" s="28"/>
      <c r="L6" s="27"/>
      <c r="M6" s="26"/>
      <c r="N6" s="32" t="n">
        <v>79</v>
      </c>
      <c r="O6" s="28"/>
      <c r="P6" s="27"/>
      <c r="Q6" s="26"/>
      <c r="R6" s="32" t="n">
        <v>79</v>
      </c>
      <c r="S6" s="29"/>
      <c r="T6" s="27"/>
      <c r="U6" s="26"/>
      <c r="V6" s="32" t="n">
        <f aca="false">SUM(V9+V11+V14)</f>
        <v>0</v>
      </c>
      <c r="W6" s="28"/>
      <c r="X6" s="27"/>
      <c r="Y6" s="26"/>
      <c r="Z6" s="32" t="n">
        <f aca="false">SUM(Z9+Z11+Z14)</f>
        <v>0</v>
      </c>
      <c r="AA6" s="29"/>
      <c r="AB6" s="13"/>
      <c r="AC6" s="5"/>
      <c r="AD6" s="14" t="s">
        <v>27</v>
      </c>
      <c r="AE6" s="14" t="s">
        <v>28</v>
      </c>
      <c r="AF6" s="14" t="s">
        <v>29</v>
      </c>
    </row>
    <row r="7" customFormat="false" ht="18.75" hidden="false" customHeight="true" outlineLevel="0" collapsed="false">
      <c r="A7" s="30"/>
      <c r="B7" s="5"/>
      <c r="C7" s="31" t="s">
        <v>10</v>
      </c>
      <c r="D7" s="27"/>
      <c r="E7" s="26"/>
      <c r="F7" s="32" t="n">
        <v>76</v>
      </c>
      <c r="G7" s="28"/>
      <c r="H7" s="27"/>
      <c r="I7" s="26"/>
      <c r="J7" s="32" t="n">
        <v>76</v>
      </c>
      <c r="K7" s="28"/>
      <c r="L7" s="33"/>
      <c r="M7" s="26"/>
      <c r="N7" s="32" t="n">
        <v>76</v>
      </c>
      <c r="O7" s="28"/>
      <c r="P7" s="33"/>
      <c r="Q7" s="26"/>
      <c r="R7" s="32" t="n">
        <v>76</v>
      </c>
      <c r="S7" s="29"/>
      <c r="T7" s="33"/>
      <c r="U7" s="26"/>
      <c r="V7" s="32" t="n">
        <f aca="false">SUM(V9,V12,V15)</f>
        <v>0</v>
      </c>
      <c r="W7" s="28"/>
      <c r="X7" s="33"/>
      <c r="Y7" s="26"/>
      <c r="Z7" s="32" t="n">
        <f aca="false">SUM(Z9,Z12,Z15)</f>
        <v>0</v>
      </c>
      <c r="AA7" s="29"/>
      <c r="AB7" s="13"/>
      <c r="AC7" s="5"/>
      <c r="AD7" s="14"/>
      <c r="AE7" s="14"/>
      <c r="AF7" s="14"/>
    </row>
    <row r="8" customFormat="false" ht="18.75" hidden="false" customHeight="true" outlineLevel="0" collapsed="false">
      <c r="A8" s="30"/>
      <c r="B8" s="5"/>
      <c r="C8" s="31"/>
      <c r="D8" s="27"/>
      <c r="E8" s="26"/>
      <c r="F8" s="32"/>
      <c r="G8" s="28"/>
      <c r="H8" s="27"/>
      <c r="I8" s="26"/>
      <c r="J8" s="34"/>
      <c r="K8" s="28"/>
      <c r="L8" s="33"/>
      <c r="M8" s="26"/>
      <c r="N8" s="34"/>
      <c r="O8" s="28"/>
      <c r="P8" s="33"/>
      <c r="Q8" s="26"/>
      <c r="R8" s="34"/>
      <c r="S8" s="29"/>
      <c r="T8" s="33"/>
      <c r="U8" s="26"/>
      <c r="V8" s="34"/>
      <c r="W8" s="28"/>
      <c r="X8" s="33"/>
      <c r="Y8" s="26"/>
      <c r="Z8" s="34"/>
      <c r="AA8" s="29"/>
      <c r="AB8" s="13"/>
      <c r="AC8" s="5"/>
      <c r="AD8" s="14"/>
      <c r="AE8" s="14"/>
      <c r="AF8" s="14"/>
    </row>
    <row r="9" customFormat="false" ht="18.75" hidden="true" customHeight="true" outlineLevel="0" collapsed="false">
      <c r="A9" s="30"/>
      <c r="B9" s="5"/>
      <c r="C9" s="31" t="s">
        <v>30</v>
      </c>
      <c r="D9" s="27"/>
      <c r="E9" s="26"/>
      <c r="F9" s="32"/>
      <c r="G9" s="28"/>
      <c r="H9" s="27"/>
      <c r="I9" s="26"/>
      <c r="J9" s="32"/>
      <c r="K9" s="28"/>
      <c r="L9" s="33"/>
      <c r="M9" s="26"/>
      <c r="N9" s="32"/>
      <c r="O9" s="28"/>
      <c r="P9" s="33"/>
      <c r="Q9" s="26"/>
      <c r="R9" s="32"/>
      <c r="S9" s="29"/>
      <c r="T9" s="33"/>
      <c r="U9" s="26"/>
      <c r="V9" s="32"/>
      <c r="W9" s="28"/>
      <c r="X9" s="33"/>
      <c r="Y9" s="26"/>
      <c r="Z9" s="32"/>
      <c r="AA9" s="29"/>
      <c r="AB9" s="13"/>
      <c r="AC9" s="5"/>
      <c r="AD9" s="14" t="str">
        <f aca="false">"'"&amp;$AD3&amp;"'"&amp;"!"&amp;AD5</f>
        <v>'Asset Codes'!$H$1:$BZ$1</v>
      </c>
      <c r="AE9" s="14" t="str">
        <f aca="false">"'"&amp;$AD3&amp;"'"&amp;"!"&amp;AE5</f>
        <v>'Asset Codes'!$B$2:$B$500</v>
      </c>
      <c r="AF9" s="14" t="str">
        <f aca="false">"'"&amp;$AD3&amp;"'"&amp;"!"&amp;AF5</f>
        <v>'Asset Codes'!$H$2:$BZ$500</v>
      </c>
    </row>
    <row r="10" customFormat="false" ht="18.75" hidden="true" customHeight="true" outlineLevel="0" collapsed="false">
      <c r="A10" s="30"/>
      <c r="B10" s="5"/>
      <c r="C10" s="31"/>
      <c r="D10" s="27"/>
      <c r="E10" s="26"/>
      <c r="F10" s="32"/>
      <c r="G10" s="28"/>
      <c r="H10" s="27"/>
      <c r="I10" s="26"/>
      <c r="J10" s="32"/>
      <c r="K10" s="28"/>
      <c r="L10" s="33"/>
      <c r="M10" s="26"/>
      <c r="N10" s="32"/>
      <c r="O10" s="28"/>
      <c r="P10" s="33"/>
      <c r="Q10" s="26"/>
      <c r="R10" s="32"/>
      <c r="S10" s="29"/>
      <c r="T10" s="33"/>
      <c r="U10" s="26"/>
      <c r="V10" s="32"/>
      <c r="W10" s="28"/>
      <c r="X10" s="33"/>
      <c r="Y10" s="26"/>
      <c r="Z10" s="32"/>
      <c r="AA10" s="29"/>
      <c r="AB10" s="13"/>
      <c r="AC10" s="5"/>
      <c r="AD10" s="35"/>
      <c r="AE10" s="35"/>
      <c r="AF10" s="35"/>
    </row>
    <row r="11" customFormat="false" ht="18.75" hidden="true" customHeight="true" outlineLevel="0" collapsed="false">
      <c r="A11" s="4"/>
      <c r="B11" s="5"/>
      <c r="C11" s="31" t="s">
        <v>31</v>
      </c>
      <c r="D11" s="27"/>
      <c r="E11" s="26"/>
      <c r="F11" s="32"/>
      <c r="G11" s="28"/>
      <c r="H11" s="27"/>
      <c r="I11" s="26"/>
      <c r="J11" s="32"/>
      <c r="K11" s="28"/>
      <c r="L11" s="33"/>
      <c r="M11" s="26"/>
      <c r="N11" s="32"/>
      <c r="O11" s="28"/>
      <c r="P11" s="33"/>
      <c r="Q11" s="26"/>
      <c r="R11" s="32"/>
      <c r="S11" s="29"/>
      <c r="T11" s="33"/>
      <c r="U11" s="26"/>
      <c r="V11" s="32"/>
      <c r="W11" s="28"/>
      <c r="X11" s="33"/>
      <c r="Y11" s="26"/>
      <c r="Z11" s="32"/>
      <c r="AA11" s="29"/>
      <c r="AB11" s="13"/>
      <c r="AC11" s="5"/>
    </row>
    <row r="12" customFormat="false" ht="18.75" hidden="true" customHeight="true" outlineLevel="0" collapsed="false">
      <c r="A12" s="4"/>
      <c r="B12" s="5"/>
      <c r="C12" s="31" t="s">
        <v>32</v>
      </c>
      <c r="D12" s="27"/>
      <c r="E12" s="26"/>
      <c r="F12" s="32"/>
      <c r="G12" s="28"/>
      <c r="H12" s="27"/>
      <c r="I12" s="26"/>
      <c r="J12" s="32"/>
      <c r="K12" s="28"/>
      <c r="L12" s="33"/>
      <c r="M12" s="26"/>
      <c r="N12" s="32"/>
      <c r="O12" s="28"/>
      <c r="P12" s="33"/>
      <c r="Q12" s="26"/>
      <c r="R12" s="32"/>
      <c r="S12" s="29"/>
      <c r="T12" s="33"/>
      <c r="U12" s="26"/>
      <c r="V12" s="32"/>
      <c r="W12" s="28"/>
      <c r="X12" s="33"/>
      <c r="Y12" s="26"/>
      <c r="Z12" s="32"/>
      <c r="AA12" s="29"/>
      <c r="AB12" s="13"/>
      <c r="AC12" s="5"/>
    </row>
    <row r="13" customFormat="false" ht="18.75" hidden="true" customHeight="true" outlineLevel="0" collapsed="false">
      <c r="A13" s="4"/>
      <c r="B13" s="5"/>
      <c r="C13" s="31"/>
      <c r="D13" s="27"/>
      <c r="E13" s="26"/>
      <c r="F13" s="32"/>
      <c r="G13" s="28"/>
      <c r="H13" s="27"/>
      <c r="I13" s="26"/>
      <c r="J13" s="32"/>
      <c r="K13" s="28"/>
      <c r="L13" s="33"/>
      <c r="M13" s="26"/>
      <c r="N13" s="32"/>
      <c r="O13" s="28"/>
      <c r="P13" s="33"/>
      <c r="Q13" s="26"/>
      <c r="R13" s="32"/>
      <c r="S13" s="29"/>
      <c r="T13" s="33"/>
      <c r="U13" s="26"/>
      <c r="V13" s="32"/>
      <c r="W13" s="28"/>
      <c r="X13" s="33"/>
      <c r="Y13" s="26"/>
      <c r="Z13" s="32"/>
      <c r="AA13" s="29"/>
      <c r="AB13" s="13"/>
      <c r="AC13" s="5"/>
    </row>
    <row r="14" customFormat="false" ht="18.75" hidden="true" customHeight="true" outlineLevel="0" collapsed="false">
      <c r="A14" s="4"/>
      <c r="B14" s="5"/>
      <c r="C14" s="31" t="s">
        <v>33</v>
      </c>
      <c r="D14" s="27"/>
      <c r="E14" s="26"/>
      <c r="F14" s="32"/>
      <c r="G14" s="28"/>
      <c r="H14" s="27"/>
      <c r="I14" s="26"/>
      <c r="J14" s="32"/>
      <c r="K14" s="28"/>
      <c r="L14" s="33"/>
      <c r="M14" s="26"/>
      <c r="N14" s="32"/>
      <c r="O14" s="28"/>
      <c r="P14" s="33"/>
      <c r="Q14" s="26"/>
      <c r="R14" s="32"/>
      <c r="S14" s="29"/>
      <c r="T14" s="33"/>
      <c r="U14" s="26"/>
      <c r="V14" s="32"/>
      <c r="W14" s="28"/>
      <c r="X14" s="33"/>
      <c r="Y14" s="26"/>
      <c r="Z14" s="32"/>
      <c r="AA14" s="29"/>
      <c r="AB14" s="13"/>
      <c r="AC14" s="5"/>
    </row>
    <row r="15" customFormat="false" ht="18.75" hidden="true" customHeight="true" outlineLevel="0" collapsed="false">
      <c r="A15" s="4"/>
      <c r="B15" s="5"/>
      <c r="C15" s="31" t="s">
        <v>34</v>
      </c>
      <c r="D15" s="27"/>
      <c r="E15" s="26"/>
      <c r="F15" s="32"/>
      <c r="G15" s="28"/>
      <c r="H15" s="27"/>
      <c r="I15" s="26"/>
      <c r="J15" s="32"/>
      <c r="K15" s="28"/>
      <c r="L15" s="33"/>
      <c r="M15" s="26"/>
      <c r="N15" s="32"/>
      <c r="O15" s="28"/>
      <c r="P15" s="33"/>
      <c r="Q15" s="26"/>
      <c r="R15" s="32"/>
      <c r="S15" s="29"/>
      <c r="T15" s="33"/>
      <c r="U15" s="26"/>
      <c r="V15" s="32"/>
      <c r="W15" s="28"/>
      <c r="X15" s="33"/>
      <c r="Y15" s="26"/>
      <c r="Z15" s="32"/>
      <c r="AA15" s="29"/>
      <c r="AB15" s="13"/>
      <c r="AC15" s="5"/>
      <c r="AE15" s="5"/>
      <c r="AF15" s="5"/>
    </row>
    <row r="16" customFormat="false" ht="18.75" hidden="false" customHeight="true" outlineLevel="0" collapsed="false">
      <c r="A16" s="4"/>
      <c r="B16" s="5"/>
      <c r="C16" s="36"/>
      <c r="D16" s="37"/>
      <c r="E16" s="36"/>
      <c r="F16" s="38"/>
      <c r="G16" s="38"/>
      <c r="H16" s="37"/>
      <c r="I16" s="36"/>
      <c r="J16" s="38"/>
      <c r="K16" s="38"/>
      <c r="L16" s="37"/>
      <c r="M16" s="36"/>
      <c r="N16" s="38"/>
      <c r="O16" s="38"/>
      <c r="P16" s="37"/>
      <c r="Q16" s="36"/>
      <c r="R16" s="38"/>
      <c r="S16" s="39"/>
      <c r="T16" s="37"/>
      <c r="U16" s="36"/>
      <c r="V16" s="38"/>
      <c r="W16" s="38"/>
      <c r="X16" s="37"/>
      <c r="Y16" s="36"/>
      <c r="Z16" s="38"/>
      <c r="AA16" s="39"/>
      <c r="AB16" s="13"/>
      <c r="AC16" s="5"/>
      <c r="AD16" s="5"/>
      <c r="AE16" s="5"/>
      <c r="AF16" s="5"/>
    </row>
    <row r="17" customFormat="false" ht="18.75" hidden="false" customHeight="true" outlineLevel="1" collapsed="false">
      <c r="A17" s="4"/>
      <c r="B17" s="5"/>
      <c r="C17" s="40" t="s">
        <v>35</v>
      </c>
      <c r="D17" s="27"/>
      <c r="E17" s="41" t="s">
        <v>36</v>
      </c>
      <c r="F17" s="41" t="s">
        <v>37</v>
      </c>
      <c r="G17" s="41" t="s">
        <v>38</v>
      </c>
      <c r="H17" s="42"/>
      <c r="I17" s="41" t="s">
        <v>39</v>
      </c>
      <c r="J17" s="41" t="s">
        <v>37</v>
      </c>
      <c r="K17" s="41" t="s">
        <v>38</v>
      </c>
      <c r="L17" s="42"/>
      <c r="M17" s="41" t="s">
        <v>39</v>
      </c>
      <c r="N17" s="41" t="s">
        <v>37</v>
      </c>
      <c r="O17" s="41" t="s">
        <v>38</v>
      </c>
      <c r="P17" s="42"/>
      <c r="Q17" s="41" t="s">
        <v>39</v>
      </c>
      <c r="R17" s="41" t="s">
        <v>37</v>
      </c>
      <c r="S17" s="43" t="s">
        <v>38</v>
      </c>
      <c r="T17" s="42"/>
      <c r="U17" s="41" t="s">
        <v>39</v>
      </c>
      <c r="V17" s="41" t="s">
        <v>37</v>
      </c>
      <c r="W17" s="41" t="s">
        <v>38</v>
      </c>
      <c r="X17" s="42"/>
      <c r="Y17" s="41" t="s">
        <v>39</v>
      </c>
      <c r="Z17" s="41" t="s">
        <v>37</v>
      </c>
      <c r="AA17" s="41" t="s">
        <v>38</v>
      </c>
      <c r="AB17" s="13"/>
      <c r="AC17" s="5"/>
      <c r="AD17" s="44"/>
    </row>
    <row r="18" customFormat="false" ht="18.75" hidden="true" customHeight="true" outlineLevel="1" collapsed="false">
      <c r="A18" s="30"/>
      <c r="B18" s="5"/>
      <c r="C18" s="45" t="s">
        <v>40</v>
      </c>
      <c r="D18" s="46"/>
      <c r="E18" s="47"/>
      <c r="F18" s="48"/>
      <c r="G18" s="49"/>
      <c r="H18" s="46"/>
      <c r="I18" s="47"/>
      <c r="J18" s="48"/>
      <c r="K18" s="49"/>
      <c r="L18" s="46"/>
      <c r="M18" s="47"/>
      <c r="N18" s="48"/>
      <c r="O18" s="49"/>
      <c r="P18" s="46"/>
      <c r="Q18" s="50"/>
      <c r="R18" s="51"/>
      <c r="S18" s="52"/>
      <c r="T18" s="46"/>
      <c r="U18" s="50"/>
      <c r="V18" s="51"/>
      <c r="W18" s="53"/>
      <c r="X18" s="46"/>
      <c r="Y18" s="50"/>
      <c r="Z18" s="51"/>
      <c r="AA18" s="52"/>
      <c r="AB18" s="13"/>
      <c r="AC18" s="5"/>
      <c r="AF18" s="5"/>
    </row>
    <row r="19" customFormat="false" ht="18.75" hidden="true" customHeight="true" outlineLevel="1" collapsed="false">
      <c r="A19" s="30" t="n">
        <v>101</v>
      </c>
      <c r="B19" s="5"/>
      <c r="C19" s="54" t="s">
        <v>41</v>
      </c>
      <c r="D19" s="27"/>
      <c r="E19" s="55" t="n">
        <f aca="true" t="array" ref="E19:E19">IFERROR(SUM(IF($A19=INDIRECT($AE$9),IF(E$2&lt;=INDIRECT($AD$9),IF(F$2&gt;=INDIRECT($AD$9),INDIRECT($AF$9)/E$94,""),""),"")),0)</f>
        <v>0</v>
      </c>
      <c r="F19" s="56" t="n">
        <f aca="false">F44</f>
        <v>0</v>
      </c>
      <c r="G19" s="57" t="n">
        <f aca="false">IFERROR(E19/E$32,0)</f>
        <v>0</v>
      </c>
      <c r="H19" s="27"/>
      <c r="I19" s="58" t="n">
        <f aca="true" t="array" ref="I19:I19">IFERROR(SUM(IF($A19=INDIRECT($AE$9),IF(I$2&lt;=INDIRECT($AD$9),IF(J$2&gt;=INDIRECT($AD$9),INDIRECT($AF$9)/I$94,""),""),"")),0)</f>
        <v>0</v>
      </c>
      <c r="J19" s="59" t="n">
        <f aca="false">J44</f>
        <v>0</v>
      </c>
      <c r="K19" s="60" t="n">
        <f aca="false">IFERROR(I19/I$32,0)</f>
        <v>0</v>
      </c>
      <c r="L19" s="27"/>
      <c r="M19" s="58" t="n">
        <f aca="true" t="array" ref="M19:M19">IFERROR(SUM(IF($A19=INDIRECT($AE$9),IF(M$2&lt;=INDIRECT($AD$9),IF(N$2&gt;=INDIRECT($AD$9),INDIRECT($AF$9)/M$94,""),""),"")),0)</f>
        <v>0</v>
      </c>
      <c r="N19" s="59" t="n">
        <f aca="false">N44</f>
        <v>0</v>
      </c>
      <c r="O19" s="60" t="n">
        <f aca="false">IFERROR(M19/M$32,0)</f>
        <v>0</v>
      </c>
      <c r="P19" s="61"/>
      <c r="Q19" s="62" t="n">
        <f aca="true" t="array" ref="Q19:Q19">IFERROR(SUM(IF($A19=INDIRECT($AE$9),IF(Q$2&lt;=INDIRECT($AD$9),IF(R$2&gt;=INDIRECT($AD$9),INDIRECT($AF$9)/Q$94,""),""),"")),0)</f>
        <v>0</v>
      </c>
      <c r="R19" s="63" t="n">
        <f aca="false">R44</f>
        <v>0</v>
      </c>
      <c r="S19" s="64" t="n">
        <f aca="false">IFERROR(Q19/Q$32,0)</f>
        <v>0</v>
      </c>
      <c r="T19" s="61"/>
      <c r="U19" s="62" t="n">
        <f aca="true" t="array" ref="U19:U19">IFERROR(SUM(IF($A19=INDIRECT($AE$9),IF(U$2&lt;=INDIRECT($AD$9),IF(V$2&gt;=INDIRECT($AD$9),INDIRECT($AF$9)/U$94,""),""),"")),0)</f>
        <v>0</v>
      </c>
      <c r="V19" s="63" t="n">
        <f aca="false">V44</f>
        <v>0</v>
      </c>
      <c r="W19" s="65" t="n">
        <f aca="false">IFERROR(U19/U$32,0)</f>
        <v>0</v>
      </c>
      <c r="X19" s="61"/>
      <c r="Y19" s="62" t="n">
        <f aca="true" t="array" ref="Y19:Y19">IFERROR(SUM(IF($A19=INDIRECT($AE$9),IF(Y$2&lt;=INDIRECT($AD$9),IF(Z$2&gt;=INDIRECT($AD$9),INDIRECT($AF$9)/Y$94,""),""),"")),0)</f>
        <v>0</v>
      </c>
      <c r="Z19" s="63" t="n">
        <f aca="false">Z44</f>
        <v>0</v>
      </c>
      <c r="AA19" s="64" t="n">
        <f aca="false">IFERROR(Y19/Y$32,0)</f>
        <v>0</v>
      </c>
      <c r="AB19" s="13"/>
      <c r="AC19" s="5"/>
      <c r="AF19" s="5"/>
    </row>
    <row r="20" customFormat="false" ht="18.75" hidden="true" customHeight="true" outlineLevel="0" collapsed="false">
      <c r="A20" s="30"/>
      <c r="B20" s="5"/>
      <c r="C20" s="66" t="s">
        <v>42</v>
      </c>
      <c r="D20" s="27"/>
      <c r="E20" s="67" t="n">
        <f aca="false">SUM(E19)</f>
        <v>0</v>
      </c>
      <c r="F20" s="68" t="n">
        <f aca="false">F45</f>
        <v>0</v>
      </c>
      <c r="G20" s="69" t="n">
        <f aca="false">IFERROR(E20/E$32,0)</f>
        <v>0</v>
      </c>
      <c r="H20" s="27"/>
      <c r="I20" s="70" t="n">
        <f aca="false">SUM(I19)</f>
        <v>0</v>
      </c>
      <c r="J20" s="71" t="n">
        <f aca="false">J45</f>
        <v>0</v>
      </c>
      <c r="K20" s="72" t="n">
        <f aca="false">IFERROR(I20/I$32,0)</f>
        <v>0</v>
      </c>
      <c r="L20" s="27"/>
      <c r="M20" s="70" t="n">
        <f aca="false">SUM(M19)</f>
        <v>0</v>
      </c>
      <c r="N20" s="71" t="n">
        <f aca="false">N45</f>
        <v>0</v>
      </c>
      <c r="O20" s="72" t="n">
        <f aca="false">IFERROR(M20/M$32,0)</f>
        <v>0</v>
      </c>
      <c r="P20" s="61"/>
      <c r="Q20" s="73" t="n">
        <f aca="false">SUM(Q19)</f>
        <v>0</v>
      </c>
      <c r="R20" s="74" t="n">
        <f aca="false">R45</f>
        <v>0</v>
      </c>
      <c r="S20" s="75" t="n">
        <f aca="false">IFERROR(Q20/Q$32,0)</f>
        <v>0</v>
      </c>
      <c r="T20" s="61"/>
      <c r="U20" s="73" t="n">
        <f aca="false">SUM(U19)</f>
        <v>0</v>
      </c>
      <c r="V20" s="74" t="n">
        <f aca="false">V45</f>
        <v>0</v>
      </c>
      <c r="W20" s="76" t="n">
        <f aca="false">IFERROR(U20/U$32,0)</f>
        <v>0</v>
      </c>
      <c r="X20" s="61"/>
      <c r="Y20" s="73" t="n">
        <f aca="false">SUM(Y19)</f>
        <v>0</v>
      </c>
      <c r="Z20" s="74" t="n">
        <f aca="false">Z45</f>
        <v>0</v>
      </c>
      <c r="AA20" s="75" t="n">
        <f aca="false">IFERROR(Y20/Y$32,0)</f>
        <v>0</v>
      </c>
      <c r="AB20" s="13"/>
      <c r="AC20" s="5"/>
      <c r="AF20" s="5"/>
    </row>
    <row r="21" customFormat="false" ht="18.75" hidden="true" customHeight="true" outlineLevel="1" collapsed="false">
      <c r="A21" s="30"/>
      <c r="B21" s="5"/>
      <c r="C21" s="66"/>
      <c r="D21" s="27"/>
      <c r="E21" s="67"/>
      <c r="F21" s="68"/>
      <c r="G21" s="69"/>
      <c r="H21" s="27"/>
      <c r="I21" s="70"/>
      <c r="J21" s="71"/>
      <c r="K21" s="72"/>
      <c r="L21" s="27"/>
      <c r="M21" s="70"/>
      <c r="N21" s="71"/>
      <c r="O21" s="72"/>
      <c r="P21" s="61"/>
      <c r="Q21" s="73"/>
      <c r="R21" s="74"/>
      <c r="S21" s="75"/>
      <c r="T21" s="61"/>
      <c r="U21" s="73"/>
      <c r="V21" s="74"/>
      <c r="W21" s="76"/>
      <c r="X21" s="61"/>
      <c r="Y21" s="73"/>
      <c r="Z21" s="74"/>
      <c r="AA21" s="75"/>
      <c r="AB21" s="13"/>
      <c r="AC21" s="5"/>
      <c r="AF21" s="5"/>
    </row>
    <row r="22" customFormat="false" ht="18.75" hidden="false" customHeight="true" outlineLevel="1" collapsed="false">
      <c r="A22" s="30"/>
      <c r="B22" s="5"/>
      <c r="C22" s="45" t="s">
        <v>43</v>
      </c>
      <c r="D22" s="46"/>
      <c r="E22" s="47"/>
      <c r="F22" s="48"/>
      <c r="G22" s="49"/>
      <c r="H22" s="46"/>
      <c r="I22" s="77"/>
      <c r="J22" s="78"/>
      <c r="K22" s="79"/>
      <c r="L22" s="46"/>
      <c r="M22" s="77"/>
      <c r="N22" s="78"/>
      <c r="O22" s="79"/>
      <c r="P22" s="80"/>
      <c r="Q22" s="81"/>
      <c r="R22" s="82"/>
      <c r="S22" s="83"/>
      <c r="T22" s="80"/>
      <c r="U22" s="81"/>
      <c r="V22" s="82"/>
      <c r="W22" s="84"/>
      <c r="X22" s="80"/>
      <c r="Y22" s="81"/>
      <c r="Z22" s="82"/>
      <c r="AA22" s="83"/>
      <c r="AB22" s="13"/>
      <c r="AC22" s="5"/>
      <c r="AD22" s="5"/>
      <c r="AE22" s="5"/>
      <c r="AF22" s="5"/>
    </row>
    <row r="23" customFormat="false" ht="18.75" hidden="false" customHeight="true" outlineLevel="1" collapsed="false">
      <c r="A23" s="30" t="n">
        <v>102</v>
      </c>
      <c r="B23" s="5"/>
      <c r="C23" s="54" t="s">
        <v>41</v>
      </c>
      <c r="D23" s="27"/>
      <c r="E23" s="55" t="n">
        <f aca="true" t="array" ref="E23:E23">IFERROR(SUM(IF($A23=INDIRECT($AE$9),IF(E$2&lt;=INDIRECT($AD$9),IF(F$2&gt;=INDIRECT($AD$9),INDIRECT($AF$9)/E$94,""),""),"")),0)</f>
        <v>1.91780821917808</v>
      </c>
      <c r="F23" s="56" t="n">
        <f aca="false">F47</f>
        <v>54490.8321845238</v>
      </c>
      <c r="G23" s="57" t="n">
        <f aca="false">IFERROR(E23/E$32,0)</f>
        <v>1</v>
      </c>
      <c r="H23" s="27"/>
      <c r="I23" s="58" t="n">
        <f aca="true" t="array" ref="I23:I23">IFERROR(SUM(IF($A23=INDIRECT($AE$9),IF(I$2&lt;=INDIRECT($AD$9),IF(J$2&gt;=INDIRECT($AD$9),INDIRECT($AF$9)/I$94,""),""),"")),0)</f>
        <v>3.27868852459016</v>
      </c>
      <c r="J23" s="59" t="n">
        <f aca="false">J47</f>
        <v>56103.8498888889</v>
      </c>
      <c r="K23" s="60" t="n">
        <f aca="false">IFERROR(I23/I$32,0)</f>
        <v>1</v>
      </c>
      <c r="L23" s="27"/>
      <c r="M23" s="58" t="n">
        <f aca="true" t="array" ref="M23:M23">IFERROR(SUM(IF($A23=INDIRECT($AE$9),IF(M$2&lt;=INDIRECT($AD$9),IF(N$2&gt;=INDIRECT($AD$9),INDIRECT($AF$9)/M$94,""),""),"")),0)</f>
        <v>3.27868852459016</v>
      </c>
      <c r="N23" s="59" t="n">
        <f aca="false">N47</f>
        <v>58268.8397847222</v>
      </c>
      <c r="O23" s="60" t="n">
        <f aca="false">IFERROR(M23/M$32,0)</f>
        <v>1</v>
      </c>
      <c r="P23" s="61"/>
      <c r="Q23" s="62" t="n">
        <f aca="true" t="array" ref="Q23:Q23">IFERROR(SUM(IF($A23=INDIRECT($AE$9),IF(Q$2&lt;=INDIRECT($AD$9),IF(R$2&gt;=INDIRECT($AD$9),INDIRECT($AF$9)/Q$94,""),""),"")),0)</f>
        <v>1.08695652173913</v>
      </c>
      <c r="R23" s="63" t="n">
        <f aca="false">R47</f>
        <v>58484.3302083333</v>
      </c>
      <c r="S23" s="64" t="n">
        <f aca="false">IFERROR(Q23/Q$32,0)</f>
        <v>1</v>
      </c>
      <c r="T23" s="61"/>
      <c r="U23" s="62" t="n">
        <f aca="true" t="array" ref="U23:U23">IFERROR(SUM(IF($A23=INDIRECT($AE$9),IF(U$2&lt;=INDIRECT($AD$9),IF(V$2&gt;=INDIRECT($AD$9),INDIRECT($AF$9)/U$94,""),""),"")),0)</f>
        <v>0</v>
      </c>
      <c r="V23" s="63" t="n">
        <f aca="false">V47</f>
        <v>0</v>
      </c>
      <c r="W23" s="65" t="n">
        <f aca="false">IFERROR(U23/U$32,0)</f>
        <v>0</v>
      </c>
      <c r="X23" s="61"/>
      <c r="Y23" s="62" t="n">
        <f aca="true" t="array" ref="Y23:Y23">IFERROR(SUM(IF($A23=INDIRECT($AE$9),IF(Y$2&lt;=INDIRECT($AD$9),IF(Z$2&gt;=INDIRECT($AD$9),INDIRECT($AF$9)/Y$94,""),""),"")),0)</f>
        <v>0</v>
      </c>
      <c r="Z23" s="63" t="n">
        <f aca="false">Z47</f>
        <v>0</v>
      </c>
      <c r="AA23" s="64" t="n">
        <f aca="false">IFERROR(Y23/Y$32,0)</f>
        <v>0</v>
      </c>
      <c r="AB23" s="13"/>
      <c r="AC23" s="5"/>
      <c r="AD23" s="85"/>
      <c r="AE23" s="86"/>
      <c r="AF23" s="27"/>
    </row>
    <row r="24" customFormat="false" ht="18.75" hidden="true" customHeight="true" outlineLevel="1" collapsed="false">
      <c r="A24" s="30" t="n">
        <v>103</v>
      </c>
      <c r="B24" s="5"/>
      <c r="C24" s="54" t="s">
        <v>44</v>
      </c>
      <c r="D24" s="27"/>
      <c r="E24" s="55" t="n">
        <f aca="true" t="array" ref="E24:E24">IFERROR(SUM(IF($A24=INDIRECT($AE$9),IF(E$2&lt;=INDIRECT($AD$9),IF(F$2&gt;=INDIRECT($AD$9),INDIRECT($AF$9)/E$94,""),""),"")),0)</f>
        <v>0</v>
      </c>
      <c r="F24" s="56" t="n">
        <f aca="false">F48</f>
        <v>0</v>
      </c>
      <c r="G24" s="57" t="n">
        <f aca="false">IFERROR(E24/E$32,0)</f>
        <v>0</v>
      </c>
      <c r="H24" s="27"/>
      <c r="I24" s="58" t="n">
        <f aca="true" t="array" ref="I24:I24">IFERROR(SUM(IF($A24=INDIRECT($AE$9),IF(I$2&lt;=INDIRECT($AD$9),IF(J$2&gt;=INDIRECT($AD$9),INDIRECT($AF$9)/I$94,""),""),"")),0)</f>
        <v>0</v>
      </c>
      <c r="J24" s="56" t="n">
        <f aca="false">J48</f>
        <v>0</v>
      </c>
      <c r="K24" s="60" t="n">
        <f aca="false">IFERROR(I24/I$32,0)</f>
        <v>0</v>
      </c>
      <c r="L24" s="27"/>
      <c r="M24" s="58" t="n">
        <f aca="true" t="array" ref="M24:M24">IFERROR(SUM(IF($A24=INDIRECT($AE$9),IF(M$2&lt;=INDIRECT($AD$9),IF(N$2&gt;=INDIRECT($AD$9),INDIRECT($AF$9)/M$94,""),""),"")),0)</f>
        <v>0</v>
      </c>
      <c r="N24" s="56" t="n">
        <f aca="false">N48</f>
        <v>0</v>
      </c>
      <c r="O24" s="60" t="n">
        <f aca="false">IFERROR(M24/M$32,0)</f>
        <v>0</v>
      </c>
      <c r="P24" s="61"/>
      <c r="Q24" s="62" t="n">
        <f aca="true" t="array" ref="Q24:Q24">IFERROR(SUM(IF($A24=INDIRECT($AE$9),IF(Q$2&lt;=INDIRECT($AD$9),IF(R$2&gt;=INDIRECT($AD$9),INDIRECT($AF$9)/Q$94,""),""),"")),0)</f>
        <v>0</v>
      </c>
      <c r="R24" s="56" t="n">
        <f aca="false">R48</f>
        <v>0</v>
      </c>
      <c r="S24" s="64" t="n">
        <f aca="false">IFERROR(Q24/Q$32,0)</f>
        <v>0</v>
      </c>
      <c r="T24" s="61"/>
      <c r="U24" s="62" t="n">
        <f aca="true" t="array" ref="U24:U24">IFERROR(SUM(IF($A24=INDIRECT($AE$9),IF(U$2&lt;=INDIRECT($AD$9),IF(V$2&gt;=INDIRECT($AD$9),INDIRECT($AF$9)/U$94,""),""),"")),0)</f>
        <v>0</v>
      </c>
      <c r="V24" s="56" t="n">
        <f aca="false">V48</f>
        <v>0</v>
      </c>
      <c r="W24" s="65" t="n">
        <f aca="false">IFERROR(U24/U$32,0)</f>
        <v>0</v>
      </c>
      <c r="X24" s="61"/>
      <c r="Y24" s="62" t="n">
        <f aca="true" t="array" ref="Y24:Y24">IFERROR(SUM(IF($A24=INDIRECT($AE$9),IF(Y$2&lt;=INDIRECT($AD$9),IF(Z$2&gt;=INDIRECT($AD$9),INDIRECT($AF$9)/Y$94,""),""),"")),0)</f>
        <v>0</v>
      </c>
      <c r="Z24" s="56" t="n">
        <f aca="false">Z48</f>
        <v>0</v>
      </c>
      <c r="AA24" s="64" t="n">
        <f aca="false">IFERROR(Y24/Y$32,0)</f>
        <v>0</v>
      </c>
      <c r="AB24" s="13"/>
      <c r="AC24" s="5"/>
      <c r="AD24" s="27"/>
      <c r="AE24" s="87"/>
      <c r="AF24" s="27"/>
    </row>
    <row r="25" customFormat="false" ht="18.75" hidden="true" customHeight="true" outlineLevel="0" collapsed="false">
      <c r="A25" s="30"/>
      <c r="B25" s="5"/>
      <c r="C25" s="66" t="s">
        <v>45</v>
      </c>
      <c r="D25" s="27"/>
      <c r="E25" s="67" t="n">
        <f aca="false">SUM(E23:E24)</f>
        <v>1.91780821917808</v>
      </c>
      <c r="F25" s="68" t="n">
        <f aca="false">F49</f>
        <v>54490.8321845238</v>
      </c>
      <c r="G25" s="69" t="n">
        <f aca="false">IFERROR(E25/E$32,0)</f>
        <v>1</v>
      </c>
      <c r="H25" s="27"/>
      <c r="I25" s="70" t="n">
        <f aca="false">SUM(I23:I24)</f>
        <v>3.27868852459016</v>
      </c>
      <c r="J25" s="71" t="n">
        <f aca="false">J49</f>
        <v>56103.8498888889</v>
      </c>
      <c r="K25" s="72" t="n">
        <f aca="false">IFERROR(I25/I$32,0)</f>
        <v>1</v>
      </c>
      <c r="L25" s="27"/>
      <c r="M25" s="70" t="n">
        <f aca="false">SUM(M23:M24)</f>
        <v>3.27868852459016</v>
      </c>
      <c r="N25" s="71" t="n">
        <f aca="false">N49</f>
        <v>58268.8397847222</v>
      </c>
      <c r="O25" s="72" t="n">
        <f aca="false">IFERROR(M25/M$32,0)</f>
        <v>1</v>
      </c>
      <c r="P25" s="61"/>
      <c r="Q25" s="73" t="n">
        <f aca="false">SUM(Q23:Q24)</f>
        <v>1.08695652173913</v>
      </c>
      <c r="R25" s="74" t="n">
        <f aca="false">R49</f>
        <v>58484.3302083333</v>
      </c>
      <c r="S25" s="75" t="n">
        <f aca="false">IFERROR(Q25/Q$32,0)</f>
        <v>1</v>
      </c>
      <c r="T25" s="61"/>
      <c r="U25" s="73" t="n">
        <f aca="false">SUM(U23:U24)</f>
        <v>0</v>
      </c>
      <c r="V25" s="74" t="n">
        <f aca="false">V49</f>
        <v>0</v>
      </c>
      <c r="W25" s="76" t="n">
        <f aca="false">IFERROR(U25/U$32,0)</f>
        <v>0</v>
      </c>
      <c r="X25" s="61"/>
      <c r="Y25" s="73" t="n">
        <f aca="false">SUM(Y23:Y24)</f>
        <v>0</v>
      </c>
      <c r="Z25" s="74" t="n">
        <f aca="false">Z49</f>
        <v>0</v>
      </c>
      <c r="AA25" s="75" t="n">
        <f aca="false">IFERROR(Y25/Y$32,0)</f>
        <v>0</v>
      </c>
      <c r="AB25" s="13"/>
      <c r="AC25" s="5"/>
      <c r="AD25" s="27"/>
      <c r="AE25" s="87"/>
      <c r="AF25" s="27"/>
    </row>
    <row r="26" customFormat="false" ht="18.75" hidden="true" customHeight="true" outlineLevel="1" collapsed="false">
      <c r="A26" s="30"/>
      <c r="B26" s="5"/>
      <c r="C26" s="66"/>
      <c r="D26" s="27"/>
      <c r="E26" s="67"/>
      <c r="F26" s="68"/>
      <c r="G26" s="69"/>
      <c r="H26" s="27"/>
      <c r="I26" s="70"/>
      <c r="J26" s="71"/>
      <c r="K26" s="72"/>
      <c r="L26" s="27"/>
      <c r="M26" s="70"/>
      <c r="N26" s="71"/>
      <c r="O26" s="72"/>
      <c r="P26" s="61"/>
      <c r="Q26" s="73"/>
      <c r="R26" s="74"/>
      <c r="S26" s="75"/>
      <c r="T26" s="61"/>
      <c r="U26" s="73"/>
      <c r="V26" s="74"/>
      <c r="W26" s="76"/>
      <c r="X26" s="61"/>
      <c r="Y26" s="73"/>
      <c r="Z26" s="74"/>
      <c r="AA26" s="75"/>
      <c r="AB26" s="13"/>
      <c r="AC26" s="5"/>
      <c r="AD26" s="27"/>
      <c r="AE26" s="87"/>
      <c r="AF26" s="61"/>
    </row>
    <row r="27" customFormat="false" ht="18.75" hidden="true" customHeight="true" outlineLevel="1" collapsed="false">
      <c r="A27" s="30"/>
      <c r="B27" s="5"/>
      <c r="C27" s="88" t="s">
        <v>46</v>
      </c>
      <c r="D27" s="27"/>
      <c r="E27" s="55"/>
      <c r="F27" s="56"/>
      <c r="G27" s="57"/>
      <c r="H27" s="27"/>
      <c r="I27" s="58"/>
      <c r="J27" s="59"/>
      <c r="K27" s="60"/>
      <c r="L27" s="27"/>
      <c r="M27" s="58"/>
      <c r="N27" s="59"/>
      <c r="O27" s="60"/>
      <c r="P27" s="61"/>
      <c r="Q27" s="62"/>
      <c r="R27" s="63"/>
      <c r="S27" s="64"/>
      <c r="T27" s="61"/>
      <c r="U27" s="62"/>
      <c r="V27" s="63"/>
      <c r="W27" s="65"/>
      <c r="X27" s="61"/>
      <c r="Y27" s="62"/>
      <c r="Z27" s="63"/>
      <c r="AA27" s="64"/>
      <c r="AB27" s="13"/>
      <c r="AC27" s="5"/>
      <c r="AD27" s="89"/>
      <c r="AE27" s="90"/>
      <c r="AF27" s="61"/>
    </row>
    <row r="28" customFormat="false" ht="18.75" hidden="true" customHeight="true" outlineLevel="1" collapsed="false">
      <c r="A28" s="30" t="n">
        <v>104</v>
      </c>
      <c r="B28" s="5"/>
      <c r="C28" s="54" t="s">
        <v>41</v>
      </c>
      <c r="D28" s="27"/>
      <c r="E28" s="55" t="n">
        <f aca="true" t="array" ref="E28:E28">IFERROR(SUM(IF($A28=INDIRECT($AE$9),IF(E$2&lt;=INDIRECT($AD$9),IF(F$2&gt;=INDIRECT($AD$9),INDIRECT($AF$9)/E$94,""),""),"")),0)</f>
        <v>0</v>
      </c>
      <c r="F28" s="56" t="n">
        <f aca="false">F51</f>
        <v>0</v>
      </c>
      <c r="G28" s="57" t="n">
        <f aca="false">IFERROR(E28/E$32,0)</f>
        <v>0</v>
      </c>
      <c r="H28" s="27"/>
      <c r="I28" s="58" t="n">
        <f aca="true" t="array" ref="I28:I28">IFERROR(SUM(IF($A28=INDIRECT($AE$9),IF(I$2&lt;=INDIRECT($AD$9),IF(J$2&gt;=INDIRECT($AD$9),INDIRECT($AF$9)/I$94,""),""),"")),0)</f>
        <v>0</v>
      </c>
      <c r="J28" s="59" t="n">
        <f aca="false">J51</f>
        <v>0</v>
      </c>
      <c r="K28" s="60" t="n">
        <f aca="false">IFERROR(I28/I$32,0)</f>
        <v>0</v>
      </c>
      <c r="L28" s="27"/>
      <c r="M28" s="58" t="n">
        <f aca="true" t="array" ref="M28:M28">IFERROR(SUM(IF($A28=INDIRECT($AE$9),IF(M$2&lt;=INDIRECT($AD$9),IF(N$2&gt;=INDIRECT($AD$9),INDIRECT($AF$9)/M$94,""),""),"")),0)</f>
        <v>0</v>
      </c>
      <c r="N28" s="59" t="n">
        <f aca="false">N51</f>
        <v>0</v>
      </c>
      <c r="O28" s="60" t="n">
        <f aca="false">IFERROR(M28/M$32,0)</f>
        <v>0</v>
      </c>
      <c r="P28" s="61"/>
      <c r="Q28" s="62" t="n">
        <f aca="true" t="array" ref="Q28:Q28">IFERROR(SUM(IF($A28=INDIRECT($AE$9),IF(Q$2&lt;=INDIRECT($AD$9),IF(R$2&gt;=INDIRECT($AD$9),INDIRECT($AF$9)/Q$94,""),""),"")),0)</f>
        <v>0</v>
      </c>
      <c r="R28" s="63" t="n">
        <f aca="false">R51</f>
        <v>0</v>
      </c>
      <c r="S28" s="64" t="n">
        <f aca="false">IFERROR(Q28/Q$32,0)</f>
        <v>0</v>
      </c>
      <c r="T28" s="61"/>
      <c r="U28" s="62" t="n">
        <f aca="true" t="array" ref="U28:U28">IFERROR(SUM(IF($A28=INDIRECT($AE$9),IF(U$2&lt;=INDIRECT($AD$9),IF(V$2&gt;=INDIRECT($AD$9),INDIRECT($AF$9)/U$94,""),""),"")),0)</f>
        <v>0</v>
      </c>
      <c r="V28" s="63" t="n">
        <f aca="false">V51</f>
        <v>0</v>
      </c>
      <c r="W28" s="65" t="n">
        <f aca="false">IFERROR(U28/U$32,0)</f>
        <v>0</v>
      </c>
      <c r="X28" s="61"/>
      <c r="Y28" s="62" t="n">
        <f aca="true" t="array" ref="Y28:Y28">IFERROR(SUM(IF($A28=INDIRECT($AE$9),IF(Y$2&lt;=INDIRECT($AD$9),IF(Z$2&gt;=INDIRECT($AD$9),INDIRECT($AF$9)/Y$94,""),""),"")),0)</f>
        <v>0</v>
      </c>
      <c r="Z28" s="63" t="n">
        <f aca="false">Z51</f>
        <v>0</v>
      </c>
      <c r="AA28" s="64" t="n">
        <f aca="false">IFERROR(Y28/Y$32,0)</f>
        <v>0</v>
      </c>
      <c r="AB28" s="13"/>
      <c r="AC28" s="5"/>
      <c r="AD28" s="61"/>
      <c r="AE28" s="61"/>
      <c r="AF28" s="61"/>
    </row>
    <row r="29" customFormat="false" ht="18.75" hidden="true" customHeight="true" outlineLevel="1" collapsed="false">
      <c r="A29" s="30" t="n">
        <v>105</v>
      </c>
      <c r="B29" s="5"/>
      <c r="C29" s="54" t="s">
        <v>44</v>
      </c>
      <c r="D29" s="27"/>
      <c r="E29" s="55" t="n">
        <f aca="true" t="array" ref="E29:E29">IFERROR(SUM(IF($A29=INDIRECT($AE$9),IF(E$2&lt;=INDIRECT($AD$9),IF(F$2&gt;=INDIRECT($AD$9),INDIRECT($AF$9)/E$94,""),""),"")),0)</f>
        <v>0</v>
      </c>
      <c r="F29" s="56" t="n">
        <f aca="false">F52</f>
        <v>0</v>
      </c>
      <c r="G29" s="57" t="n">
        <f aca="false">IFERROR(E29/E$32,0)</f>
        <v>0</v>
      </c>
      <c r="H29" s="27"/>
      <c r="I29" s="58" t="n">
        <f aca="true" t="array" ref="I29:I29">IFERROR(SUM(IF($A29=INDIRECT($AE$9),IF(I$2&lt;=INDIRECT($AD$9),IF(J$2&gt;=INDIRECT($AD$9),INDIRECT($AF$9)/I$94,""),""),"")),0)</f>
        <v>0</v>
      </c>
      <c r="J29" s="56" t="n">
        <f aca="false">J52</f>
        <v>0</v>
      </c>
      <c r="K29" s="60" t="n">
        <f aca="false">IFERROR(I29/I$32,0)</f>
        <v>0</v>
      </c>
      <c r="L29" s="27"/>
      <c r="M29" s="58" t="n">
        <f aca="true" t="array" ref="M29:M29">IFERROR(SUM(IF($A29=INDIRECT($AE$9),IF(M$2&lt;=INDIRECT($AD$9),IF(N$2&gt;=INDIRECT($AD$9),INDIRECT($AF$9)/M$94,""),""),"")),0)</f>
        <v>0</v>
      </c>
      <c r="N29" s="56" t="n">
        <f aca="false">N52</f>
        <v>0</v>
      </c>
      <c r="O29" s="60" t="n">
        <f aca="false">IFERROR(M29/M$32,0)</f>
        <v>0</v>
      </c>
      <c r="P29" s="61"/>
      <c r="Q29" s="62" t="n">
        <f aca="true" t="array" ref="Q29:Q29">IFERROR(SUM(IF($A29=INDIRECT($AE$9),IF(Q$2&lt;=INDIRECT($AD$9),IF(R$2&gt;=INDIRECT($AD$9),INDIRECT($AF$9)/Q$94,""),""),"")),0)</f>
        <v>0</v>
      </c>
      <c r="R29" s="56" t="n">
        <f aca="false">R52</f>
        <v>0</v>
      </c>
      <c r="S29" s="64" t="n">
        <f aca="false">IFERROR(Q29/Q$32,0)</f>
        <v>0</v>
      </c>
      <c r="T29" s="61"/>
      <c r="U29" s="62" t="n">
        <f aca="true" t="array" ref="U29:U29">IFERROR(SUM(IF($A29=INDIRECT($AE$9),IF(U$2&lt;=INDIRECT($AD$9),IF(V$2&gt;=INDIRECT($AD$9),INDIRECT($AF$9)/U$94,""),""),"")),0)</f>
        <v>0</v>
      </c>
      <c r="V29" s="56" t="n">
        <f aca="false">V52</f>
        <v>0</v>
      </c>
      <c r="W29" s="65" t="n">
        <f aca="false">IFERROR(U29/U$32,0)</f>
        <v>0</v>
      </c>
      <c r="X29" s="61"/>
      <c r="Y29" s="62" t="n">
        <f aca="true" t="array" ref="Y29:Y29">IFERROR(SUM(IF($A29=INDIRECT($AE$9),IF(Y$2&lt;=INDIRECT($AD$9),IF(Z$2&gt;=INDIRECT($AD$9),INDIRECT($AF$9)/Y$94,""),""),"")),0)</f>
        <v>0</v>
      </c>
      <c r="Z29" s="56" t="n">
        <f aca="false">Z52</f>
        <v>0</v>
      </c>
      <c r="AA29" s="64" t="n">
        <f aca="false">IFERROR(Y29/Y$32,0)</f>
        <v>0</v>
      </c>
      <c r="AB29" s="13"/>
      <c r="AC29" s="5"/>
      <c r="AD29" s="91"/>
      <c r="AE29" s="61"/>
      <c r="AF29" s="61"/>
    </row>
    <row r="30" customFormat="false" ht="18.75" hidden="true" customHeight="true" outlineLevel="0" collapsed="false">
      <c r="A30" s="30"/>
      <c r="B30" s="5"/>
      <c r="C30" s="66" t="s">
        <v>47</v>
      </c>
      <c r="D30" s="27"/>
      <c r="E30" s="67" t="n">
        <f aca="false">SUM(E28:E29)</f>
        <v>0</v>
      </c>
      <c r="F30" s="68" t="n">
        <f aca="false">F53</f>
        <v>0</v>
      </c>
      <c r="G30" s="69" t="n">
        <f aca="false">IFERROR(E30/E$32,0)</f>
        <v>0</v>
      </c>
      <c r="H30" s="27"/>
      <c r="I30" s="70" t="n">
        <f aca="false">SUM(I28:I29)</f>
        <v>0</v>
      </c>
      <c r="J30" s="71" t="n">
        <f aca="false">J53</f>
        <v>0</v>
      </c>
      <c r="K30" s="72" t="n">
        <f aca="false">IFERROR(I30/I$32,0)</f>
        <v>0</v>
      </c>
      <c r="L30" s="27"/>
      <c r="M30" s="70" t="n">
        <f aca="false">SUM(M28:M29)</f>
        <v>0</v>
      </c>
      <c r="N30" s="71" t="n">
        <f aca="false">N53</f>
        <v>0</v>
      </c>
      <c r="O30" s="72" t="n">
        <f aca="false">IFERROR(M30/M$32,0)</f>
        <v>0</v>
      </c>
      <c r="P30" s="61"/>
      <c r="Q30" s="73" t="n">
        <f aca="false">SUM(Q28:Q29)</f>
        <v>0</v>
      </c>
      <c r="R30" s="74" t="n">
        <f aca="false">R53</f>
        <v>0</v>
      </c>
      <c r="S30" s="75" t="n">
        <f aca="false">IFERROR(Q30/Q$32,0)</f>
        <v>0</v>
      </c>
      <c r="T30" s="61"/>
      <c r="U30" s="73" t="n">
        <f aca="false">SUM(U28:U29)</f>
        <v>0</v>
      </c>
      <c r="V30" s="74" t="n">
        <f aca="false">V53</f>
        <v>0</v>
      </c>
      <c r="W30" s="76" t="n">
        <f aca="false">IFERROR(U30/U$32,0)</f>
        <v>0</v>
      </c>
      <c r="X30" s="61"/>
      <c r="Y30" s="73" t="n">
        <f aca="false">SUM(Y28:Y29)</f>
        <v>0</v>
      </c>
      <c r="Z30" s="74" t="n">
        <f aca="false">Z53</f>
        <v>0</v>
      </c>
      <c r="AA30" s="75" t="n">
        <f aca="false">IFERROR(Y30/Y$32,0)</f>
        <v>0</v>
      </c>
      <c r="AB30" s="13"/>
      <c r="AC30" s="5"/>
      <c r="AD30" s="27"/>
      <c r="AE30" s="92"/>
      <c r="AF30" s="93"/>
    </row>
    <row r="31" customFormat="false" ht="18.75" hidden="true" customHeight="true" outlineLevel="0" collapsed="false">
      <c r="A31" s="30"/>
      <c r="B31" s="5"/>
      <c r="C31" s="66"/>
      <c r="D31" s="27"/>
      <c r="E31" s="67"/>
      <c r="F31" s="68"/>
      <c r="G31" s="69"/>
      <c r="H31" s="27"/>
      <c r="I31" s="70"/>
      <c r="J31" s="71"/>
      <c r="K31" s="72"/>
      <c r="L31" s="27"/>
      <c r="M31" s="70"/>
      <c r="N31" s="71"/>
      <c r="O31" s="72"/>
      <c r="P31" s="61"/>
      <c r="Q31" s="73"/>
      <c r="R31" s="74"/>
      <c r="S31" s="75"/>
      <c r="T31" s="61"/>
      <c r="U31" s="73"/>
      <c r="V31" s="74"/>
      <c r="W31" s="76"/>
      <c r="X31" s="61"/>
      <c r="Y31" s="73"/>
      <c r="Z31" s="74"/>
      <c r="AA31" s="75"/>
      <c r="AB31" s="13"/>
      <c r="AC31" s="5"/>
      <c r="AD31" s="27"/>
      <c r="AE31" s="92"/>
      <c r="AF31" s="93"/>
    </row>
    <row r="32" customFormat="false" ht="18.75" hidden="true" customHeight="true" outlineLevel="0" collapsed="false">
      <c r="A32" s="4"/>
      <c r="B32" s="5"/>
      <c r="C32" s="66" t="s">
        <v>48</v>
      </c>
      <c r="D32" s="27"/>
      <c r="E32" s="67" t="n">
        <f aca="false">E20+E25+E30</f>
        <v>1.91780821917808</v>
      </c>
      <c r="F32" s="68" t="n">
        <f aca="false">F56</f>
        <v>109714.307577381</v>
      </c>
      <c r="G32" s="69" t="n">
        <f aca="false">IFERROR(E32/E$32,0)</f>
        <v>1</v>
      </c>
      <c r="H32" s="27"/>
      <c r="I32" s="70" t="n">
        <f aca="false">I20+I25+I30</f>
        <v>3.27868852459016</v>
      </c>
      <c r="J32" s="71" t="n">
        <f aca="false">J56</f>
        <v>112666.20846875</v>
      </c>
      <c r="K32" s="72" t="n">
        <f aca="false">IFERROR(I32/I$32,0)</f>
        <v>1</v>
      </c>
      <c r="L32" s="27"/>
      <c r="M32" s="70" t="n">
        <f aca="false">M20+M25+M30</f>
        <v>3.27868852459016</v>
      </c>
      <c r="N32" s="71" t="n">
        <f aca="false">N56</f>
        <v>116336.300958333</v>
      </c>
      <c r="O32" s="72" t="n">
        <f aca="false">IFERROR(M32/M$32,0)</f>
        <v>1</v>
      </c>
      <c r="P32" s="61"/>
      <c r="Q32" s="73" t="n">
        <f aca="false">Q20+Q25+Q30</f>
        <v>1.08695652173913</v>
      </c>
      <c r="R32" s="74" t="n">
        <f aca="false">R56</f>
        <v>117830.823875</v>
      </c>
      <c r="S32" s="75" t="n">
        <f aca="false">IFERROR(Q32/Q$32,0)</f>
        <v>1</v>
      </c>
      <c r="T32" s="61"/>
      <c r="U32" s="73" t="n">
        <f aca="false">U20+U25+U30</f>
        <v>0</v>
      </c>
      <c r="V32" s="74" t="n">
        <f aca="false">V56</f>
        <v>0</v>
      </c>
      <c r="W32" s="76" t="n">
        <f aca="false">IFERROR(U32/U$32,0)</f>
        <v>0</v>
      </c>
      <c r="X32" s="61"/>
      <c r="Y32" s="73" t="n">
        <f aca="false">Y20+Y25+Y30</f>
        <v>0</v>
      </c>
      <c r="Z32" s="74" t="n">
        <f aca="false">Z56</f>
        <v>0</v>
      </c>
      <c r="AA32" s="75" t="n">
        <f aca="false">IFERROR(Y32/Y$32,0)</f>
        <v>0</v>
      </c>
      <c r="AB32" s="13"/>
      <c r="AC32" s="5"/>
      <c r="AD32" s="27"/>
      <c r="AE32" s="92"/>
      <c r="AF32" s="93"/>
    </row>
    <row r="33" customFormat="false" ht="18.75" hidden="true" customHeight="true" outlineLevel="0" collapsed="false">
      <c r="A33" s="4"/>
      <c r="B33" s="5"/>
      <c r="C33" s="66" t="s">
        <v>49</v>
      </c>
      <c r="D33" s="27"/>
      <c r="E33" s="94" t="n">
        <f aca="false">IFERROR(E20/F9,0)</f>
        <v>0</v>
      </c>
      <c r="F33" s="68"/>
      <c r="G33" s="69"/>
      <c r="H33" s="27"/>
      <c r="I33" s="94" t="n">
        <f aca="false">IFERROR(I20/J9,0)</f>
        <v>0</v>
      </c>
      <c r="J33" s="71"/>
      <c r="K33" s="72"/>
      <c r="L33" s="27"/>
      <c r="M33" s="94" t="n">
        <f aca="false">IFERROR(M20/N9,0)</f>
        <v>0</v>
      </c>
      <c r="N33" s="71"/>
      <c r="O33" s="72"/>
      <c r="P33" s="61"/>
      <c r="Q33" s="94" t="n">
        <f aca="false">IFERROR(Q20/R9,0)</f>
        <v>0</v>
      </c>
      <c r="R33" s="74"/>
      <c r="S33" s="75"/>
      <c r="T33" s="61"/>
      <c r="U33" s="94" t="n">
        <f aca="false">IFERROR(U20/V9,0)</f>
        <v>0</v>
      </c>
      <c r="V33" s="74"/>
      <c r="W33" s="76"/>
      <c r="X33" s="61"/>
      <c r="Y33" s="94" t="n">
        <f aca="false">IFERROR(Y20/Z9,0)</f>
        <v>0</v>
      </c>
      <c r="Z33" s="74"/>
      <c r="AA33" s="75"/>
      <c r="AB33" s="13"/>
      <c r="AC33" s="5"/>
      <c r="AD33" s="89"/>
      <c r="AE33" s="90"/>
      <c r="AF33" s="61"/>
    </row>
    <row r="34" customFormat="false" ht="18.75" hidden="false" customHeight="true" outlineLevel="0" collapsed="false">
      <c r="A34" s="4"/>
      <c r="B34" s="5"/>
      <c r="C34" s="66" t="s">
        <v>50</v>
      </c>
      <c r="D34" s="27"/>
      <c r="E34" s="94" t="n">
        <f aca="false">IFERROR(E25/F11,0)</f>
        <v>0</v>
      </c>
      <c r="F34" s="69"/>
      <c r="G34" s="69"/>
      <c r="H34" s="95"/>
      <c r="I34" s="94" t="n">
        <f aca="false">IFERROR(I25/J11,0)</f>
        <v>0</v>
      </c>
      <c r="J34" s="72"/>
      <c r="K34" s="72"/>
      <c r="L34" s="95"/>
      <c r="M34" s="94" t="n">
        <f aca="false">IFERROR(M25/N11,0)</f>
        <v>0</v>
      </c>
      <c r="N34" s="72"/>
      <c r="O34" s="72"/>
      <c r="P34" s="96"/>
      <c r="Q34" s="94" t="n">
        <f aca="false">IFERROR(Q25/R11,0)</f>
        <v>0</v>
      </c>
      <c r="R34" s="76"/>
      <c r="S34" s="75"/>
      <c r="T34" s="61"/>
      <c r="U34" s="94" t="n">
        <f aca="false">IFERROR(U25/V11,0)</f>
        <v>0</v>
      </c>
      <c r="V34" s="76"/>
      <c r="W34" s="76"/>
      <c r="X34" s="61"/>
      <c r="Y34" s="94" t="n">
        <f aca="false">IFERROR(Y25/Z11,0)</f>
        <v>0</v>
      </c>
      <c r="Z34" s="76"/>
      <c r="AA34" s="75"/>
      <c r="AB34" s="13"/>
      <c r="AC34" s="5"/>
      <c r="AD34" s="61"/>
      <c r="AE34" s="61"/>
      <c r="AF34" s="61"/>
    </row>
    <row r="35" customFormat="false" ht="18.75" hidden="false" customHeight="true" outlineLevel="0" collapsed="false">
      <c r="A35" s="4"/>
      <c r="B35" s="5"/>
      <c r="C35" s="66" t="s">
        <v>51</v>
      </c>
      <c r="D35" s="27"/>
      <c r="E35" s="94" t="n">
        <f aca="false">IFERROR(E30/F14,0)</f>
        <v>0</v>
      </c>
      <c r="F35" s="69"/>
      <c r="G35" s="69"/>
      <c r="H35" s="95"/>
      <c r="I35" s="94" t="n">
        <f aca="false">IFERROR(I30/J14,0)</f>
        <v>0</v>
      </c>
      <c r="J35" s="72"/>
      <c r="K35" s="72"/>
      <c r="L35" s="95"/>
      <c r="M35" s="94" t="n">
        <f aca="false">IFERROR(M30/N14,0)</f>
        <v>0</v>
      </c>
      <c r="N35" s="72"/>
      <c r="O35" s="72"/>
      <c r="P35" s="96"/>
      <c r="Q35" s="94" t="n">
        <f aca="false">IFERROR(Q30/R14,0)</f>
        <v>0</v>
      </c>
      <c r="R35" s="76"/>
      <c r="S35" s="75"/>
      <c r="T35" s="61"/>
      <c r="U35" s="94" t="n">
        <f aca="false">IFERROR(U30/V14,0)</f>
        <v>0</v>
      </c>
      <c r="V35" s="76"/>
      <c r="W35" s="76"/>
      <c r="X35" s="61"/>
      <c r="Y35" s="94" t="n">
        <f aca="false">IFERROR(Y30/Z14,0)</f>
        <v>0</v>
      </c>
      <c r="Z35" s="76"/>
      <c r="AA35" s="75"/>
      <c r="AB35" s="13"/>
      <c r="AC35" s="5"/>
      <c r="AD35" s="91"/>
      <c r="AE35" s="27"/>
      <c r="AF35" s="61"/>
    </row>
    <row r="36" customFormat="false" ht="18.75" hidden="false" customHeight="true" outlineLevel="0" collapsed="false">
      <c r="A36" s="4"/>
      <c r="B36" s="5"/>
      <c r="C36" s="66" t="s">
        <v>52</v>
      </c>
      <c r="D36" s="27"/>
      <c r="E36" s="94" t="n">
        <f aca="false">IFERROR(E32/F6,0)</f>
        <v>0.0242760534073175</v>
      </c>
      <c r="F36" s="4"/>
      <c r="G36" s="69"/>
      <c r="H36" s="27"/>
      <c r="I36" s="94" t="n">
        <f aca="false">IFERROR(I32/J6,0)</f>
        <v>0.0415023863872173</v>
      </c>
      <c r="J36" s="97"/>
      <c r="K36" s="72"/>
      <c r="L36" s="27"/>
      <c r="M36" s="94" t="n">
        <f aca="false">IFERROR(M32/N6,0)</f>
        <v>0.0415023863872173</v>
      </c>
      <c r="N36" s="97"/>
      <c r="O36" s="72"/>
      <c r="P36" s="61"/>
      <c r="Q36" s="94" t="n">
        <f aca="false">IFERROR(Q32/R6,0)</f>
        <v>0.0137589433131536</v>
      </c>
      <c r="R36" s="61"/>
      <c r="S36" s="75"/>
      <c r="T36" s="61"/>
      <c r="U36" s="94" t="n">
        <f aca="false">IFERROR(U32/V6,0)</f>
        <v>0</v>
      </c>
      <c r="V36" s="61"/>
      <c r="W36" s="76"/>
      <c r="X36" s="61"/>
      <c r="Y36" s="94" t="n">
        <f aca="false">IFERROR(Y32/Z6,0)</f>
        <v>0</v>
      </c>
      <c r="Z36" s="61"/>
      <c r="AA36" s="75"/>
      <c r="AB36" s="13"/>
      <c r="AC36" s="5"/>
      <c r="AD36" s="27"/>
      <c r="AE36" s="87"/>
      <c r="AF36" s="61"/>
    </row>
    <row r="37" customFormat="false" ht="18.75" hidden="false" customHeight="true" outlineLevel="0" collapsed="false">
      <c r="A37" s="4"/>
      <c r="B37" s="5"/>
      <c r="C37" s="31" t="s">
        <v>53</v>
      </c>
      <c r="D37" s="27"/>
      <c r="E37" s="98" t="n">
        <f aca="false">IFERROR(1-(E24+E29)/E32,0)</f>
        <v>1</v>
      </c>
      <c r="F37" s="99"/>
      <c r="G37" s="99"/>
      <c r="H37" s="27"/>
      <c r="I37" s="100" t="n">
        <f aca="false">IFERROR(1-(I24+I29)/I32,0)</f>
        <v>1</v>
      </c>
      <c r="J37" s="101"/>
      <c r="K37" s="101"/>
      <c r="L37" s="27"/>
      <c r="M37" s="100" t="n">
        <f aca="false">IFERROR(1-(M24+M29)/M32,0)</f>
        <v>1</v>
      </c>
      <c r="N37" s="101"/>
      <c r="O37" s="101"/>
      <c r="P37" s="61"/>
      <c r="Q37" s="102" t="n">
        <f aca="false">IFERROR(1-(Q24+Q29)/Q32,0)</f>
        <v>1</v>
      </c>
      <c r="R37" s="103"/>
      <c r="S37" s="104"/>
      <c r="T37" s="61"/>
      <c r="U37" s="102" t="n">
        <f aca="false">IFERROR(1-(U24+U29)/U32,0)</f>
        <v>0</v>
      </c>
      <c r="V37" s="103"/>
      <c r="W37" s="103"/>
      <c r="X37" s="61"/>
      <c r="Y37" s="102" t="n">
        <f aca="false">IFERROR(1-(Y24+Y29)/Y32,0)</f>
        <v>0</v>
      </c>
      <c r="Z37" s="103"/>
      <c r="AA37" s="104"/>
      <c r="AB37" s="13"/>
      <c r="AC37" s="5"/>
      <c r="AD37" s="27"/>
      <c r="AE37" s="87"/>
      <c r="AF37" s="61"/>
    </row>
    <row r="38" customFormat="false" ht="18.75" hidden="false" customHeight="true" outlineLevel="0" collapsed="false">
      <c r="A38" s="4"/>
      <c r="B38" s="5"/>
      <c r="C38" s="105"/>
      <c r="D38" s="37"/>
      <c r="E38" s="106"/>
      <c r="F38" s="107"/>
      <c r="G38" s="107"/>
      <c r="H38" s="37"/>
      <c r="I38" s="108"/>
      <c r="J38" s="109"/>
      <c r="K38" s="109"/>
      <c r="L38" s="37"/>
      <c r="M38" s="108"/>
      <c r="N38" s="109"/>
      <c r="O38" s="109"/>
      <c r="P38" s="110"/>
      <c r="Q38" s="111"/>
      <c r="R38" s="112"/>
      <c r="S38" s="113"/>
      <c r="T38" s="110"/>
      <c r="U38" s="111"/>
      <c r="V38" s="112"/>
      <c r="W38" s="112"/>
      <c r="X38" s="110"/>
      <c r="Y38" s="111"/>
      <c r="Z38" s="112"/>
      <c r="AA38" s="113"/>
      <c r="AB38" s="13"/>
      <c r="AC38" s="5"/>
      <c r="AD38" s="89"/>
      <c r="AE38" s="90"/>
      <c r="AF38" s="61"/>
    </row>
    <row r="39" customFormat="false" ht="18.75" hidden="true" customHeight="true" outlineLevel="0" collapsed="false">
      <c r="A39" s="4"/>
      <c r="B39" s="5"/>
      <c r="C39" s="15"/>
      <c r="D39" s="16"/>
      <c r="E39" s="17"/>
      <c r="F39" s="18" t="n">
        <f aca="false">F3</f>
        <v>2023</v>
      </c>
      <c r="G39" s="17"/>
      <c r="H39" s="16"/>
      <c r="I39" s="17"/>
      <c r="J39" s="18" t="str">
        <f aca="false">J3</f>
        <v>Trailing 12 Months</v>
      </c>
      <c r="K39" s="17"/>
      <c r="L39" s="16"/>
      <c r="M39" s="17"/>
      <c r="N39" s="18" t="str">
        <f aca="false">N3</f>
        <v>Trailing 6 Months Annualized</v>
      </c>
      <c r="O39" s="17"/>
      <c r="P39" s="16"/>
      <c r="Q39" s="17"/>
      <c r="R39" s="18" t="str">
        <f aca="false">R3</f>
        <v>Trailing 3 Months Annualized</v>
      </c>
      <c r="S39" s="19"/>
      <c r="T39" s="16"/>
      <c r="U39" s="17"/>
      <c r="V39" s="18" t="str">
        <f aca="false">V3</f>
        <v>Operator Proforma</v>
      </c>
      <c r="W39" s="17"/>
      <c r="X39" s="16"/>
      <c r="Y39" s="17"/>
      <c r="Z39" s="18" t="str">
        <f aca="false">Z3</f>
        <v>Helios Proforma</v>
      </c>
      <c r="AA39" s="19"/>
      <c r="AB39" s="13"/>
      <c r="AC39" s="5"/>
      <c r="AD39" s="89"/>
      <c r="AE39" s="90"/>
      <c r="AF39" s="61"/>
    </row>
    <row r="40" customFormat="false" ht="18.75" hidden="true" customHeight="true" outlineLevel="0" collapsed="false">
      <c r="A40" s="4"/>
      <c r="B40" s="5"/>
      <c r="C40" s="21"/>
      <c r="D40" s="22"/>
      <c r="E40" s="23"/>
      <c r="F40" s="24" t="str">
        <f aca="false">F4</f>
        <v>(1/1/2022 - 12/31/2022)</v>
      </c>
      <c r="G40" s="23"/>
      <c r="H40" s="22"/>
      <c r="I40" s="23"/>
      <c r="J40" s="24" t="str">
        <f aca="false">J4</f>
        <v>(6/1/2023 - 5/31/2024)</v>
      </c>
      <c r="K40" s="23"/>
      <c r="L40" s="22"/>
      <c r="M40" s="23"/>
      <c r="N40" s="24" t="str">
        <f aca="false">N4</f>
        <v>(12/1/2023 - 5/31/2024)</v>
      </c>
      <c r="O40" s="23"/>
      <c r="P40" s="22"/>
      <c r="Q40" s="23"/>
      <c r="R40" s="24" t="str">
        <f aca="false">R4</f>
        <v>(3/1/24 - 5/31/24)</v>
      </c>
      <c r="S40" s="25"/>
      <c r="T40" s="22"/>
      <c r="U40" s="23"/>
      <c r="V40" s="24"/>
      <c r="W40" s="23"/>
      <c r="X40" s="22"/>
      <c r="Y40" s="23"/>
      <c r="Z40" s="24"/>
      <c r="AA40" s="25"/>
      <c r="AB40" s="13"/>
      <c r="AC40" s="5"/>
      <c r="AD40" s="89"/>
      <c r="AE40" s="90"/>
      <c r="AF40" s="61"/>
    </row>
    <row r="41" customFormat="false" ht="18.75" hidden="false" customHeight="true" outlineLevel="0" collapsed="false">
      <c r="A41" s="4"/>
      <c r="B41" s="5"/>
      <c r="C41" s="114" t="s">
        <v>54</v>
      </c>
      <c r="D41" s="27"/>
      <c r="E41" s="115" t="n">
        <f aca="false">G$2</f>
        <v>2023</v>
      </c>
      <c r="F41" s="115" t="s">
        <v>37</v>
      </c>
      <c r="G41" s="115" t="s">
        <v>55</v>
      </c>
      <c r="H41" s="27"/>
      <c r="I41" s="115" t="str">
        <f aca="false">K$2</f>
        <v>T12</v>
      </c>
      <c r="J41" s="115" t="s">
        <v>37</v>
      </c>
      <c r="K41" s="115" t="s">
        <v>55</v>
      </c>
      <c r="L41" s="27"/>
      <c r="M41" s="115" t="str">
        <f aca="false">O$2</f>
        <v>T6</v>
      </c>
      <c r="N41" s="115" t="s">
        <v>37</v>
      </c>
      <c r="O41" s="115" t="s">
        <v>55</v>
      </c>
      <c r="P41" s="61"/>
      <c r="Q41" s="115" t="str">
        <f aca="false">S$2</f>
        <v>T3A</v>
      </c>
      <c r="R41" s="115" t="s">
        <v>37</v>
      </c>
      <c r="S41" s="116" t="s">
        <v>55</v>
      </c>
      <c r="T41" s="61"/>
      <c r="U41" s="115" t="str">
        <f aca="false">W$2</f>
        <v>Op. Proforma</v>
      </c>
      <c r="V41" s="115" t="s">
        <v>37</v>
      </c>
      <c r="W41" s="115" t="s">
        <v>55</v>
      </c>
      <c r="X41" s="61"/>
      <c r="Y41" s="115" t="str">
        <f aca="false">AA$2</f>
        <v>Helios Proforma</v>
      </c>
      <c r="Z41" s="115" t="s">
        <v>37</v>
      </c>
      <c r="AA41" s="115" t="s">
        <v>55</v>
      </c>
      <c r="AB41" s="13"/>
      <c r="AC41" s="5"/>
      <c r="AD41" s="89"/>
      <c r="AE41" s="90"/>
      <c r="AF41" s="61"/>
    </row>
    <row r="42" customFormat="false" ht="18.75" hidden="true" customHeight="true" outlineLevel="1" collapsed="false">
      <c r="A42" s="117"/>
      <c r="B42" s="5"/>
      <c r="C42" s="118" t="s">
        <v>56</v>
      </c>
      <c r="D42" s="46"/>
      <c r="E42" s="119"/>
      <c r="F42" s="120"/>
      <c r="G42" s="121"/>
      <c r="H42" s="46"/>
      <c r="I42" s="122"/>
      <c r="J42" s="123"/>
      <c r="K42" s="124"/>
      <c r="L42" s="46"/>
      <c r="M42" s="122"/>
      <c r="N42" s="123"/>
      <c r="O42" s="124"/>
      <c r="P42" s="80"/>
      <c r="Q42" s="125"/>
      <c r="R42" s="126"/>
      <c r="S42" s="127"/>
      <c r="T42" s="80"/>
      <c r="U42" s="125"/>
      <c r="V42" s="126"/>
      <c r="W42" s="128"/>
      <c r="X42" s="80"/>
      <c r="Y42" s="125"/>
      <c r="Z42" s="126"/>
      <c r="AA42" s="127"/>
      <c r="AB42" s="13"/>
      <c r="AC42" s="5"/>
      <c r="AD42" s="89"/>
      <c r="AE42" s="27"/>
      <c r="AF42" s="61"/>
    </row>
    <row r="43" customFormat="false" ht="18.75" hidden="true" customHeight="true" outlineLevel="1" collapsed="false">
      <c r="A43" s="129"/>
      <c r="B43" s="5"/>
      <c r="C43" s="88" t="s">
        <v>57</v>
      </c>
      <c r="D43" s="27"/>
      <c r="E43" s="130"/>
      <c r="F43" s="131"/>
      <c r="G43" s="131"/>
      <c r="H43" s="27"/>
      <c r="I43" s="132"/>
      <c r="J43" s="41"/>
      <c r="K43" s="41"/>
      <c r="L43" s="27"/>
      <c r="M43" s="132"/>
      <c r="N43" s="41"/>
      <c r="O43" s="41"/>
      <c r="P43" s="61"/>
      <c r="Q43" s="133"/>
      <c r="R43" s="115"/>
      <c r="S43" s="116"/>
      <c r="T43" s="61"/>
      <c r="U43" s="133"/>
      <c r="V43" s="115"/>
      <c r="W43" s="115"/>
      <c r="X43" s="61"/>
      <c r="Y43" s="133"/>
      <c r="Z43" s="115"/>
      <c r="AA43" s="116"/>
      <c r="AB43" s="13"/>
      <c r="AC43" s="5"/>
      <c r="AD43" s="134"/>
      <c r="AE43" s="134"/>
      <c r="AF43" s="134"/>
    </row>
    <row r="44" customFormat="false" ht="18.75" hidden="true" customHeight="true" outlineLevel="1" collapsed="false">
      <c r="A44" s="135" t="n">
        <v>201</v>
      </c>
      <c r="B44" s="5"/>
      <c r="C44" s="54" t="s">
        <v>41</v>
      </c>
      <c r="D44" s="27"/>
      <c r="E44" s="136" t="n">
        <f aca="true" t="array" ref="E44:E44">IFERROR(SUM(IF($A44=INDIRECT($AE$9),IF(E$2&lt;=INDIRECT($AD$9),IF(F$2&gt;=INDIRECT($AD$9),INDIRECT($AF$9)*E$95,""),""),"")),0)</f>
        <v>0</v>
      </c>
      <c r="F44" s="56" t="n">
        <f aca="false">IFERROR((E44/E19)/12,0)</f>
        <v>0</v>
      </c>
      <c r="G44" s="57" t="n">
        <f aca="false">IFERROR(E44/E$68,0)</f>
        <v>0</v>
      </c>
      <c r="H44" s="27"/>
      <c r="I44" s="137" t="n">
        <f aca="true" t="array" ref="I44:I44">IFERROR(SUM(IF($A44=INDIRECT($AE$9),IF(I$2&lt;=INDIRECT($AD$9),IF(J$2&gt;=INDIRECT($AD$9),INDIRECT($AF$9)*I$95,""),""),"")),0)</f>
        <v>0</v>
      </c>
      <c r="J44" s="59" t="n">
        <f aca="false">IFERROR((I44/I19)/12,0)</f>
        <v>0</v>
      </c>
      <c r="K44" s="60" t="n">
        <f aca="false">IFERROR(I44/I$68,0)</f>
        <v>0</v>
      </c>
      <c r="L44" s="27"/>
      <c r="M44" s="137" t="n">
        <f aca="true" t="array" ref="M44:M44">IFERROR(SUM(IF($A44=INDIRECT($AE$9),IF(M$2&lt;=INDIRECT($AD$9),IF(N$2&gt;=INDIRECT($AD$9),INDIRECT($AF$9)*M$95,""),""),"")),0)</f>
        <v>0</v>
      </c>
      <c r="N44" s="59" t="n">
        <f aca="false">IFERROR((M44/M19)/12,0)</f>
        <v>0</v>
      </c>
      <c r="O44" s="60" t="n">
        <f aca="false">IFERROR(M44/M$68,0)</f>
        <v>0</v>
      </c>
      <c r="P44" s="61"/>
      <c r="Q44" s="138" t="n">
        <f aca="true" t="array" ref="Q44:Q44">IFERROR(SUM(IF($A44=INDIRECT($AE$9),IF(Q$2&lt;=INDIRECT($AD$9),IF(R$2&gt;=INDIRECT($AD$9),INDIRECT($AF$9)*Q$95,""),""),"")),0)</f>
        <v>0</v>
      </c>
      <c r="R44" s="63" t="n">
        <f aca="false">IFERROR((Q44/Q19)/12,0)</f>
        <v>0</v>
      </c>
      <c r="S44" s="64" t="n">
        <f aca="false">IFERROR(Q44/Q$68,0)</f>
        <v>0</v>
      </c>
      <c r="T44" s="61"/>
      <c r="U44" s="138" t="n">
        <f aca="true" t="array" ref="U44:U44">IFERROR(SUM(IF($A44=INDIRECT($AE$9),IF(U$2&lt;=INDIRECT($AD$9),IF(V$2&gt;=INDIRECT($AD$9),INDIRECT($AF$9)*U$95,""),""),"")),0)</f>
        <v>0</v>
      </c>
      <c r="V44" s="63" t="n">
        <f aca="false">IFERROR((U44/U19)/12,0)</f>
        <v>0</v>
      </c>
      <c r="W44" s="65" t="n">
        <f aca="false">IFERROR(U44/U$68,0)</f>
        <v>0</v>
      </c>
      <c r="X44" s="61"/>
      <c r="Y44" s="138" t="n">
        <f aca="true" t="array" ref="Y44:Y44">IFERROR(SUM(IF($A44=INDIRECT($AE$9),IF(Y$2&lt;=INDIRECT($AD$9),IF(Z$2&gt;=INDIRECT($AD$9),INDIRECT($AF$9)*Y$95,""),""),"")),0)</f>
        <v>0</v>
      </c>
      <c r="Z44" s="63" t="n">
        <f aca="false">IFERROR((Y44/Y19)/12,0)</f>
        <v>0</v>
      </c>
      <c r="AA44" s="64" t="n">
        <f aca="false">IFERROR(Y44/Y$68,0)</f>
        <v>0</v>
      </c>
      <c r="AB44" s="13"/>
      <c r="AC44" s="5"/>
      <c r="AD44" s="91"/>
      <c r="AE44" s="139"/>
      <c r="AF44" s="61"/>
    </row>
    <row r="45" customFormat="false" ht="18.75" hidden="true" customHeight="true" outlineLevel="1" collapsed="false">
      <c r="A45" s="135"/>
      <c r="B45" s="5"/>
      <c r="C45" s="88" t="s">
        <v>58</v>
      </c>
      <c r="D45" s="27"/>
      <c r="E45" s="140" t="n">
        <f aca="false">SUM(E44)</f>
        <v>0</v>
      </c>
      <c r="F45" s="141" t="n">
        <f aca="false">IFERROR((E45/E20)/12,0)</f>
        <v>0</v>
      </c>
      <c r="G45" s="142" t="n">
        <f aca="false">IFERROR(E45/E$68,0)</f>
        <v>0</v>
      </c>
      <c r="H45" s="143"/>
      <c r="I45" s="144" t="n">
        <f aca="false">SUM(I44)</f>
        <v>0</v>
      </c>
      <c r="J45" s="145" t="n">
        <f aca="false">IFERROR((I45/I20)/12,0)</f>
        <v>0</v>
      </c>
      <c r="K45" s="146" t="n">
        <f aca="false">IFERROR(I45/I$68,0)</f>
        <v>0</v>
      </c>
      <c r="L45" s="143"/>
      <c r="M45" s="144" t="n">
        <f aca="false">SUM(M44)</f>
        <v>0</v>
      </c>
      <c r="N45" s="145" t="n">
        <f aca="false">IFERROR((M45/M20)/12,0)</f>
        <v>0</v>
      </c>
      <c r="O45" s="146" t="n">
        <f aca="false">IFERROR(M45/M$68,0)</f>
        <v>0</v>
      </c>
      <c r="P45" s="147"/>
      <c r="Q45" s="148" t="n">
        <f aca="false">SUM(Q44)</f>
        <v>0</v>
      </c>
      <c r="R45" s="149" t="n">
        <f aca="false">IFERROR((Q45/Q20)/12,0)</f>
        <v>0</v>
      </c>
      <c r="S45" s="150" t="n">
        <f aca="false">IFERROR(Q45/Q$68,0)</f>
        <v>0</v>
      </c>
      <c r="T45" s="147"/>
      <c r="U45" s="148" t="n">
        <f aca="false">SUM(U44)</f>
        <v>0</v>
      </c>
      <c r="V45" s="149" t="n">
        <f aca="false">IFERROR((U45/U20)/12,0)</f>
        <v>0</v>
      </c>
      <c r="W45" s="151" t="n">
        <f aca="false">IFERROR(U45/U$68,0)</f>
        <v>0</v>
      </c>
      <c r="X45" s="147"/>
      <c r="Y45" s="148" t="n">
        <f aca="false">SUM(Y44)</f>
        <v>0</v>
      </c>
      <c r="Z45" s="149" t="n">
        <f aca="false">IFERROR((Y45/Y20)/12,0)</f>
        <v>0</v>
      </c>
      <c r="AA45" s="150" t="n">
        <f aca="false">IFERROR(Y45/Y$68,0)</f>
        <v>0</v>
      </c>
      <c r="AB45" s="13"/>
      <c r="AC45" s="5"/>
      <c r="AD45" s="152"/>
      <c r="AE45" s="153"/>
      <c r="AF45" s="154"/>
    </row>
    <row r="46" customFormat="false" ht="18.75" hidden="false" customHeight="true" outlineLevel="1" collapsed="false">
      <c r="A46" s="135"/>
      <c r="B46" s="5"/>
      <c r="C46" s="45" t="s">
        <v>59</v>
      </c>
      <c r="D46" s="46"/>
      <c r="E46" s="155"/>
      <c r="F46" s="48"/>
      <c r="G46" s="49"/>
      <c r="H46" s="46"/>
      <c r="I46" s="156"/>
      <c r="J46" s="78"/>
      <c r="K46" s="79"/>
      <c r="L46" s="46"/>
      <c r="M46" s="156"/>
      <c r="N46" s="78"/>
      <c r="O46" s="79"/>
      <c r="P46" s="80"/>
      <c r="Q46" s="157"/>
      <c r="R46" s="82"/>
      <c r="S46" s="83"/>
      <c r="T46" s="80"/>
      <c r="U46" s="157"/>
      <c r="V46" s="82"/>
      <c r="W46" s="84"/>
      <c r="X46" s="80"/>
      <c r="Y46" s="157"/>
      <c r="Z46" s="82"/>
      <c r="AA46" s="83"/>
      <c r="AB46" s="13"/>
      <c r="AC46" s="5"/>
      <c r="AD46" s="158"/>
      <c r="AE46" s="153"/>
      <c r="AF46" s="154"/>
    </row>
    <row r="47" customFormat="false" ht="18.75" hidden="false" customHeight="true" outlineLevel="1" collapsed="false">
      <c r="A47" s="135" t="n">
        <v>202</v>
      </c>
      <c r="B47" s="5"/>
      <c r="C47" s="54" t="s">
        <v>41</v>
      </c>
      <c r="D47" s="27"/>
      <c r="E47" s="136" t="n">
        <f aca="true" t="array" ref="E47:E47">IFERROR(SUM(IF($A47=INDIRECT($AE$9),IF(E$2&lt;=INDIRECT($AD$9),IF(F$2&gt;=INDIRECT($AD$9),INDIRECT($AF$9)*E$95,""),""),"")),0)</f>
        <v>1254035.59</v>
      </c>
      <c r="F47" s="56" t="n">
        <f aca="false">IFERROR((E47/E23)/12,0)</f>
        <v>54490.8321845238</v>
      </c>
      <c r="G47" s="57" t="n">
        <f aca="false">IFERROR(E47/E$68,0)</f>
        <v>0.316169253093071</v>
      </c>
      <c r="H47" s="27"/>
      <c r="I47" s="137" t="n">
        <f aca="true" t="array" ref="I47:I47">IFERROR(SUM(IF($A47=INDIRECT($AE$9),IF(I$2&lt;=INDIRECT($AD$9),IF(J$2&gt;=INDIRECT($AD$9),INDIRECT($AF$9)*I$95,""),""),"")),0)</f>
        <v>2207364.58579235</v>
      </c>
      <c r="J47" s="59" t="n">
        <f aca="false">IFERROR((I47/I23)/12,0)</f>
        <v>56103.8498888889</v>
      </c>
      <c r="K47" s="60" t="n">
        <f aca="false">IFERROR(I47/I$68,0)</f>
        <v>0.320005211658307</v>
      </c>
      <c r="L47" s="27"/>
      <c r="M47" s="137" t="n">
        <f aca="true" t="array" ref="M47:M47">IFERROR(SUM(IF($A47=INDIRECT($AE$9),IF(M$2&lt;=INDIRECT($AD$9),IF(N$2&gt;=INDIRECT($AD$9),INDIRECT($AF$9)*M$95,""),""),"")),0)</f>
        <v>2292544.51612022</v>
      </c>
      <c r="N47" s="59" t="n">
        <f aca="false">IFERROR((M47/M23)/12,0)</f>
        <v>58268.8397847222</v>
      </c>
      <c r="O47" s="60" t="n">
        <f aca="false">IFERROR(M47/M$68,0)</f>
        <v>0.327202660345085</v>
      </c>
      <c r="P47" s="61"/>
      <c r="Q47" s="138" t="n">
        <f aca="true" t="array" ref="Q47:Q47">IFERROR(SUM(IF($A47=INDIRECT($AE$9),IF(Q$2&lt;=INDIRECT($AD$9),IF(R$2&gt;=INDIRECT($AD$9),INDIRECT($AF$9)*Q$95,""),""),"")),0)</f>
        <v>762839.089673913</v>
      </c>
      <c r="R47" s="63" t="n">
        <f aca="false">IFERROR((Q47/Q23)/12,0)</f>
        <v>58484.3302083333</v>
      </c>
      <c r="S47" s="64" t="n">
        <f aca="false">IFERROR(Q47/Q$68,0)</f>
        <v>0.323729217951254</v>
      </c>
      <c r="T47" s="61"/>
      <c r="U47" s="138" t="n">
        <f aca="true" t="array" ref="U47:U47">IFERROR(SUM(IF($A47=INDIRECT($AE$9),IF(U$2&lt;=INDIRECT($AD$9),IF(V$2&gt;=INDIRECT($AD$9),INDIRECT($AF$9)*U$95,""),""),"")),0)</f>
        <v>0</v>
      </c>
      <c r="V47" s="63" t="n">
        <f aca="false">IFERROR((U47/U23)/12,0)</f>
        <v>0</v>
      </c>
      <c r="W47" s="65" t="n">
        <f aca="false">IFERROR(U47/U$68,0)</f>
        <v>0</v>
      </c>
      <c r="X47" s="61"/>
      <c r="Y47" s="138" t="n">
        <f aca="true" t="array" ref="Y47:Y47">IFERROR(SUM(IF($A47=INDIRECT($AE$9),IF(Y$2&lt;=INDIRECT($AD$9),IF(Z$2&gt;=INDIRECT($AD$9),INDIRECT($AF$9)*Y$95,""),""),"")),0)</f>
        <v>0</v>
      </c>
      <c r="Z47" s="63" t="n">
        <f aca="false">IFERROR((Y47/Y23)/12,0)</f>
        <v>0</v>
      </c>
      <c r="AA47" s="64" t="n">
        <f aca="false">IFERROR(Y47/Y$68,0)</f>
        <v>0</v>
      </c>
      <c r="AB47" s="159"/>
      <c r="AC47" s="159"/>
      <c r="AD47" s="27"/>
      <c r="AE47" s="87"/>
      <c r="AF47" s="154"/>
    </row>
    <row r="48" customFormat="false" ht="18.75" hidden="false" customHeight="true" outlineLevel="1" collapsed="false">
      <c r="A48" s="135" t="n">
        <v>203</v>
      </c>
      <c r="B48" s="5"/>
      <c r="C48" s="54" t="s">
        <v>44</v>
      </c>
      <c r="D48" s="27"/>
      <c r="E48" s="136" t="n">
        <f aca="true" t="array" ref="E48:E48">IFERROR(SUM(IF($A48=INDIRECT($AE$9),IF(E$2&lt;=INDIRECT($AD$9),IF(F$2&gt;=INDIRECT($AD$9),INDIRECT($AF$9)*E$95,""),""),"")),0)</f>
        <v>0</v>
      </c>
      <c r="F48" s="56" t="n">
        <f aca="false">IFERROR((E48/E24)/12,0)</f>
        <v>0</v>
      </c>
      <c r="G48" s="57" t="n">
        <f aca="false">IFERROR(E48/E$68,0)</f>
        <v>0</v>
      </c>
      <c r="H48" s="27"/>
      <c r="I48" s="137" t="n">
        <f aca="true" t="array" ref="I48:I48">IFERROR(SUM(IF($A48=INDIRECT($AE$9),IF(I$2&lt;=INDIRECT($AD$9),IF(J$2&gt;=INDIRECT($AD$9),INDIRECT($AF$9)*I$95,""),""),"")),0)</f>
        <v>0</v>
      </c>
      <c r="J48" s="59" t="n">
        <f aca="false">IFERROR((I48/I24)/12,0)</f>
        <v>0</v>
      </c>
      <c r="K48" s="60" t="n">
        <f aca="false">IFERROR(I48/I$68,0)</f>
        <v>0</v>
      </c>
      <c r="L48" s="27"/>
      <c r="M48" s="137" t="n">
        <f aca="true" t="array" ref="M48:M48">IFERROR(SUM(IF($A48=INDIRECT($AE$9),IF(M$2&lt;=INDIRECT($AD$9),IF(N$2&gt;=INDIRECT($AD$9),INDIRECT($AF$9)*M$95,""),""),"")),0)</f>
        <v>0</v>
      </c>
      <c r="N48" s="59" t="n">
        <f aca="false">IFERROR((M48/M24)/12,0)</f>
        <v>0</v>
      </c>
      <c r="O48" s="60" t="n">
        <f aca="false">IFERROR(M48/M$68,0)</f>
        <v>0</v>
      </c>
      <c r="P48" s="61"/>
      <c r="Q48" s="138" t="n">
        <f aca="true" t="array" ref="Q48:Q48">IFERROR(SUM(IF($A48=INDIRECT($AE$9),IF(Q$2&lt;=INDIRECT($AD$9),IF(R$2&gt;=INDIRECT($AD$9),INDIRECT($AF$9)*Q$95,""),""),"")),0)</f>
        <v>0</v>
      </c>
      <c r="R48" s="63" t="n">
        <f aca="false">IFERROR((Q48/Q24)/12,0)</f>
        <v>0</v>
      </c>
      <c r="S48" s="64" t="n">
        <f aca="false">IFERROR(Q48/Q$68,0)</f>
        <v>0</v>
      </c>
      <c r="T48" s="61"/>
      <c r="U48" s="138" t="n">
        <f aca="true" t="array" ref="U48:U48">IFERROR(SUM(IF($A48=INDIRECT($AE$9),IF(U$2&lt;=INDIRECT($AD$9),IF(V$2&gt;=INDIRECT($AD$9),INDIRECT($AF$9)*U$95,""),""),"")),0)</f>
        <v>0</v>
      </c>
      <c r="V48" s="63" t="n">
        <f aca="false">IFERROR((U48/U24)/12,0)</f>
        <v>0</v>
      </c>
      <c r="W48" s="65" t="n">
        <f aca="false">IFERROR(U48/U$68,0)</f>
        <v>0</v>
      </c>
      <c r="X48" s="61"/>
      <c r="Y48" s="138" t="n">
        <f aca="true" t="array" ref="Y48:Y48">IFERROR(SUM(IF($A48=INDIRECT($AE$9),IF(Y$2&lt;=INDIRECT($AD$9),IF(Z$2&gt;=INDIRECT($AD$9),INDIRECT($AF$9)*Y$95,""),""),"")),0)</f>
        <v>0</v>
      </c>
      <c r="Z48" s="63" t="n">
        <f aca="false">IFERROR((Y48/Y24)/12,0)</f>
        <v>0</v>
      </c>
      <c r="AA48" s="64" t="n">
        <f aca="false">IFERROR(Y48/Y$68,0)</f>
        <v>0</v>
      </c>
      <c r="AC48" s="3"/>
    </row>
    <row r="49" customFormat="false" ht="18.75" hidden="false" customHeight="true" outlineLevel="1" collapsed="false">
      <c r="A49" s="135"/>
      <c r="B49" s="5"/>
      <c r="C49" s="88" t="s">
        <v>60</v>
      </c>
      <c r="D49" s="143"/>
      <c r="E49" s="140" t="n">
        <f aca="false">SUM(E47:E48)</f>
        <v>1254035.59</v>
      </c>
      <c r="F49" s="141" t="n">
        <f aca="false">IFERROR((E49/E25)/12,0)</f>
        <v>54490.8321845238</v>
      </c>
      <c r="G49" s="142" t="n">
        <f aca="false">IFERROR(E49/E$68,0)</f>
        <v>0.316169253093071</v>
      </c>
      <c r="H49" s="143"/>
      <c r="I49" s="144" t="n">
        <f aca="false">SUM(I47:I48)</f>
        <v>2207364.58579235</v>
      </c>
      <c r="J49" s="145" t="n">
        <f aca="false">IFERROR((I49/I25)/12,0)</f>
        <v>56103.8498888889</v>
      </c>
      <c r="K49" s="146" t="n">
        <f aca="false">IFERROR(I49/I$68,0)</f>
        <v>0.320005211658307</v>
      </c>
      <c r="L49" s="143"/>
      <c r="M49" s="144" t="n">
        <f aca="false">SUM(M47:M48)</f>
        <v>2292544.51612022</v>
      </c>
      <c r="N49" s="145" t="n">
        <f aca="false">IFERROR((M49/M25)/12,0)</f>
        <v>58268.8397847222</v>
      </c>
      <c r="O49" s="146" t="n">
        <f aca="false">IFERROR(M49/M$68,0)</f>
        <v>0.327202660345085</v>
      </c>
      <c r="P49" s="147"/>
      <c r="Q49" s="148" t="n">
        <f aca="false">SUM(Q47:Q48)</f>
        <v>762839.089673913</v>
      </c>
      <c r="R49" s="149" t="n">
        <f aca="false">IFERROR((Q49/Q25)/12,0)</f>
        <v>58484.3302083333</v>
      </c>
      <c r="S49" s="150" t="n">
        <f aca="false">IFERROR(Q49/Q$68,0)</f>
        <v>0.323729217951254</v>
      </c>
      <c r="T49" s="61"/>
      <c r="U49" s="148" t="n">
        <f aca="false">SUM(U47:U48)</f>
        <v>0</v>
      </c>
      <c r="V49" s="149" t="n">
        <f aca="false">IFERROR((U49/U25)/12,0)</f>
        <v>0</v>
      </c>
      <c r="W49" s="151" t="n">
        <f aca="false">IFERROR(U49/U$68,0)</f>
        <v>0</v>
      </c>
      <c r="X49" s="61"/>
      <c r="Y49" s="148" t="n">
        <f aca="false">SUM(Y47:Y48)</f>
        <v>0</v>
      </c>
      <c r="Z49" s="149" t="n">
        <f aca="false">IFERROR((Y49/Y25)/12,0)</f>
        <v>0</v>
      </c>
      <c r="AA49" s="150" t="n">
        <f aca="false">IFERROR(Y49/Y$68,0)</f>
        <v>0</v>
      </c>
      <c r="AC49" s="3"/>
    </row>
    <row r="50" customFormat="false" ht="18.75" hidden="false" customHeight="true" outlineLevel="1" collapsed="false">
      <c r="A50" s="135"/>
      <c r="B50" s="5"/>
      <c r="C50" s="88" t="s">
        <v>61</v>
      </c>
      <c r="D50" s="27"/>
      <c r="E50" s="160"/>
      <c r="F50" s="68"/>
      <c r="G50" s="69"/>
      <c r="H50" s="27"/>
      <c r="I50" s="161"/>
      <c r="J50" s="71"/>
      <c r="K50" s="72"/>
      <c r="L50" s="27"/>
      <c r="M50" s="161"/>
      <c r="N50" s="71"/>
      <c r="O50" s="72"/>
      <c r="P50" s="61"/>
      <c r="Q50" s="162"/>
      <c r="R50" s="74"/>
      <c r="S50" s="75"/>
      <c r="T50" s="61"/>
      <c r="U50" s="162"/>
      <c r="V50" s="74"/>
      <c r="W50" s="76"/>
      <c r="X50" s="61"/>
      <c r="Y50" s="162"/>
      <c r="Z50" s="74"/>
      <c r="AA50" s="75"/>
      <c r="AB50" s="163"/>
      <c r="AC50" s="163"/>
    </row>
    <row r="51" customFormat="false" ht="18.75" hidden="false" customHeight="true" outlineLevel="0" collapsed="false">
      <c r="A51" s="135" t="n">
        <v>204</v>
      </c>
      <c r="B51" s="5"/>
      <c r="C51" s="54" t="s">
        <v>41</v>
      </c>
      <c r="D51" s="27"/>
      <c r="E51" s="136" t="n">
        <f aca="true" t="array" ref="E51:E51">IFERROR(SUM(IF($A51=INDIRECT($AE$9),IF(E$2&lt;=INDIRECT($AD$9),IF(F$2&gt;=INDIRECT($AD$9),INDIRECT($AF$9)*E$95,""),""),"")),0)</f>
        <v>1282639.39</v>
      </c>
      <c r="F51" s="56" t="n">
        <f aca="false">IFERROR((E51/E28)/12,0)</f>
        <v>0</v>
      </c>
      <c r="G51" s="57" t="n">
        <f aca="false">IFERROR(E51/E$68,0)</f>
        <v>0.323380884209237</v>
      </c>
      <c r="H51" s="27"/>
      <c r="I51" s="137" t="n">
        <f aca="true" t="array" ref="I51:I51">IFERROR(SUM(IF($A51=INDIRECT($AE$9),IF(I$2&lt;=INDIRECT($AD$9),IF(J$2&gt;=INDIRECT($AD$9),INDIRECT($AF$9)*I$95,""),""),"")),0)</f>
        <v>2232651.99521858</v>
      </c>
      <c r="J51" s="59" t="n">
        <f aca="false">IFERROR((I51/I28)/12,0)</f>
        <v>0</v>
      </c>
      <c r="K51" s="60" t="n">
        <f aca="false">IFERROR(I51/I$68,0)</f>
        <v>0.323671168273637</v>
      </c>
      <c r="L51" s="27"/>
      <c r="M51" s="137" t="n">
        <f aca="true" t="array" ref="M51:M51">IFERROR(SUM(IF($A51=INDIRECT($AE$9),IF(M$2&lt;=INDIRECT($AD$9),IF(N$2&gt;=INDIRECT($AD$9),INDIRECT($AF$9)*M$95,""),""),"")),0)</f>
        <v>2269532.46284153</v>
      </c>
      <c r="N51" s="59" t="n">
        <f aca="false">IFERROR((M51/M28)/12,0)</f>
        <v>0</v>
      </c>
      <c r="O51" s="60" t="n">
        <f aca="false">IFERROR(M51/M$68,0)</f>
        <v>0.323918272626615</v>
      </c>
      <c r="P51" s="61"/>
      <c r="Q51" s="138" t="n">
        <f aca="true" t="array" ref="Q51:Q51">IFERROR(SUM(IF($A51=INDIRECT($AE$9),IF(Q$2&lt;=INDIRECT($AD$9),IF(R$2&gt;=INDIRECT($AD$9),INDIRECT($AF$9)*Q$95,""),""),"")),0)</f>
        <v>784324.695652174</v>
      </c>
      <c r="R51" s="63" t="n">
        <f aca="false">IFERROR((Q51/Q28)/12,0)</f>
        <v>0</v>
      </c>
      <c r="S51" s="64" t="n">
        <f aca="false">IFERROR(Q51/Q$68,0)</f>
        <v>0.332847154505245</v>
      </c>
      <c r="T51" s="61"/>
      <c r="U51" s="138" t="n">
        <f aca="true" t="array" ref="U51:U51">IFERROR(SUM(IF($A51=INDIRECT($AE$9),IF(U$2&lt;=INDIRECT($AD$9),IF(V$2&gt;=INDIRECT($AD$9),INDIRECT($AF$9)*U$95,""),""),"")),0)</f>
        <v>0</v>
      </c>
      <c r="V51" s="63" t="n">
        <f aca="false">IFERROR((U51/U28)/12,0)</f>
        <v>0</v>
      </c>
      <c r="W51" s="65" t="n">
        <f aca="false">IFERROR(U51/U$68,0)</f>
        <v>0</v>
      </c>
      <c r="X51" s="61"/>
      <c r="Y51" s="138" t="n">
        <f aca="true" t="array" ref="Y51:Y51">IFERROR(SUM(IF($A51=INDIRECT($AE$9),IF(Y$2&lt;=INDIRECT($AD$9),IF(Z$2&gt;=INDIRECT($AD$9),INDIRECT($AF$9)*Y$95,""),""),"")),0)</f>
        <v>0</v>
      </c>
      <c r="Z51" s="63" t="n">
        <f aca="false">IFERROR((Y51/Y28)/12,0)</f>
        <v>0</v>
      </c>
      <c r="AA51" s="64" t="n">
        <f aca="false">IFERROR(Y51/Y$68,0)</f>
        <v>0</v>
      </c>
      <c r="AB51" s="163"/>
      <c r="AC51" s="163"/>
    </row>
    <row r="52" customFormat="false" ht="18.75" hidden="true" customHeight="true" outlineLevel="1" collapsed="false">
      <c r="A52" s="135" t="n">
        <v>205</v>
      </c>
      <c r="B52" s="5"/>
      <c r="C52" s="54" t="s">
        <v>44</v>
      </c>
      <c r="D52" s="27"/>
      <c r="E52" s="136" t="n">
        <f aca="true" t="array" ref="E52:E52">IFERROR(SUM(IF($A52=INDIRECT($AE$9),IF(E$2&lt;=INDIRECT($AD$9),IF(F$2&gt;=INDIRECT($AD$9),INDIRECT($AF$9)*E$95,""),""),"")),0)</f>
        <v>0</v>
      </c>
      <c r="F52" s="56" t="n">
        <f aca="false">IFERROR((E52/E29)/12,0)</f>
        <v>0</v>
      </c>
      <c r="G52" s="57" t="n">
        <f aca="false">IFERROR(E52/E$68,0)</f>
        <v>0</v>
      </c>
      <c r="H52" s="27"/>
      <c r="I52" s="137" t="n">
        <f aca="true" t="array" ref="I52:I52">IFERROR(SUM(IF($A52=INDIRECT($AE$9),IF(I$2&lt;=INDIRECT($AD$9),IF(J$2&gt;=INDIRECT($AD$9),INDIRECT($AF$9)*I$95,""),""),"")),0)</f>
        <v>0</v>
      </c>
      <c r="J52" s="59" t="n">
        <f aca="false">IFERROR((I52/I29)/12,0)</f>
        <v>0</v>
      </c>
      <c r="K52" s="60" t="n">
        <f aca="false">IFERROR(I52/I$68,0)</f>
        <v>0</v>
      </c>
      <c r="L52" s="27"/>
      <c r="M52" s="137" t="n">
        <f aca="true" t="array" ref="M52:M52">IFERROR(SUM(IF($A52=INDIRECT($AE$9),IF(M$2&lt;=INDIRECT($AD$9),IF(N$2&gt;=INDIRECT($AD$9),INDIRECT($AF$9)*M$95,""),""),"")),0)</f>
        <v>0</v>
      </c>
      <c r="N52" s="59" t="n">
        <f aca="false">IFERROR((M52/M29)/12,0)</f>
        <v>0</v>
      </c>
      <c r="O52" s="60" t="n">
        <f aca="false">IFERROR(M52/M$68,0)</f>
        <v>0</v>
      </c>
      <c r="P52" s="61"/>
      <c r="Q52" s="138" t="n">
        <f aca="true" t="array" ref="Q52:Q52">IFERROR(SUM(IF($A52=INDIRECT($AE$9),IF(Q$2&lt;=INDIRECT($AD$9),IF(R$2&gt;=INDIRECT($AD$9),INDIRECT($AF$9)*Q$95,""),""),"")),0)</f>
        <v>0</v>
      </c>
      <c r="R52" s="63" t="n">
        <f aca="false">IFERROR((Q52/Q29)/12,0)</f>
        <v>0</v>
      </c>
      <c r="S52" s="64" t="n">
        <f aca="false">IFERROR(Q52/Q$68,0)</f>
        <v>0</v>
      </c>
      <c r="T52" s="61"/>
      <c r="U52" s="138" t="n">
        <f aca="true" t="array" ref="U52:U52">IFERROR(SUM(IF($A52=INDIRECT($AE$9),IF(U$2&lt;=INDIRECT($AD$9),IF(V$2&gt;=INDIRECT($AD$9),INDIRECT($AF$9)*U$95,""),""),"")),0)</f>
        <v>0</v>
      </c>
      <c r="V52" s="63" t="n">
        <f aca="false">IFERROR((U52/U29)/12,0)</f>
        <v>0</v>
      </c>
      <c r="W52" s="65" t="n">
        <f aca="false">IFERROR(U52/U$68,0)</f>
        <v>0</v>
      </c>
      <c r="X52" s="61"/>
      <c r="Y52" s="138" t="n">
        <f aca="true" t="array" ref="Y52:Y52">IFERROR(SUM(IF($A52=INDIRECT($AE$9),IF(Y$2&lt;=INDIRECT($AD$9),IF(Z$2&gt;=INDIRECT($AD$9),INDIRECT($AF$9)*Y$95,""),""),"")),0)</f>
        <v>0</v>
      </c>
      <c r="Z52" s="63" t="n">
        <f aca="false">IFERROR((Y52/Y29)/12,0)</f>
        <v>0</v>
      </c>
      <c r="AA52" s="64" t="n">
        <f aca="false">IFERROR(Y52/Y$68,0)</f>
        <v>0</v>
      </c>
      <c r="AB52" s="159"/>
      <c r="AC52" s="159"/>
    </row>
    <row r="53" customFormat="false" ht="18.75" hidden="false" customHeight="true" outlineLevel="1" collapsed="false">
      <c r="A53" s="135"/>
      <c r="B53" s="5"/>
      <c r="C53" s="88" t="s">
        <v>62</v>
      </c>
      <c r="D53" s="143"/>
      <c r="E53" s="140" t="n">
        <f aca="false">SUM(E51:E52)</f>
        <v>1282639.39</v>
      </c>
      <c r="F53" s="141" t="n">
        <f aca="false">IFERROR((E53/E30)/12,0)</f>
        <v>0</v>
      </c>
      <c r="G53" s="142" t="n">
        <f aca="false">IFERROR(E53/E$68,0)</f>
        <v>0.323380884209237</v>
      </c>
      <c r="H53" s="143"/>
      <c r="I53" s="144" t="n">
        <f aca="false">SUM(I51:I52)</f>
        <v>2232651.99521858</v>
      </c>
      <c r="J53" s="145" t="n">
        <f aca="false">IFERROR((I53/I30)/12,0)</f>
        <v>0</v>
      </c>
      <c r="K53" s="146" t="n">
        <f aca="false">IFERROR(I53/I$68,0)</f>
        <v>0.323671168273637</v>
      </c>
      <c r="L53" s="143"/>
      <c r="M53" s="144" t="n">
        <f aca="false">SUM(M51:M52)</f>
        <v>2269532.46284153</v>
      </c>
      <c r="N53" s="145" t="n">
        <f aca="false">IFERROR((M53/M30)/12,0)</f>
        <v>0</v>
      </c>
      <c r="O53" s="146" t="n">
        <f aca="false">IFERROR(M53/M$68,0)</f>
        <v>0.323918272626615</v>
      </c>
      <c r="P53" s="147"/>
      <c r="Q53" s="148" t="n">
        <f aca="false">SUM(Q51:Q52)</f>
        <v>784324.695652174</v>
      </c>
      <c r="R53" s="149" t="n">
        <f aca="false">IFERROR((Q53/Q30)/12,0)</f>
        <v>0</v>
      </c>
      <c r="S53" s="150" t="n">
        <f aca="false">IFERROR(Q53/Q$68,0)</f>
        <v>0.332847154505245</v>
      </c>
      <c r="T53" s="61"/>
      <c r="U53" s="148" t="n">
        <f aca="false">SUM(U51:U52)</f>
        <v>0</v>
      </c>
      <c r="V53" s="149" t="n">
        <f aca="false">IFERROR((U53/U30)/12,0)</f>
        <v>0</v>
      </c>
      <c r="W53" s="151" t="n">
        <f aca="false">IFERROR(U53/U$68,0)</f>
        <v>0</v>
      </c>
      <c r="X53" s="61"/>
      <c r="Y53" s="148" t="n">
        <f aca="false">SUM(Y51:Y52)</f>
        <v>0</v>
      </c>
      <c r="Z53" s="149" t="n">
        <f aca="false">IFERROR((Y53/Y30)/12,0)</f>
        <v>0</v>
      </c>
      <c r="AA53" s="150" t="n">
        <f aca="false">IFERROR(Y53/Y$68,0)</f>
        <v>0</v>
      </c>
      <c r="AB53" s="164"/>
      <c r="AC53" s="163"/>
    </row>
    <row r="54" customFormat="false" ht="18.75" hidden="false" customHeight="true" outlineLevel="1" collapsed="false">
      <c r="A54" s="135" t="n">
        <v>206</v>
      </c>
      <c r="B54" s="5"/>
      <c r="C54" s="165" t="s">
        <v>63</v>
      </c>
      <c r="D54" s="143"/>
      <c r="E54" s="136" t="n">
        <f aca="true" t="array" ref="E54:E54">IFERROR(SUM(IF($A54=INDIRECT($AE$9),IF(E$2&lt;=INDIRECT($AD$9),IF(F$2&gt;=INDIRECT($AD$9),INDIRECT($AF$9)*E$95,""),""),"")),0)</f>
        <v>-11742.97</v>
      </c>
      <c r="F54" s="56" t="n">
        <f aca="false">IFERROR((E54/E32)/12,0)</f>
        <v>-510.260005952381</v>
      </c>
      <c r="G54" s="57" t="n">
        <f aca="false">IFERROR(E54/E$68,0)</f>
        <v>-0.00296065445319167</v>
      </c>
      <c r="H54" s="27"/>
      <c r="I54" s="136" t="n">
        <f aca="true" t="array" ref="I54:I54">IFERROR(SUM(IF($A54=INDIRECT($AE$9),IF(I$2&lt;=INDIRECT($AD$9),IF(J$2&gt;=INDIRECT($AD$9),INDIRECT($AF$9)*I$95,""),""),"")),0)</f>
        <v>-7247.72322404372</v>
      </c>
      <c r="J54" s="56" t="n">
        <f aca="false">IFERROR((I54/I32)/12,0)</f>
        <v>-184.212965277778</v>
      </c>
      <c r="K54" s="57" t="n">
        <f aca="false">IFERROR(I54/I$68,0)</f>
        <v>-0.00105071414993206</v>
      </c>
      <c r="L54" s="27"/>
      <c r="M54" s="136" t="n">
        <f aca="true" t="array" ref="M54:M54">IFERROR(SUM(IF($A54=INDIRECT($AE$9),IF(M$2&lt;=INDIRECT($AD$9),IF(N$2&gt;=INDIRECT($AD$9),INDIRECT($AF$9)*M$95,""),""),"")),0)</f>
        <v>15088.9603825137</v>
      </c>
      <c r="N54" s="56" t="n">
        <f aca="false">IFERROR((M54/M32)/12,0)</f>
        <v>383.511076388889</v>
      </c>
      <c r="O54" s="57" t="n">
        <f aca="false">IFERROR(M54/M$68,0)</f>
        <v>0.00215356689664436</v>
      </c>
      <c r="P54" s="61"/>
      <c r="Q54" s="136" t="n">
        <f aca="true" t="array" ref="Q54:Q54">IFERROR(SUM(IF($A54=INDIRECT($AE$9),IF(Q$2&lt;=INDIRECT($AD$9),IF(R$2&gt;=INDIRECT($AD$9),INDIRECT($AF$9)*Q$95,""),""),"")),0)</f>
        <v>-10239.9956521739</v>
      </c>
      <c r="R54" s="56" t="n">
        <f aca="false">IFERROR((Q54/Q32)/12,0)</f>
        <v>-785.066333333334</v>
      </c>
      <c r="S54" s="166" t="n">
        <f aca="false">IFERROR(Q54/Q$68,0)</f>
        <v>-0.00434558982251361</v>
      </c>
      <c r="T54" s="61"/>
      <c r="U54" s="136" t="n">
        <f aca="true" t="array" ref="U54:U54">IFERROR(SUM(IF($A54=INDIRECT($AE$9),IF(U$2&lt;=INDIRECT($AD$9),IF(V$2&gt;=INDIRECT($AD$9),INDIRECT($AF$9)*U$95,""),""),"")),0)</f>
        <v>0</v>
      </c>
      <c r="V54" s="56" t="n">
        <f aca="false">IFERROR((U54/U32)/12,0)</f>
        <v>0</v>
      </c>
      <c r="W54" s="57" t="n">
        <f aca="false">IFERROR(U54/U$68,0)</f>
        <v>0</v>
      </c>
      <c r="X54" s="61"/>
      <c r="Y54" s="136" t="n">
        <f aca="true" t="array" ref="Y54:Y54">IFERROR(SUM(IF($A54=INDIRECT($AE$9),IF(Y$2&lt;=INDIRECT($AD$9),IF(Z$2&gt;=INDIRECT($AD$9),INDIRECT($AF$9)*Y$95,""),""),"")),0)</f>
        <v>0</v>
      </c>
      <c r="Z54" s="56" t="n">
        <f aca="false">IFERROR((Y54/Y32)/12,0)</f>
        <v>0</v>
      </c>
      <c r="AA54" s="166" t="n">
        <f aca="false">IFERROR(Y54/Y$68,0)</f>
        <v>0</v>
      </c>
      <c r="AB54" s="164"/>
      <c r="AC54" s="163"/>
    </row>
    <row r="55" customFormat="false" ht="18.75" hidden="true" customHeight="true" outlineLevel="1" collapsed="false">
      <c r="A55" s="135" t="n">
        <v>207</v>
      </c>
      <c r="B55" s="5"/>
      <c r="C55" s="165" t="s">
        <v>64</v>
      </c>
      <c r="D55" s="143"/>
      <c r="E55" s="136" t="n">
        <f aca="true" t="array" ref="E55:E55">IFERROR(SUM(IF($A55=INDIRECT($AE$9),IF(E$2&lt;=INDIRECT($AD$9),IF(F$2&gt;=INDIRECT($AD$9),INDIRECT($AF$9)*E$95,""),""),"")),0)</f>
        <v>0</v>
      </c>
      <c r="F55" s="56" t="n">
        <f aca="false">IFERROR((E55/E32)/12,0)</f>
        <v>0</v>
      </c>
      <c r="G55" s="57" t="n">
        <f aca="false">IFERROR(E55/E$68,0)</f>
        <v>0</v>
      </c>
      <c r="H55" s="27"/>
      <c r="I55" s="136" t="n">
        <f aca="true" t="array" ref="I55:I55">IFERROR(SUM(IF($A55=INDIRECT($AE$9),IF(I$2&lt;=INDIRECT($AD$9),IF(J$2&gt;=INDIRECT($AD$9),INDIRECT($AF$9)*I$95,""),""),"")),0)</f>
        <v>0</v>
      </c>
      <c r="J55" s="56" t="n">
        <f aca="false">IFERROR((I55/I32)/12,0)</f>
        <v>0</v>
      </c>
      <c r="K55" s="57" t="n">
        <f aca="false">IFERROR(I55/I$68,0)</f>
        <v>0</v>
      </c>
      <c r="L55" s="27"/>
      <c r="M55" s="136" t="n">
        <f aca="true" t="array" ref="M55:M55">IFERROR(SUM(IF($A55=INDIRECT($AE$9),IF(M$2&lt;=INDIRECT($AD$9),IF(N$2&gt;=INDIRECT($AD$9),INDIRECT($AF$9)*M$95,""),""),"")),0)</f>
        <v>0</v>
      </c>
      <c r="N55" s="56" t="n">
        <f aca="false">IFERROR((M55/M32)/12,0)</f>
        <v>0</v>
      </c>
      <c r="O55" s="57" t="n">
        <f aca="false">IFERROR(M55/M$68,0)</f>
        <v>0</v>
      </c>
      <c r="P55" s="61"/>
      <c r="Q55" s="136" t="n">
        <f aca="true" t="array" ref="Q55:Q55">IFERROR(SUM(IF($A55=INDIRECT($AE$9),IF(Q$2&lt;=INDIRECT($AD$9),IF(R$2&gt;=INDIRECT($AD$9),INDIRECT($AF$9)*Q$95,""),""),"")),0)</f>
        <v>0</v>
      </c>
      <c r="R55" s="56" t="n">
        <f aca="false">IFERROR((Q55/Q32)/12,0)</f>
        <v>0</v>
      </c>
      <c r="S55" s="166" t="n">
        <f aca="false">IFERROR(Q55/Q$68,0)</f>
        <v>0</v>
      </c>
      <c r="T55" s="61"/>
      <c r="U55" s="136" t="n">
        <f aca="true" t="array" ref="U55:U55">IFERROR(SUM(IF($A55=INDIRECT($AE$9),IF(U$2&lt;=INDIRECT($AD$9),IF(V$2&gt;=INDIRECT($AD$9),INDIRECT($AF$9)*U$95,""),""),"")),0)</f>
        <v>0</v>
      </c>
      <c r="V55" s="56" t="n">
        <f aca="false">IFERROR((U55/U32)/12,0)</f>
        <v>0</v>
      </c>
      <c r="W55" s="57" t="n">
        <f aca="false">IFERROR(U55/U$68,0)</f>
        <v>0</v>
      </c>
      <c r="X55" s="61"/>
      <c r="Y55" s="136" t="n">
        <f aca="true" t="array" ref="Y55:Y55">IFERROR(SUM(IF($A55=INDIRECT($AE$9),IF(Y$2&lt;=INDIRECT($AD$9),IF(Z$2&gt;=INDIRECT($AD$9),INDIRECT($AF$9)*Y$95,""),""),"")),0)</f>
        <v>0</v>
      </c>
      <c r="Z55" s="56" t="n">
        <f aca="false">IFERROR((Y55/Y32)/12,0)</f>
        <v>0</v>
      </c>
      <c r="AA55" s="166" t="n">
        <f aca="false">IFERROR(Y55/Y$68,0)</f>
        <v>0</v>
      </c>
      <c r="AB55" s="163"/>
      <c r="AC55" s="163"/>
    </row>
    <row r="56" customFormat="false" ht="18.75" hidden="false" customHeight="true" outlineLevel="0" collapsed="false">
      <c r="A56" s="135"/>
      <c r="B56" s="5"/>
      <c r="C56" s="66" t="s">
        <v>65</v>
      </c>
      <c r="D56" s="91"/>
      <c r="E56" s="160" t="n">
        <f aca="false">SUM(E45,E49,E53,E54,E55)</f>
        <v>2524932.01</v>
      </c>
      <c r="F56" s="68" t="n">
        <f aca="false">IFERROR((E56/E32)/12,0)</f>
        <v>109714.307577381</v>
      </c>
      <c r="G56" s="69" t="n">
        <f aca="false">IFERROR(E56/E$68,0)</f>
        <v>0.636589482849117</v>
      </c>
      <c r="H56" s="91"/>
      <c r="I56" s="160" t="n">
        <f aca="false">SUM(I45,I49,I53,I54,I55)</f>
        <v>4432768.85778689</v>
      </c>
      <c r="J56" s="71" t="n">
        <f aca="false">IFERROR((I56/I32)/12,0)</f>
        <v>112666.20846875</v>
      </c>
      <c r="K56" s="72" t="n">
        <f aca="false">IFERROR(I56/I$68,0)</f>
        <v>0.642625665782011</v>
      </c>
      <c r="L56" s="91"/>
      <c r="M56" s="160" t="n">
        <f aca="false">SUM(M45,M49,M53,M54,M55)</f>
        <v>4577165.93934426</v>
      </c>
      <c r="N56" s="71" t="n">
        <f aca="false">IFERROR((M56/M32)/12,0)</f>
        <v>116336.300958333</v>
      </c>
      <c r="O56" s="72" t="n">
        <f aca="false">IFERROR(M56/M$68,0)</f>
        <v>0.653274499868345</v>
      </c>
      <c r="P56" s="167"/>
      <c r="Q56" s="160" t="n">
        <f aca="false">SUM(Q45,Q49,Q53,Q54,Q55)</f>
        <v>1536923.78967391</v>
      </c>
      <c r="R56" s="74" t="n">
        <f aca="false">IFERROR((Q56/Q32)/12,0)</f>
        <v>117830.823875</v>
      </c>
      <c r="S56" s="75" t="n">
        <f aca="false">IFERROR(Q56/Q$68,0)</f>
        <v>0.652230782633986</v>
      </c>
      <c r="T56" s="61"/>
      <c r="U56" s="160" t="n">
        <f aca="false">SUM(U45,U49,U53,U54,U55)</f>
        <v>0</v>
      </c>
      <c r="V56" s="74" t="n">
        <f aca="false">IFERROR((U56/U32)/12,0)</f>
        <v>0</v>
      </c>
      <c r="W56" s="76" t="n">
        <f aca="false">IFERROR(U56/U$68,0)</f>
        <v>0</v>
      </c>
      <c r="X56" s="61"/>
      <c r="Y56" s="160" t="n">
        <f aca="false">SUM(Y45,Y49,Y53,Y54,Y55)</f>
        <v>0</v>
      </c>
      <c r="Z56" s="74" t="n">
        <f aca="false">IFERROR((Y56/Y32)/12,0)</f>
        <v>0</v>
      </c>
      <c r="AA56" s="75" t="n">
        <f aca="false">IFERROR(Y56/Y$68,0)</f>
        <v>0</v>
      </c>
      <c r="AB56" s="163"/>
      <c r="AC56" s="163"/>
    </row>
    <row r="57" customFormat="false" ht="18.75" hidden="false" customHeight="true" outlineLevel="0" collapsed="false">
      <c r="A57" s="135"/>
      <c r="B57" s="5"/>
      <c r="C57" s="88"/>
      <c r="D57" s="27"/>
      <c r="E57" s="160"/>
      <c r="F57" s="68"/>
      <c r="G57" s="69"/>
      <c r="H57" s="27"/>
      <c r="I57" s="161"/>
      <c r="J57" s="71"/>
      <c r="K57" s="72"/>
      <c r="L57" s="27"/>
      <c r="M57" s="161"/>
      <c r="N57" s="71"/>
      <c r="O57" s="72"/>
      <c r="P57" s="61"/>
      <c r="Q57" s="162"/>
      <c r="R57" s="74"/>
      <c r="S57" s="75"/>
      <c r="T57" s="61"/>
      <c r="U57" s="162"/>
      <c r="V57" s="74"/>
      <c r="W57" s="76"/>
      <c r="X57" s="61"/>
      <c r="Y57" s="162"/>
      <c r="Z57" s="74"/>
      <c r="AA57" s="75"/>
      <c r="AB57" s="163"/>
      <c r="AC57" s="163"/>
    </row>
    <row r="58" customFormat="false" ht="18.75" hidden="false" customHeight="true" outlineLevel="0" collapsed="false">
      <c r="A58" s="135"/>
      <c r="B58" s="5"/>
      <c r="C58" s="66" t="s">
        <v>66</v>
      </c>
      <c r="D58" s="27"/>
      <c r="E58" s="136"/>
      <c r="F58" s="56"/>
      <c r="G58" s="57"/>
      <c r="H58" s="27"/>
      <c r="I58" s="137"/>
      <c r="J58" s="59"/>
      <c r="K58" s="60"/>
      <c r="L58" s="27"/>
      <c r="M58" s="137"/>
      <c r="N58" s="59"/>
      <c r="O58" s="60"/>
      <c r="P58" s="61"/>
      <c r="Q58" s="138"/>
      <c r="R58" s="63"/>
      <c r="S58" s="64"/>
      <c r="T58" s="61"/>
      <c r="U58" s="138"/>
      <c r="V58" s="63"/>
      <c r="W58" s="65"/>
      <c r="X58" s="61"/>
      <c r="Y58" s="138"/>
      <c r="Z58" s="63"/>
      <c r="AA58" s="64"/>
      <c r="AB58" s="163"/>
      <c r="AC58" s="163"/>
    </row>
    <row r="59" customFormat="false" ht="18.75" hidden="false" customHeight="true" outlineLevel="0" collapsed="false">
      <c r="A59" s="135" t="n">
        <v>210</v>
      </c>
      <c r="B59" s="5"/>
      <c r="C59" s="54" t="s">
        <v>67</v>
      </c>
      <c r="D59" s="27"/>
      <c r="E59" s="136" t="n">
        <f aca="true" t="array" ref="E59:E59">IFERROR(SUM(IF($A59=INDIRECT($AE$9),IF(E$2&lt;=INDIRECT($AD$9),IF(F$2&gt;=INDIRECT($AD$9),INDIRECT($AF$9)*E$95,""),""),"")),0)</f>
        <v>566568</v>
      </c>
      <c r="F59" s="56" t="n">
        <f aca="false">IFERROR((E$59/E$25)/12,0)</f>
        <v>24618.7285714286</v>
      </c>
      <c r="G59" s="57" t="n">
        <f aca="false">IFERROR(E59/E$68,0)</f>
        <v>0.142843937456699</v>
      </c>
      <c r="H59" s="27"/>
      <c r="I59" s="137" t="n">
        <f aca="true" t="array" ref="I59:I59">IFERROR(SUM(IF($A59=INDIRECT($AE$9),IF(I$2&lt;=INDIRECT($AD$9),IF(J$2&gt;=INDIRECT($AD$9),INDIRECT($AF$9)*I$95,""),""),"")),0)</f>
        <v>883813.732513661</v>
      </c>
      <c r="J59" s="59" t="n">
        <f aca="false">IFERROR((I$59/I$25)/12,0)</f>
        <v>22463.5990347222</v>
      </c>
      <c r="K59" s="60" t="n">
        <f aca="false">IFERROR(I59/I$68,0)</f>
        <v>0.128127905267643</v>
      </c>
      <c r="L59" s="27"/>
      <c r="M59" s="137" t="n">
        <f aca="true" t="array" ref="M59:M59">IFERROR(SUM(IF($A59=INDIRECT($AE$9),IF(M$2&lt;=INDIRECT($AD$9),IF(N$2&gt;=INDIRECT($AD$9),INDIRECT($AF$9)*M$95,""),""),"")),0)</f>
        <v>781441.304918033</v>
      </c>
      <c r="N59" s="59" t="n">
        <f aca="false">IFERROR((M$59/M$25)/12,0)</f>
        <v>19861.6331666667</v>
      </c>
      <c r="O59" s="60" t="n">
        <f aca="false">IFERROR(M59/M$68,0)</f>
        <v>0.11153095264882</v>
      </c>
      <c r="P59" s="61"/>
      <c r="Q59" s="138" t="n">
        <f aca="true" t="array" ref="Q59:Q59">IFERROR(SUM(IF($A59=INDIRECT($AE$9),IF(Q$2&lt;=INDIRECT($AD$9),IF(R$2&gt;=INDIRECT($AD$9),INDIRECT($AF$9)*Q$95,""),""),"")),0)</f>
        <v>207190.623369565</v>
      </c>
      <c r="R59" s="63" t="n">
        <f aca="false">IFERROR((Q$59/Q$25)/12,0)</f>
        <v>15884.6144583333</v>
      </c>
      <c r="S59" s="64" t="n">
        <f aca="false">IFERROR(Q59/Q$68,0)</f>
        <v>0.0879263521995626</v>
      </c>
      <c r="T59" s="61"/>
      <c r="U59" s="138" t="n">
        <f aca="true" t="array" ref="U59:U59">IFERROR(SUM(IF($A59=INDIRECT($AE$9),IF(U$2&lt;=INDIRECT($AD$9),IF(V$2&gt;=INDIRECT($AD$9),INDIRECT($AF$9)*U$95,""),""),"")),0)</f>
        <v>0</v>
      </c>
      <c r="V59" s="63" t="n">
        <f aca="false">IFERROR((U$59/U$25)/12,0)</f>
        <v>0</v>
      </c>
      <c r="W59" s="65" t="n">
        <f aca="false">IFERROR(U59/U$68,0)</f>
        <v>0</v>
      </c>
      <c r="X59" s="61"/>
      <c r="Y59" s="138" t="n">
        <f aca="true" t="array" ref="Y59:Y59">IFERROR(SUM(IF($A59=INDIRECT($AE$9),IF(Y$2&lt;=INDIRECT($AD$9),IF(Z$2&gt;=INDIRECT($AD$9),INDIRECT($AF$9)*Y$95,""),""),"")),0)</f>
        <v>0</v>
      </c>
      <c r="Z59" s="63" t="n">
        <f aca="false">IFERROR((Y$59/Y$25)/12,0)</f>
        <v>0</v>
      </c>
      <c r="AA59" s="64" t="n">
        <f aca="false">IFERROR(Y59/Y$68,0)</f>
        <v>0</v>
      </c>
      <c r="AB59" s="163"/>
      <c r="AC59" s="163"/>
    </row>
    <row r="60" customFormat="false" ht="18.75" hidden="false" customHeight="true" outlineLevel="0" collapsed="false">
      <c r="A60" s="135" t="n">
        <v>211</v>
      </c>
      <c r="B60" s="5"/>
      <c r="C60" s="54" t="s">
        <v>68</v>
      </c>
      <c r="D60" s="27"/>
      <c r="E60" s="136" t="n">
        <f aca="true" t="array" ref="E60:E60">IFERROR(SUM(IF($A60=INDIRECT($AE$9),IF(E$2&lt;=INDIRECT($AD$9),IF(F$2&gt;=INDIRECT($AD$9),INDIRECT($AF$9)*E$95,""),""),"")),0)</f>
        <v>719637.19</v>
      </c>
      <c r="F60" s="56" t="n">
        <f aca="false">IFERROR((E$60/E$30)/12,0)</f>
        <v>0</v>
      </c>
      <c r="G60" s="57" t="n">
        <f aca="false">IFERROR(E60/E$68,0)</f>
        <v>0.18143596136717</v>
      </c>
      <c r="H60" s="27"/>
      <c r="I60" s="137" t="n">
        <f aca="true" t="array" ref="I60:I60">IFERROR(SUM(IF($A60=INDIRECT($AE$9),IF(I$2&lt;=INDIRECT($AD$9),IF(J$2&gt;=INDIRECT($AD$9),INDIRECT($AF$9)*I$95,""),""),"")),0)</f>
        <v>1311057.40191257</v>
      </c>
      <c r="J60" s="59" t="n">
        <f aca="false">IFERROR((I$60/I$30)/12,0)</f>
        <v>0</v>
      </c>
      <c r="K60" s="60" t="n">
        <f aca="false">IFERROR(I60/I$68,0)</f>
        <v>0.19006611055356</v>
      </c>
      <c r="L60" s="27"/>
      <c r="M60" s="137" t="n">
        <f aca="true" t="array" ref="M60:M60">IFERROR(SUM(IF($A60=INDIRECT($AE$9),IF(M$2&lt;=INDIRECT($AD$9),IF(N$2&gt;=INDIRECT($AD$9),INDIRECT($AF$9)*M$95,""),""),"")),0)</f>
        <v>1404961.49043716</v>
      </c>
      <c r="N60" s="59" t="n">
        <f aca="false">IFERROR((M$60/M$30)/12,0)</f>
        <v>0</v>
      </c>
      <c r="O60" s="60" t="n">
        <f aca="false">IFERROR(M60/M$68,0)</f>
        <v>0.20052266558881</v>
      </c>
      <c r="P60" s="61"/>
      <c r="Q60" s="138" t="n">
        <f aca="true" t="array" ref="Q60:Q60">IFERROR(SUM(IF($A60=INDIRECT($AE$9),IF(Q$2&lt;=INDIRECT($AD$9),IF(R$2&gt;=INDIRECT($AD$9),INDIRECT($AF$9)*Q$95,""),""),"")),0)</f>
        <v>498432.454891304</v>
      </c>
      <c r="R60" s="63" t="n">
        <f aca="false">IFERROR((Q$60/Q$30)/12,0)</f>
        <v>0</v>
      </c>
      <c r="S60" s="64" t="n">
        <f aca="false">IFERROR(Q60/Q$68,0)</f>
        <v>0.211521867465471</v>
      </c>
      <c r="T60" s="61"/>
      <c r="U60" s="138" t="n">
        <f aca="true" t="array" ref="U60:U60">IFERROR(SUM(IF($A60=INDIRECT($AE$9),IF(U$2&lt;=INDIRECT($AD$9),IF(V$2&gt;=INDIRECT($AD$9),INDIRECT($AF$9)*U$95,""),""),"")),0)</f>
        <v>0</v>
      </c>
      <c r="V60" s="63" t="n">
        <f aca="false">IFERROR((U$60/U$30)/12,0)</f>
        <v>0</v>
      </c>
      <c r="W60" s="65" t="n">
        <f aca="false">IFERROR(U60/U$68,0)</f>
        <v>0</v>
      </c>
      <c r="X60" s="61"/>
      <c r="Y60" s="138" t="n">
        <f aca="true" t="array" ref="Y60:Y60">IFERROR(SUM(IF($A60=INDIRECT($AE$9),IF(Y$2&lt;=INDIRECT($AD$9),IF(Z$2&gt;=INDIRECT($AD$9),INDIRECT($AF$9)*Y$95,""),""),"")),0)</f>
        <v>0</v>
      </c>
      <c r="Z60" s="63" t="n">
        <f aca="false">IFERROR((Y$60/Y$30)/12,0)</f>
        <v>0</v>
      </c>
      <c r="AA60" s="64" t="n">
        <f aca="false">IFERROR(Y60/Y$68,0)</f>
        <v>0</v>
      </c>
      <c r="AB60" s="163"/>
      <c r="AC60" s="163"/>
    </row>
    <row r="61" customFormat="false" ht="18.75" hidden="true" customHeight="true" outlineLevel="0" collapsed="false">
      <c r="A61" s="135" t="n">
        <v>212</v>
      </c>
      <c r="B61" s="5"/>
      <c r="C61" s="54" t="s">
        <v>69</v>
      </c>
      <c r="D61" s="27"/>
      <c r="E61" s="136" t="n">
        <f aca="true" t="array" ref="E61:E61">IFERROR(SUM(IF($A61=INDIRECT($AE$9),IF(E$2&lt;=INDIRECT($AD$9),IF(F$2&gt;=INDIRECT($AD$9),INDIRECT($AF$9)*E$95,""),""),"")),0)</f>
        <v>0</v>
      </c>
      <c r="F61" s="56" t="n">
        <f aca="false">IFERROR((E$61/E$32)/12,0)</f>
        <v>0</v>
      </c>
      <c r="G61" s="57" t="n">
        <f aca="false">IFERROR(E61/E$68,0)</f>
        <v>0</v>
      </c>
      <c r="H61" s="27"/>
      <c r="I61" s="137" t="n">
        <f aca="true" t="array" ref="I61:I61">IFERROR(SUM(IF($A61=INDIRECT($AE$9),IF(I$2&lt;=INDIRECT($AD$9),IF(J$2&gt;=INDIRECT($AD$9),INDIRECT($AF$9)*I$95,""),""),"")),0)</f>
        <v>0</v>
      </c>
      <c r="J61" s="59" t="n">
        <f aca="false">IFERROR((I$61/I$32)/12,0)</f>
        <v>0</v>
      </c>
      <c r="K61" s="60" t="n">
        <f aca="false">IFERROR(I61/I$68,0)</f>
        <v>0</v>
      </c>
      <c r="L61" s="27"/>
      <c r="M61" s="137" t="n">
        <f aca="true" t="array" ref="M61:M61">IFERROR(SUM(IF($A61=INDIRECT($AE$9),IF(M$2&lt;=INDIRECT($AD$9),IF(N$2&gt;=INDIRECT($AD$9),INDIRECT($AF$9)*M$95,""),""),"")),0)</f>
        <v>0</v>
      </c>
      <c r="N61" s="59" t="n">
        <f aca="false">IFERROR((M$61/M$32)/12,0)</f>
        <v>0</v>
      </c>
      <c r="O61" s="60" t="n">
        <f aca="false">IFERROR(M61/M$68,0)</f>
        <v>0</v>
      </c>
      <c r="P61" s="61"/>
      <c r="Q61" s="138" t="n">
        <f aca="true" t="array" ref="Q61:Q61">IFERROR(SUM(IF($A61=INDIRECT($AE$9),IF(Q$2&lt;=INDIRECT($AD$9),IF(R$2&gt;=INDIRECT($AD$9),INDIRECT($AF$9)*Q$95,""),""),"")),0)</f>
        <v>0</v>
      </c>
      <c r="R61" s="63" t="n">
        <f aca="false">IFERROR((Q$61/Q$32)/12,0)</f>
        <v>0</v>
      </c>
      <c r="S61" s="64" t="n">
        <f aca="false">IFERROR(Q61/Q$68,0)</f>
        <v>0</v>
      </c>
      <c r="T61" s="61"/>
      <c r="U61" s="138" t="n">
        <f aca="true" t="array" ref="U61:U61">IFERROR(SUM(IF($A61=INDIRECT($AE$9),IF(U$2&lt;=INDIRECT($AD$9),IF(V$2&gt;=INDIRECT($AD$9),INDIRECT($AF$9)*U$95,""),""),"")),0)</f>
        <v>0</v>
      </c>
      <c r="V61" s="63" t="n">
        <f aca="false">IFERROR((U$61/U$32)/12,0)</f>
        <v>0</v>
      </c>
      <c r="W61" s="65" t="n">
        <f aca="false">IFERROR(U61/U$68,0)</f>
        <v>0</v>
      </c>
      <c r="X61" s="61"/>
      <c r="Y61" s="138" t="n">
        <f aca="true" t="array" ref="Y61:Y61">IFERROR(SUM(IF($A61=INDIRECT($AE$9),IF(Y$2&lt;=INDIRECT($AD$9),IF(Z$2&gt;=INDIRECT($AD$9),INDIRECT($AF$9)*Y$95,""),""),"")),0)</f>
        <v>0</v>
      </c>
      <c r="Z61" s="63" t="n">
        <f aca="false">IFERROR((Y$61/Y$32)/12,0)</f>
        <v>0</v>
      </c>
      <c r="AA61" s="64" t="n">
        <f aca="false">IFERROR(Y61/Y$68,0)</f>
        <v>0</v>
      </c>
      <c r="AB61" s="159"/>
      <c r="AC61" s="159"/>
    </row>
    <row r="62" customFormat="false" ht="18.75" hidden="false" customHeight="true" outlineLevel="0" collapsed="false">
      <c r="A62" s="135" t="n">
        <v>213</v>
      </c>
      <c r="B62" s="5"/>
      <c r="C62" s="54" t="s">
        <v>70</v>
      </c>
      <c r="D62" s="27"/>
      <c r="E62" s="136" t="n">
        <f aca="true" t="array" ref="E62:E62">IFERROR(SUM(IF($A62=INDIRECT($AE$9),IF(E$2&lt;=INDIRECT($AD$9),IF(F$2&gt;=INDIRECT($AD$9),INDIRECT($AF$9)*E$95,""),""),"")),0)</f>
        <v>0</v>
      </c>
      <c r="F62" s="56" t="n">
        <f aca="false">IFERROR((E$61/E$32)/12,0)</f>
        <v>0</v>
      </c>
      <c r="G62" s="57" t="n">
        <f aca="false">IFERROR(E62/E$68,0)</f>
        <v>0</v>
      </c>
      <c r="H62" s="27"/>
      <c r="I62" s="137" t="n">
        <f aca="true" t="array" ref="I62:I62">IFERROR(SUM(IF($A62=INDIRECT($AE$9),IF(I$2&lt;=INDIRECT($AD$9),IF(J$2&gt;=INDIRECT($AD$9),INDIRECT($AF$9)*I$95,""),""),"")),0)</f>
        <v>5684.4262295082</v>
      </c>
      <c r="J62" s="59" t="n">
        <f aca="false">IFERROR((I$61/I$32)/12,0)</f>
        <v>0</v>
      </c>
      <c r="K62" s="60" t="n">
        <f aca="false">IFERROR(I62/I$68,0)</f>
        <v>0.000824080457953366</v>
      </c>
      <c r="L62" s="27"/>
      <c r="M62" s="137" t="n">
        <f aca="true" t="array" ref="M62:M62">IFERROR(SUM(IF($A62=INDIRECT($AE$9),IF(M$2&lt;=INDIRECT($AD$9),IF(N$2&gt;=INDIRECT($AD$9),INDIRECT($AF$9)*M$95,""),""),"")),0)</f>
        <v>11368.8524590164</v>
      </c>
      <c r="N62" s="59" t="n">
        <f aca="false">IFERROR((M$61/M$32)/12,0)</f>
        <v>0</v>
      </c>
      <c r="O62" s="60" t="n">
        <f aca="false">IFERROR(M62/M$68,0)</f>
        <v>0.00162261571956575</v>
      </c>
      <c r="P62" s="61"/>
      <c r="Q62" s="138" t="n">
        <f aca="true" t="array" ref="Q62:Q62">IFERROR(SUM(IF($A62=INDIRECT($AE$9),IF(Q$2&lt;=INDIRECT($AD$9),IF(R$2&gt;=INDIRECT($AD$9),INDIRECT($AF$9)*Q$95,""),""),"")),0)</f>
        <v>22614.1304347826</v>
      </c>
      <c r="R62" s="63" t="n">
        <f aca="false">IFERROR((Q$61/Q$32)/12,0)</f>
        <v>0</v>
      </c>
      <c r="S62" s="64" t="n">
        <f aca="false">IFERROR(Q62/Q$68,0)</f>
        <v>0.00959685320193704</v>
      </c>
      <c r="T62" s="61"/>
      <c r="U62" s="138" t="n">
        <f aca="true" t="array" ref="U62:U62">IFERROR(SUM(IF($A62=INDIRECT($AE$9),IF(U$2&lt;=INDIRECT($AD$9),IF(V$2&gt;=INDIRECT($AD$9),INDIRECT($AF$9)*U$95,""),""),"")),0)</f>
        <v>0</v>
      </c>
      <c r="V62" s="63" t="n">
        <f aca="false">IFERROR((U$61/U$32)/12,0)</f>
        <v>0</v>
      </c>
      <c r="W62" s="65" t="n">
        <f aca="false">IFERROR(U62/U$68,0)</f>
        <v>0</v>
      </c>
      <c r="X62" s="61"/>
      <c r="Y62" s="138" t="n">
        <f aca="true" t="array" ref="Y62:Y62">IFERROR(SUM(IF($A62=INDIRECT($AE$9),IF(Y$2&lt;=INDIRECT($AD$9),IF(Z$2&gt;=INDIRECT($AD$9),INDIRECT($AF$9)*Y$95,""),""),"")),0)</f>
        <v>0</v>
      </c>
      <c r="Z62" s="63" t="n">
        <f aca="false">IFERROR((Y$61/Y$32)/12,0)</f>
        <v>0</v>
      </c>
      <c r="AA62" s="64" t="n">
        <f aca="false">IFERROR(Y62/Y$68,0)</f>
        <v>0</v>
      </c>
    </row>
    <row r="63" customFormat="false" ht="18.75" hidden="false" customHeight="true" outlineLevel="0" collapsed="false">
      <c r="A63" s="135"/>
      <c r="B63" s="5"/>
      <c r="C63" s="66" t="s">
        <v>71</v>
      </c>
      <c r="D63" s="27"/>
      <c r="E63" s="160" t="n">
        <f aca="false">SUM(E59:E62)</f>
        <v>1286205.19</v>
      </c>
      <c r="F63" s="68" t="n">
        <f aca="false">IFERROR((E$63/E$32)/12,0)</f>
        <v>55888.6778988095</v>
      </c>
      <c r="G63" s="69" t="n">
        <f aca="false">IFERROR(E63/E$68,0)</f>
        <v>0.32427989882387</v>
      </c>
      <c r="H63" s="91"/>
      <c r="I63" s="161" t="n">
        <f aca="false">SUM(I59:I62)</f>
        <v>2200555.56065574</v>
      </c>
      <c r="J63" s="71" t="n">
        <f aca="false">IFERROR((I$63/I$32)/12,0)</f>
        <v>55930.7871666667</v>
      </c>
      <c r="K63" s="72" t="n">
        <f aca="false">IFERROR(I63/I$68,0)</f>
        <v>0.319018096279156</v>
      </c>
      <c r="L63" s="91"/>
      <c r="M63" s="161" t="n">
        <f aca="false">SUM(M59:M62)</f>
        <v>2197771.64781421</v>
      </c>
      <c r="N63" s="71" t="n">
        <f aca="false">IFERROR((M$63/M$32)/12,0)</f>
        <v>55860.0293819444</v>
      </c>
      <c r="O63" s="72" t="n">
        <f aca="false">IFERROR(M63/M$68,0)</f>
        <v>0.313676233957195</v>
      </c>
      <c r="P63" s="167"/>
      <c r="Q63" s="162" t="n">
        <f aca="false">SUM(Q59:Q62)</f>
        <v>728237.208695652</v>
      </c>
      <c r="R63" s="74" t="n">
        <f aca="false">IFERROR((Q$63/Q$32)/12,0)</f>
        <v>55831.5193333333</v>
      </c>
      <c r="S63" s="75" t="n">
        <f aca="false">IFERROR(Q63/Q$68,0)</f>
        <v>0.30904507286697</v>
      </c>
      <c r="T63" s="61"/>
      <c r="U63" s="162" t="n">
        <f aca="false">SUM(U59:U62)</f>
        <v>0</v>
      </c>
      <c r="V63" s="74" t="n">
        <f aca="false">IFERROR((U$63/U$32)/12,0)</f>
        <v>0</v>
      </c>
      <c r="W63" s="76" t="n">
        <f aca="false">IFERROR(U63/U$68,0)</f>
        <v>0</v>
      </c>
      <c r="X63" s="61"/>
      <c r="Y63" s="162" t="n">
        <f aca="false">SUM(Y59:Y62)</f>
        <v>0</v>
      </c>
      <c r="Z63" s="74" t="n">
        <f aca="false">IFERROR((Y$63/Y$32)/12,0)</f>
        <v>0</v>
      </c>
      <c r="AA63" s="75" t="n">
        <f aca="false">IFERROR(Y63/Y$68,0)</f>
        <v>0</v>
      </c>
    </row>
    <row r="64" customFormat="false" ht="18.75" hidden="false" customHeight="true" outlineLevel="0" collapsed="false">
      <c r="A64" s="135"/>
      <c r="B64" s="5"/>
      <c r="C64" s="66"/>
      <c r="D64" s="27"/>
      <c r="E64" s="160"/>
      <c r="F64" s="68"/>
      <c r="G64" s="69"/>
      <c r="H64" s="91"/>
      <c r="I64" s="161"/>
      <c r="J64" s="71"/>
      <c r="K64" s="72"/>
      <c r="L64" s="91"/>
      <c r="M64" s="161"/>
      <c r="N64" s="71"/>
      <c r="O64" s="72"/>
      <c r="P64" s="167"/>
      <c r="Q64" s="162"/>
      <c r="R64" s="74"/>
      <c r="S64" s="75"/>
      <c r="T64" s="61"/>
      <c r="U64" s="162"/>
      <c r="V64" s="74"/>
      <c r="W64" s="76"/>
      <c r="X64" s="61"/>
      <c r="Y64" s="162"/>
      <c r="Z64" s="74"/>
      <c r="AA64" s="75"/>
    </row>
    <row r="65" customFormat="false" ht="18.75" hidden="false" customHeight="true" outlineLevel="0" collapsed="false">
      <c r="A65" s="135" t="n">
        <v>220</v>
      </c>
      <c r="B65" s="5"/>
      <c r="C65" s="54" t="s">
        <v>72</v>
      </c>
      <c r="D65" s="27"/>
      <c r="E65" s="136" t="n">
        <f aca="true" t="array" ref="E65:E65">IFERROR(SUM(IF($A65=INDIRECT($AE$9),IF(E$2&lt;=INDIRECT($AD$9),IF(F$2&gt;=INDIRECT($AD$9),INDIRECT($AF$9)*E$95,""),""),"")),0)</f>
        <v>149700</v>
      </c>
      <c r="F65" s="56" t="n">
        <f aca="false">IFERROR((E$65/E$32)/12,0)</f>
        <v>6504.82142857143</v>
      </c>
      <c r="G65" s="57" t="n">
        <f aca="false">IFERROR(E65/E$68,0)</f>
        <v>0.037742578891268</v>
      </c>
      <c r="H65" s="27"/>
      <c r="I65" s="137" t="n">
        <f aca="true" t="array" ref="I65:I65">IFERROR(SUM(IF($A65=INDIRECT($AE$9),IF(I$2&lt;=INDIRECT($AD$9),IF(J$2&gt;=INDIRECT($AD$9),INDIRECT($AF$9)*I$95,""),""),"")),0)</f>
        <v>267467.213114754</v>
      </c>
      <c r="J65" s="59" t="n">
        <f aca="false">IFERROR((I$65/I$32)/12,0)</f>
        <v>6798.125</v>
      </c>
      <c r="K65" s="60" t="n">
        <f aca="false">IFERROR(I65/I$68,0)</f>
        <v>0.0387751541794899</v>
      </c>
      <c r="L65" s="27"/>
      <c r="M65" s="137" t="n">
        <f aca="true" t="array" ref="M65:M65">IFERROR(SUM(IF($A65=INDIRECT($AE$9),IF(M$2&lt;=INDIRECT($AD$9),IF(N$2&gt;=INDIRECT($AD$9),INDIRECT($AF$9)*M$95,""),""),"")),0)</f>
        <v>248319.672131148</v>
      </c>
      <c r="N65" s="59" t="n">
        <f aca="false">IFERROR((M$65/M$32)/12,0)</f>
        <v>6311.45833333333</v>
      </c>
      <c r="O65" s="60" t="n">
        <f aca="false">IFERROR(M65/M$68,0)</f>
        <v>0.0354413433484098</v>
      </c>
      <c r="P65" s="61"/>
      <c r="Q65" s="138" t="n">
        <f aca="true" t="array" ref="Q65:Q65">IFERROR(SUM(IF($A65=INDIRECT($AE$9),IF(Q$2&lt;=INDIRECT($AD$9),IF(R$2&gt;=INDIRECT($AD$9),INDIRECT($AF$9)*Q$95,""),""),"")),0)</f>
        <v>91250</v>
      </c>
      <c r="R65" s="63" t="n">
        <f aca="false">IFERROR((Q$65/Q$32)/12,0)</f>
        <v>6995.83333333333</v>
      </c>
      <c r="S65" s="64" t="n">
        <f aca="false">IFERROR(Q65/Q$68,0)</f>
        <v>0.0387241444990442</v>
      </c>
      <c r="T65" s="61"/>
      <c r="U65" s="138" t="n">
        <f aca="true" t="array" ref="U65:U65">IFERROR(SUM(IF($A65=INDIRECT($AE$9),IF(U$2&lt;=INDIRECT($AD$9),IF(V$2&gt;=INDIRECT($AD$9),INDIRECT($AF$9)*U$95,""),""),"")),0)</f>
        <v>0</v>
      </c>
      <c r="V65" s="63" t="n">
        <f aca="false">IFERROR((U$65/U$32)/12,0)</f>
        <v>0</v>
      </c>
      <c r="W65" s="65" t="n">
        <f aca="false">IFERROR(U65/U$68,0)</f>
        <v>0</v>
      </c>
      <c r="X65" s="61"/>
      <c r="Y65" s="138" t="n">
        <f aca="true" t="array" ref="Y65:Y65">IFERROR(SUM(IF($A65=INDIRECT($AE$9),IF(Y$2&lt;=INDIRECT($AD$9),IF(Z$2&gt;=INDIRECT($AD$9),INDIRECT($AF$9)*Y$95,""),""),"")),0)</f>
        <v>0</v>
      </c>
      <c r="Z65" s="63" t="n">
        <f aca="false">IFERROR((Y$65/Y$32)/12,0)</f>
        <v>0</v>
      </c>
      <c r="AA65" s="64" t="n">
        <f aca="false">IFERROR(Y65/Y$68,0)</f>
        <v>0</v>
      </c>
    </row>
    <row r="66" customFormat="false" ht="18.75" hidden="false" customHeight="true" outlineLevel="0" collapsed="false">
      <c r="A66" s="135" t="n">
        <v>221</v>
      </c>
      <c r="B66" s="5"/>
      <c r="C66" s="54" t="s">
        <v>73</v>
      </c>
      <c r="D66" s="27"/>
      <c r="E66" s="136" t="n">
        <f aca="true" t="array" ref="E66:E66">IFERROR(SUM(IF($A66=INDIRECT($AE$9),IF(E$2&lt;=INDIRECT($AD$9),IF(F$2&gt;=INDIRECT($AD$9),INDIRECT($AF$9)*E$95,""),""),"")),0)</f>
        <v>5505.44</v>
      </c>
      <c r="F66" s="56" t="n">
        <f aca="false">IFERROR((E$66/E$32)/12,0)</f>
        <v>239.224476190476</v>
      </c>
      <c r="G66" s="57" t="n">
        <f aca="false">IFERROR(E66/E$68,0)</f>
        <v>0.00138803943574577</v>
      </c>
      <c r="H66" s="27"/>
      <c r="I66" s="137" t="n">
        <f aca="true" t="array" ref="I66:I66">IFERROR(SUM(IF($A66=INDIRECT($AE$9),IF(I$2&lt;=INDIRECT($AD$9),IF(J$2&gt;=INDIRECT($AD$9),INDIRECT($AF$9)*I$95,""),""),"")),0)</f>
        <v>-2889.64316939891</v>
      </c>
      <c r="J66" s="59" t="n">
        <f aca="false">IFERROR((I$66/I$32)/12,0)</f>
        <v>-73.4450972222222</v>
      </c>
      <c r="K66" s="60" t="n">
        <f aca="false">IFERROR(I66/I$68,0)</f>
        <v>-0.000418916240657431</v>
      </c>
      <c r="L66" s="27"/>
      <c r="M66" s="137" t="n">
        <f aca="true" t="array" ref="M66:M66">IFERROR(SUM(IF($A66=INDIRECT($AE$9),IF(M$2&lt;=INDIRECT($AD$9),IF(N$2&gt;=INDIRECT($AD$9),INDIRECT($AF$9)*M$95,""),""),"")),0)</f>
        <v>-16760.0819672131</v>
      </c>
      <c r="N66" s="59" t="n">
        <f aca="false">IFERROR((M$66/M$32)/12,0)</f>
        <v>-425.985416666667</v>
      </c>
      <c r="O66" s="60" t="n">
        <f aca="false">IFERROR(M66/M$68,0)</f>
        <v>-0.0023920771739493</v>
      </c>
      <c r="P66" s="61"/>
      <c r="Q66" s="138" t="n">
        <f aca="true" t="array" ref="Q66:Q66">IFERROR(SUM(IF($A66=INDIRECT($AE$9),IF(Q$2&lt;=INDIRECT($AD$9),IF(R$2&gt;=INDIRECT($AD$9),INDIRECT($AF$9)*Q$95,""),""),"")),0)</f>
        <v>0</v>
      </c>
      <c r="R66" s="63" t="n">
        <f aca="false">IFERROR((Q$66/Q$32)/12,0)</f>
        <v>0</v>
      </c>
      <c r="S66" s="64" t="n">
        <f aca="false">IFERROR(Q66/Q$68,0)</f>
        <v>0</v>
      </c>
      <c r="T66" s="61"/>
      <c r="U66" s="138" t="n">
        <f aca="true" t="array" ref="U66:U66">IFERROR(SUM(IF($A66=INDIRECT($AE$9),IF(U$2&lt;=INDIRECT($AD$9),IF(V$2&gt;=INDIRECT($AD$9),INDIRECT($AF$9)*U$95,""),""),"")),0)</f>
        <v>0</v>
      </c>
      <c r="V66" s="63" t="n">
        <f aca="false">IFERROR((U$66/U$32)/12,0)</f>
        <v>0</v>
      </c>
      <c r="W66" s="65" t="n">
        <f aca="false">IFERROR(U66/U$68,0)</f>
        <v>0</v>
      </c>
      <c r="X66" s="61"/>
      <c r="Y66" s="138" t="n">
        <f aca="true" t="array" ref="Y66:Y66">IFERROR(SUM(IF($A66=INDIRECT($AE$9),IF(Y$2&lt;=INDIRECT($AD$9),IF(Z$2&gt;=INDIRECT($AD$9),INDIRECT($AF$9)*Y$95,""),""),"")),0)</f>
        <v>0</v>
      </c>
      <c r="Z66" s="63" t="n">
        <f aca="false">IFERROR((Y$66/Y$32)/12,0)</f>
        <v>0</v>
      </c>
      <c r="AA66" s="64" t="n">
        <f aca="false">IFERROR(Y66/Y$68,0)</f>
        <v>0</v>
      </c>
    </row>
    <row r="67" customFormat="false" ht="20.25" hidden="true" customHeight="true" outlineLevel="0" collapsed="false">
      <c r="A67" s="168" t="n">
        <v>230</v>
      </c>
      <c r="B67" s="5"/>
      <c r="C67" s="169" t="s">
        <v>74</v>
      </c>
      <c r="D67" s="170"/>
      <c r="E67" s="171" t="n">
        <f aca="true" t="array" ref="E67:E67">IFERROR(SUM(IF($A67=INDIRECT($AE$9),IF(E$2&lt;=INDIRECT($AD$9),IF(F$2&gt;=INDIRECT($AD$9),INDIRECT($AF$9)*E$95,""),""),"")),0)</f>
        <v>0</v>
      </c>
      <c r="F67" s="172" t="n">
        <f aca="false">IFERROR((E67/$E$32)/12,0)</f>
        <v>0</v>
      </c>
      <c r="G67" s="173" t="n">
        <f aca="false">IFERROR(E67/E$68,0)</f>
        <v>0</v>
      </c>
      <c r="H67" s="170"/>
      <c r="I67" s="174" t="n">
        <f aca="true" t="array" ref="I67:I67">IFERROR(SUM(IF($A67=INDIRECT($AE$9),IF(I$2&lt;=INDIRECT($AD$9),IF(J$2&gt;=INDIRECT($AD$9),INDIRECT($AF$9)*I$95,""),""),"")),0)</f>
        <v>0</v>
      </c>
      <c r="J67" s="175" t="n">
        <f aca="false">IFERROR((I67/$E$32)/12,0)</f>
        <v>0</v>
      </c>
      <c r="K67" s="176" t="n">
        <f aca="false">IFERROR(I67/I$68,0)</f>
        <v>0</v>
      </c>
      <c r="L67" s="170"/>
      <c r="M67" s="174" t="n">
        <f aca="true" t="array" ref="M67:M67">IFERROR(SUM(IF($A67=INDIRECT($AE$9),IF(M$2&lt;=INDIRECT($AD$9),IF(N$2&gt;=INDIRECT($AD$9),INDIRECT($AF$9)*M$95,""),""),"")),0)</f>
        <v>0</v>
      </c>
      <c r="N67" s="175" t="n">
        <f aca="false">IFERROR((M67/$M$32)/12,0)</f>
        <v>0</v>
      </c>
      <c r="O67" s="176" t="n">
        <f aca="false">IFERROR(M67/M$68,0)</f>
        <v>0</v>
      </c>
      <c r="P67" s="177"/>
      <c r="Q67" s="178" t="n">
        <f aca="true" t="array" ref="Q67:Q67">IFERROR(SUM(IF($A67=INDIRECT($AE$9),IF(Q$2&lt;=INDIRECT($AD$9),IF(R$2&gt;=INDIRECT($AD$9),INDIRECT($AF$9)*Q$95,""),""),"")),0)</f>
        <v>0</v>
      </c>
      <c r="R67" s="179" t="n">
        <f aca="false">IFERROR((Q67/Q$32)/12,0)</f>
        <v>0</v>
      </c>
      <c r="S67" s="180" t="n">
        <f aca="false">IFERROR(Q67/Q$68,0)</f>
        <v>0</v>
      </c>
      <c r="T67" s="177"/>
      <c r="U67" s="178" t="n">
        <f aca="true" t="array" ref="U67:U67">IFERROR(SUM(IF($A67=INDIRECT($AE$9),IF(U$2&lt;=INDIRECT($AD$9),IF(V$2&gt;=INDIRECT($AD$9),INDIRECT($AF$9)*U$95,""),""),"")),0)</f>
        <v>0</v>
      </c>
      <c r="V67" s="179" t="n">
        <f aca="false">IFERROR((U67/U$32)/12,0)</f>
        <v>0</v>
      </c>
      <c r="W67" s="181" t="n">
        <f aca="false">IFERROR(U67/U$68,0)</f>
        <v>0</v>
      </c>
      <c r="X67" s="177"/>
      <c r="Y67" s="178" t="n">
        <f aca="true" t="array" ref="Y67:Y67">IFERROR(SUM(IF($A67=INDIRECT($AE$9),IF(Y$2&lt;=INDIRECT($AD$9),IF(Z$2&gt;=INDIRECT($AD$9),INDIRECT($AF$9)*Y$95,""),""),"")),0)</f>
        <v>0</v>
      </c>
      <c r="Z67" s="179" t="n">
        <f aca="false">IFERROR((Y67/Y$32)/12,0)</f>
        <v>0</v>
      </c>
      <c r="AA67" s="180" t="n">
        <f aca="false">IFERROR(Y67/Y$68,0)</f>
        <v>0</v>
      </c>
    </row>
    <row r="68" customFormat="false" ht="18.75" hidden="false" customHeight="true" outlineLevel="1" collapsed="false">
      <c r="A68" s="4"/>
      <c r="B68" s="5"/>
      <c r="C68" s="182" t="s">
        <v>75</v>
      </c>
      <c r="D68" s="183"/>
      <c r="E68" s="184" t="n">
        <f aca="false">SUM(E56,E63,E65:E66)</f>
        <v>3966342.64</v>
      </c>
      <c r="F68" s="184" t="n">
        <f aca="false">IFERROR(E68/(E$32*E$96*E$95),0)</f>
        <v>172347.031380952</v>
      </c>
      <c r="G68" s="185" t="n">
        <f aca="false">IFERROR(E68/E$68,0)</f>
        <v>1</v>
      </c>
      <c r="H68" s="183"/>
      <c r="I68" s="184" t="n">
        <f aca="false">SUM(I56,I63,I65:I66)</f>
        <v>6897901.98838798</v>
      </c>
      <c r="J68" s="186" t="n">
        <f aca="false">IFERROR(I68/(I$32*I$96*I$95),0)</f>
        <v>175802.008895833</v>
      </c>
      <c r="K68" s="187" t="n">
        <f aca="false">IFERROR(I68/I$68,0)</f>
        <v>1</v>
      </c>
      <c r="L68" s="183"/>
      <c r="M68" s="184" t="n">
        <f aca="false">SUM(M56,M63,M65:M66)</f>
        <v>7006497.1773224</v>
      </c>
      <c r="N68" s="186" t="n">
        <f aca="false">IFERROR(M68/(M$32*M$96*M$95),0)</f>
        <v>178569.698608333</v>
      </c>
      <c r="O68" s="187" t="n">
        <f aca="false">IFERROR(M68/M$68,0)</f>
        <v>1</v>
      </c>
      <c r="P68" s="188"/>
      <c r="Q68" s="184" t="n">
        <f aca="false">SUM(Q56,Q63,Q65:Q66)</f>
        <v>2356410.99836957</v>
      </c>
      <c r="R68" s="189" t="n">
        <f aca="false">IFERROR(Q68/(Q$32*Q$96*Q$95),0)</f>
        <v>182143.038266667</v>
      </c>
      <c r="S68" s="190" t="n">
        <f aca="false">IFERROR(Q68/Q$68,0)</f>
        <v>1</v>
      </c>
      <c r="T68" s="191"/>
      <c r="U68" s="184" t="n">
        <f aca="false">SUM(U56,U63,U65:U66)</f>
        <v>0</v>
      </c>
      <c r="V68" s="189" t="n">
        <f aca="false">IFERROR(U68/(U$32*U$96*U$95),0)</f>
        <v>0</v>
      </c>
      <c r="W68" s="192" t="n">
        <f aca="false">IFERROR(U68/U$68,0)</f>
        <v>0</v>
      </c>
      <c r="X68" s="191"/>
      <c r="Y68" s="184" t="n">
        <f aca="false">SUM(Y56,Y63,Y65:Y66)</f>
        <v>0</v>
      </c>
      <c r="Z68" s="189" t="n">
        <f aca="false">IFERROR(Y68/(Y$32*Y$96*Y$95),0)</f>
        <v>0</v>
      </c>
      <c r="AA68" s="190" t="n">
        <f aca="false">IFERROR(Y68/Y$68,0)</f>
        <v>0</v>
      </c>
      <c r="AD68" s="193"/>
    </row>
    <row r="69" customFormat="false" ht="18.75" hidden="true" customHeight="true" outlineLevel="1" collapsed="false">
      <c r="A69" s="4"/>
      <c r="B69" s="5"/>
      <c r="C69" s="15"/>
      <c r="D69" s="16"/>
      <c r="E69" s="17"/>
      <c r="F69" s="18" t="n">
        <f aca="false">F39</f>
        <v>2023</v>
      </c>
      <c r="G69" s="17"/>
      <c r="H69" s="16"/>
      <c r="I69" s="17"/>
      <c r="J69" s="18" t="str">
        <f aca="false">J39</f>
        <v>Trailing 12 Months</v>
      </c>
      <c r="K69" s="17"/>
      <c r="L69" s="16"/>
      <c r="M69" s="17"/>
      <c r="N69" s="18" t="str">
        <f aca="false">N39</f>
        <v>Trailing 6 Months Annualized</v>
      </c>
      <c r="O69" s="17"/>
      <c r="P69" s="16"/>
      <c r="Q69" s="17"/>
      <c r="R69" s="18" t="str">
        <f aca="false">R39</f>
        <v>Trailing 3 Months Annualized</v>
      </c>
      <c r="S69" s="19"/>
      <c r="T69" s="16"/>
      <c r="U69" s="17"/>
      <c r="V69" s="18" t="str">
        <f aca="false">V39</f>
        <v>Operator Proforma</v>
      </c>
      <c r="W69" s="17"/>
      <c r="X69" s="16"/>
      <c r="Y69" s="17"/>
      <c r="Z69" s="18" t="str">
        <f aca="false">Z39</f>
        <v>Helios Proforma</v>
      </c>
      <c r="AA69" s="19"/>
      <c r="AD69" s="193"/>
    </row>
    <row r="70" customFormat="false" ht="18.75" hidden="true" customHeight="true" outlineLevel="1" collapsed="false">
      <c r="A70" s="4"/>
      <c r="B70" s="5"/>
      <c r="C70" s="21"/>
      <c r="D70" s="22"/>
      <c r="E70" s="23"/>
      <c r="F70" s="24" t="str">
        <f aca="false">F40</f>
        <v>(1/1/2022 - 12/31/2022)</v>
      </c>
      <c r="G70" s="23"/>
      <c r="H70" s="22"/>
      <c r="I70" s="23"/>
      <c r="J70" s="24" t="str">
        <f aca="false">J40</f>
        <v>(6/1/2023 - 5/31/2024)</v>
      </c>
      <c r="K70" s="23"/>
      <c r="L70" s="22"/>
      <c r="M70" s="23"/>
      <c r="N70" s="24" t="str">
        <f aca="false">N40</f>
        <v>(12/1/2023 - 5/31/2024)</v>
      </c>
      <c r="O70" s="23"/>
      <c r="P70" s="22"/>
      <c r="Q70" s="23"/>
      <c r="R70" s="24" t="str">
        <f aca="false">R40</f>
        <v>(3/1/24 - 5/31/24)</v>
      </c>
      <c r="S70" s="25"/>
      <c r="T70" s="22"/>
      <c r="U70" s="23"/>
      <c r="V70" s="24"/>
      <c r="W70" s="23"/>
      <c r="X70" s="22"/>
      <c r="Y70" s="23"/>
      <c r="Z70" s="24"/>
      <c r="AA70" s="25"/>
      <c r="AD70" s="193"/>
    </row>
    <row r="71" customFormat="false" ht="18.75" hidden="false" customHeight="true" outlineLevel="1" collapsed="false">
      <c r="A71" s="4"/>
      <c r="B71" s="5"/>
      <c r="C71" s="194" t="s">
        <v>76</v>
      </c>
      <c r="D71" s="183"/>
      <c r="E71" s="195" t="n">
        <f aca="false">G$2</f>
        <v>2023</v>
      </c>
      <c r="F71" s="195" t="s">
        <v>37</v>
      </c>
      <c r="G71" s="195" t="s">
        <v>55</v>
      </c>
      <c r="H71" s="5"/>
      <c r="I71" s="115" t="str">
        <f aca="false">K$2</f>
        <v>T12</v>
      </c>
      <c r="J71" s="115" t="s">
        <v>37</v>
      </c>
      <c r="K71" s="115" t="s">
        <v>55</v>
      </c>
      <c r="L71" s="5"/>
      <c r="M71" s="115" t="str">
        <f aca="false">O$2</f>
        <v>T6</v>
      </c>
      <c r="N71" s="115" t="s">
        <v>37</v>
      </c>
      <c r="O71" s="115" t="s">
        <v>55</v>
      </c>
      <c r="Q71" s="115" t="str">
        <f aca="false">S$2</f>
        <v>T3A</v>
      </c>
      <c r="R71" s="115" t="s">
        <v>37</v>
      </c>
      <c r="S71" s="116" t="s">
        <v>55</v>
      </c>
      <c r="T71" s="196"/>
      <c r="U71" s="115" t="str">
        <f aca="false">W$2</f>
        <v>Op. Proforma</v>
      </c>
      <c r="V71" s="115" t="s">
        <v>37</v>
      </c>
      <c r="W71" s="115" t="s">
        <v>55</v>
      </c>
      <c r="X71" s="196"/>
      <c r="Y71" s="115" t="str">
        <f aca="false">AA$2</f>
        <v>Helios Proforma</v>
      </c>
      <c r="Z71" s="115" t="s">
        <v>37</v>
      </c>
      <c r="AA71" s="115" t="s">
        <v>55</v>
      </c>
      <c r="AD71" s="193"/>
    </row>
    <row r="72" customFormat="false" ht="18.75" hidden="true" customHeight="true" outlineLevel="0" collapsed="false">
      <c r="A72" s="197" t="n">
        <v>301</v>
      </c>
      <c r="B72" s="5"/>
      <c r="C72" s="198" t="s">
        <v>77</v>
      </c>
      <c r="D72" s="46"/>
      <c r="E72" s="155" t="n">
        <f aca="true" t="array" ref="E72:E72">IFERROR(SUM(IF($A72=INDIRECT($AE$9),IF(E$2&lt;=INDIRECT($AD$9),IF(F$2&gt;=INDIRECT($AD$9),INDIRECT($AF$9)*E$95,""),""),"")),0)</f>
        <v>0</v>
      </c>
      <c r="F72" s="48" t="n">
        <f aca="false">IFERROR((E72/E$32)/12,0)</f>
        <v>0</v>
      </c>
      <c r="G72" s="49" t="n">
        <f aca="false">IFERROR(E72/E$68,0)</f>
        <v>0</v>
      </c>
      <c r="H72" s="46"/>
      <c r="I72" s="156" t="n">
        <f aca="true" t="array" ref="I72:I72">IFERROR(SUM(IF($A72=INDIRECT($AE$9),IF(I$2&lt;=INDIRECT($AD$9),IF(J$2&gt;=INDIRECT($AD$9),INDIRECT($AF$9)*I$95,""),""),"")),0)</f>
        <v>0</v>
      </c>
      <c r="J72" s="48" t="n">
        <f aca="false">IFERROR((I72/I$32)/12,0)</f>
        <v>0</v>
      </c>
      <c r="K72" s="79" t="n">
        <f aca="false">IFERROR(I72/I$68,0)</f>
        <v>0</v>
      </c>
      <c r="L72" s="46"/>
      <c r="M72" s="156" t="n">
        <f aca="true" t="array" ref="M72:M72">IFERROR(SUM(IF($A72=INDIRECT($AE$9),IF(M$2&lt;=INDIRECT($AD$9),IF(N$2&gt;=INDIRECT($AD$9),INDIRECT($AF$9)*M$95,""),""),"")),0)</f>
        <v>0</v>
      </c>
      <c r="N72" s="48" t="n">
        <f aca="false">IFERROR((M72/M$32)/12,0)</f>
        <v>0</v>
      </c>
      <c r="O72" s="79" t="n">
        <f aca="false">IFERROR(M72/M$68,0)</f>
        <v>0</v>
      </c>
      <c r="P72" s="80"/>
      <c r="Q72" s="157" t="n">
        <f aca="true" t="array" ref="Q72:Q72">IFERROR(SUM(IF($A72=INDIRECT($AE$9),IF(Q$2&lt;=INDIRECT($AD$9),IF(R$2&gt;=INDIRECT($AD$9),INDIRECT($AF$9)*Q$95,""),""),"")),0)</f>
        <v>0</v>
      </c>
      <c r="R72" s="48" t="n">
        <f aca="false">IFERROR((Q72/Q$32)/12,0)</f>
        <v>0</v>
      </c>
      <c r="S72" s="83" t="n">
        <f aca="false">IFERROR(Q72/Q$68,0)</f>
        <v>0</v>
      </c>
      <c r="T72" s="199"/>
      <c r="U72" s="157" t="n">
        <f aca="true" t="array" ref="U72:U72">IFERROR(SUM(IF($A72=INDIRECT($AE$9),IF(U$2&lt;=INDIRECT($AD$9),IF(V$2&gt;=INDIRECT($AD$9),INDIRECT($AF$9)*U$95,""),""),"")),0)</f>
        <v>0</v>
      </c>
      <c r="V72" s="48" t="n">
        <f aca="false">IFERROR((U72/U$32)/12,0)</f>
        <v>0</v>
      </c>
      <c r="W72" s="84" t="n">
        <f aca="false">IFERROR(U72/U$68,0)</f>
        <v>0</v>
      </c>
      <c r="X72" s="199"/>
      <c r="Y72" s="157" t="n">
        <f aca="true" t="array" ref="Y72:Y72">IFERROR(SUM(IF($A72=INDIRECT($AE$9),IF(Y$2&lt;=INDIRECT($AD$9),IF(Z$2&gt;=INDIRECT($AD$9),INDIRECT($AF$9)*Y$95,""),""),"")),0)</f>
        <v>0</v>
      </c>
      <c r="Z72" s="48" t="n">
        <f aca="false">IFERROR((Y72/Y$32)/12,0)</f>
        <v>0</v>
      </c>
      <c r="AA72" s="83" t="n">
        <f aca="false">IFERROR(Y72/Y$68,0)</f>
        <v>0</v>
      </c>
      <c r="AD72" s="193"/>
    </row>
    <row r="73" customFormat="false" ht="18.75" hidden="false" customHeight="true" outlineLevel="0" collapsed="false">
      <c r="A73" s="197" t="n">
        <v>302</v>
      </c>
      <c r="B73" s="5"/>
      <c r="C73" s="200" t="s">
        <v>78</v>
      </c>
      <c r="D73" s="27"/>
      <c r="E73" s="136" t="n">
        <f aca="true" t="array" ref="E73:E73">IFERROR(SUM(IF($A73=INDIRECT($AE$9),IF(E$2&lt;=INDIRECT($AD$9),IF(F$2&gt;=INDIRECT($AD$9),INDIRECT($AF$9)*E$95,""),""),"")),0)</f>
        <v>385422.5</v>
      </c>
      <c r="F73" s="56" t="n">
        <f aca="false">IFERROR((E73/E$32)/12,0)</f>
        <v>16747.5252976191</v>
      </c>
      <c r="G73" s="57" t="n">
        <f aca="false">IFERROR(E73/E$68,0)</f>
        <v>0.0971732739660636</v>
      </c>
      <c r="H73" s="27"/>
      <c r="I73" s="137" t="n">
        <f aca="true" t="array" ref="I73:I73">IFERROR(SUM(IF($A73=INDIRECT($AE$9),IF(I$2&lt;=INDIRECT($AD$9),IF(J$2&gt;=INDIRECT($AD$9),INDIRECT($AF$9)*I$95,""),""),"")),0)</f>
        <v>721852.751229508</v>
      </c>
      <c r="J73" s="56" t="n">
        <f aca="false">IFERROR((I73/I$32)/12,0)</f>
        <v>18347.0907604167</v>
      </c>
      <c r="K73" s="60" t="n">
        <f aca="false">IFERROR(I73/I$68,0)</f>
        <v>0.104648160041225</v>
      </c>
      <c r="L73" s="27"/>
      <c r="M73" s="137" t="n">
        <f aca="true" t="array" ref="M73:M73">IFERROR(SUM(IF($A73=INDIRECT($AE$9),IF(M$2&lt;=INDIRECT($AD$9),IF(N$2&gt;=INDIRECT($AD$9),INDIRECT($AF$9)*M$95,""),""),"")),0)</f>
        <v>788851.702459017</v>
      </c>
      <c r="N73" s="56" t="n">
        <f aca="false">IFERROR((M73/M$32)/12,0)</f>
        <v>20049.9807708333</v>
      </c>
      <c r="O73" s="60" t="n">
        <f aca="false">IFERROR(M73/M$68,0)</f>
        <v>0.112588599195081</v>
      </c>
      <c r="P73" s="61"/>
      <c r="Q73" s="138" t="n">
        <f aca="true" t="array" ref="Q73:Q73">IFERROR(SUM(IF($A73=INDIRECT($AE$9),IF(Q$2&lt;=INDIRECT($AD$9),IF(R$2&gt;=INDIRECT($AD$9),INDIRECT($AF$9)*Q$95,""),""),"")),0)</f>
        <v>314649.955978261</v>
      </c>
      <c r="R73" s="56" t="n">
        <f aca="false">IFERROR((Q73/Q$32)/12,0)</f>
        <v>24123.1632916667</v>
      </c>
      <c r="S73" s="64" t="n">
        <f aca="false">IFERROR(Q73/Q$68,0)</f>
        <v>0.13352931903474</v>
      </c>
      <c r="T73" s="201"/>
      <c r="U73" s="138" t="n">
        <f aca="true" t="array" ref="U73:U73">IFERROR(SUM(IF($A73=INDIRECT($AE$9),IF(U$2&lt;=INDIRECT($AD$9),IF(V$2&gt;=INDIRECT($AD$9),INDIRECT($AF$9)*U$95,""),""),"")),0)</f>
        <v>0</v>
      </c>
      <c r="V73" s="56" t="n">
        <f aca="false">IFERROR((U73/U$32)/12,0)</f>
        <v>0</v>
      </c>
      <c r="W73" s="65" t="n">
        <f aca="false">IFERROR(U73/U$68,0)</f>
        <v>0</v>
      </c>
      <c r="X73" s="201"/>
      <c r="Y73" s="138" t="n">
        <f aca="true" t="array" ref="Y73:Y73">IFERROR(SUM(IF($A73=INDIRECT($AE$9),IF(Y$2&lt;=INDIRECT($AD$9),IF(Z$2&gt;=INDIRECT($AD$9),INDIRECT($AF$9)*Y$95,""),""),"")),0)</f>
        <v>0</v>
      </c>
      <c r="Z73" s="56" t="n">
        <f aca="false">IFERROR((Y73/Y$32)/12,0)</f>
        <v>0</v>
      </c>
      <c r="AA73" s="64" t="n">
        <f aca="false">IFERROR(Y73/Y$68,0)</f>
        <v>0</v>
      </c>
      <c r="AD73" s="193"/>
      <c r="AE73" s="202"/>
    </row>
    <row r="74" customFormat="false" ht="18.75" hidden="false" customHeight="true" outlineLevel="0" collapsed="false">
      <c r="A74" s="197" t="n">
        <v>303</v>
      </c>
      <c r="B74" s="5"/>
      <c r="C74" s="200" t="s">
        <v>79</v>
      </c>
      <c r="D74" s="27"/>
      <c r="E74" s="136" t="n">
        <f aca="true" t="array" ref="E74:E74">IFERROR(SUM(IF($A74=INDIRECT($AE$9),IF(E$2&lt;=INDIRECT($AD$9),IF(F$2&gt;=INDIRECT($AD$9),INDIRECT($AF$9)*E$95,""),""),"")),0)</f>
        <v>145990.09</v>
      </c>
      <c r="F74" s="56" t="n">
        <f aca="false">IFERROR((E74/E$32)/12,0)</f>
        <v>6343.61700595238</v>
      </c>
      <c r="G74" s="57" t="n">
        <f aca="false">IFERROR(E74/E$68,0)</f>
        <v>0.0368072310565685</v>
      </c>
      <c r="H74" s="27"/>
      <c r="I74" s="137" t="n">
        <f aca="true" t="array" ref="I74:I74">IFERROR(SUM(IF($A74=INDIRECT($AE$9),IF(I$2&lt;=INDIRECT($AD$9),IF(J$2&gt;=INDIRECT($AD$9),INDIRECT($AF$9)*I$95,""),""),"")),0)</f>
        <v>259432.805191257</v>
      </c>
      <c r="J74" s="56" t="n">
        <f aca="false">IFERROR((I74/I$32)/12,0)</f>
        <v>6593.91713194444</v>
      </c>
      <c r="K74" s="60" t="n">
        <f aca="false">IFERROR(I74/I$68,0)</f>
        <v>0.0376103930771979</v>
      </c>
      <c r="L74" s="27"/>
      <c r="M74" s="137" t="n">
        <f aca="true" t="array" ref="M74:M74">IFERROR(SUM(IF($A74=INDIRECT($AE$9),IF(M$2&lt;=INDIRECT($AD$9),IF(N$2&gt;=INDIRECT($AD$9),INDIRECT($AF$9)*M$95,""),""),"")),0)</f>
        <v>269316.546448087</v>
      </c>
      <c r="N74" s="56" t="n">
        <f aca="false">IFERROR((M74/M$32)/12,0)</f>
        <v>6845.12888888889</v>
      </c>
      <c r="O74" s="60" t="n">
        <f aca="false">IFERROR(M74/M$68,0)</f>
        <v>0.0384381153138506</v>
      </c>
      <c r="P74" s="61"/>
      <c r="Q74" s="138" t="n">
        <f aca="true" t="array" ref="Q74:Q74">IFERROR(SUM(IF($A74=INDIRECT($AE$9),IF(Q$2&lt;=INDIRECT($AD$9),IF(R$2&gt;=INDIRECT($AD$9),INDIRECT($AF$9)*Q$95,""),""),"")),0)</f>
        <v>93127.1315217391</v>
      </c>
      <c r="R74" s="56" t="n">
        <f aca="false">IFERROR((Q74/Q$32)/12,0)</f>
        <v>7139.74675</v>
      </c>
      <c r="S74" s="64" t="n">
        <f aca="false">IFERROR(Q74/Q$68,0)</f>
        <v>0.0395207506611432</v>
      </c>
      <c r="T74" s="201"/>
      <c r="U74" s="138" t="n">
        <f aca="true" t="array" ref="U74:U74">IFERROR(SUM(IF($A74=INDIRECT($AE$9),IF(U$2&lt;=INDIRECT($AD$9),IF(V$2&gt;=INDIRECT($AD$9),INDIRECT($AF$9)*U$95,""),""),"")),0)</f>
        <v>0</v>
      </c>
      <c r="V74" s="56" t="n">
        <f aca="false">IFERROR((U74/U$32)/12,0)</f>
        <v>0</v>
      </c>
      <c r="W74" s="65" t="n">
        <f aca="false">IFERROR(U74/U$68,0)</f>
        <v>0</v>
      </c>
      <c r="X74" s="201"/>
      <c r="Y74" s="138" t="n">
        <f aca="true" t="array" ref="Y74:Y74">IFERROR(SUM(IF($A74=INDIRECT($AE$9),IF(Y$2&lt;=INDIRECT($AD$9),IF(Z$2&gt;=INDIRECT($AD$9),INDIRECT($AF$9)*Y$95,""),""),"")),0)</f>
        <v>0</v>
      </c>
      <c r="Z74" s="56" t="n">
        <f aca="false">IFERROR((Y74/Y$32)/12,0)</f>
        <v>0</v>
      </c>
      <c r="AA74" s="64" t="n">
        <f aca="false">IFERROR(Y74/Y$68,0)</f>
        <v>0</v>
      </c>
      <c r="AD74" s="193"/>
      <c r="AE74" s="202"/>
    </row>
    <row r="75" customFormat="false" ht="18.75" hidden="false" customHeight="true" outlineLevel="0" collapsed="false">
      <c r="A75" s="197" t="n">
        <v>304</v>
      </c>
      <c r="B75" s="5"/>
      <c r="C75" s="200" t="s">
        <v>80</v>
      </c>
      <c r="D75" s="27"/>
      <c r="E75" s="136" t="n">
        <f aca="true" t="array" ref="E75:E75">IFERROR(SUM(IF($A75=INDIRECT($AE$9),IF(E$2&lt;=INDIRECT($AD$9),IF(F$2&gt;=INDIRECT($AD$9),INDIRECT($AF$9)*E$95,""),""),"")),0)</f>
        <v>103683.42</v>
      </c>
      <c r="F75" s="56" t="n">
        <f aca="false">IFERROR((E75/E$32)/12,0)</f>
        <v>4505.29146428572</v>
      </c>
      <c r="G75" s="57" t="n">
        <f aca="false">IFERROR(E75/E$68,0)</f>
        <v>0.0261408126858148</v>
      </c>
      <c r="H75" s="27"/>
      <c r="I75" s="137" t="n">
        <f aca="true" t="array" ref="I75:I75">IFERROR(SUM(IF($A75=INDIRECT($AE$9),IF(I$2&lt;=INDIRECT($AD$9),IF(J$2&gt;=INDIRECT($AD$9),INDIRECT($AF$9)*I$95,""),""),"")),0)</f>
        <v>167878.668442623</v>
      </c>
      <c r="J75" s="56" t="n">
        <f aca="false">IFERROR((I75/I$32)/12,0)</f>
        <v>4266.91615625</v>
      </c>
      <c r="K75" s="60" t="n">
        <f aca="false">IFERROR(I75/I$68,0)</f>
        <v>0.0243376418982514</v>
      </c>
      <c r="L75" s="27"/>
      <c r="M75" s="137" t="n">
        <f aca="true" t="array" ref="M75:M75">IFERROR(SUM(IF($A75=INDIRECT($AE$9),IF(M$2&lt;=INDIRECT($AD$9),IF(N$2&gt;=INDIRECT($AD$9),INDIRECT($AF$9)*M$95,""),""),"")),0)</f>
        <v>156656.484153005</v>
      </c>
      <c r="N75" s="56" t="n">
        <f aca="false">IFERROR((M75/M$32)/12,0)</f>
        <v>3981.68563888889</v>
      </c>
      <c r="O75" s="60" t="n">
        <f aca="false">IFERROR(M75/M$68,0)</f>
        <v>0.0223587450602347</v>
      </c>
      <c r="P75" s="61"/>
      <c r="Q75" s="138" t="n">
        <f aca="true" t="array" ref="Q75:Q75">IFERROR(SUM(IF($A75=INDIRECT($AE$9),IF(Q$2&lt;=INDIRECT($AD$9),IF(R$2&gt;=INDIRECT($AD$9),INDIRECT($AF$9)*Q$95,""),""),"")),0)</f>
        <v>52632.5239130435</v>
      </c>
      <c r="R75" s="56" t="n">
        <f aca="false">IFERROR((Q75/Q$32)/12,0)</f>
        <v>4035.16016666667</v>
      </c>
      <c r="S75" s="64" t="n">
        <f aca="false">IFERROR(Q75/Q$68,0)</f>
        <v>0.0223358845080339</v>
      </c>
      <c r="T75" s="201"/>
      <c r="U75" s="138" t="n">
        <f aca="true" t="array" ref="U75:U75">IFERROR(SUM(IF($A75=INDIRECT($AE$9),IF(U$2&lt;=INDIRECT($AD$9),IF(V$2&gt;=INDIRECT($AD$9),INDIRECT($AF$9)*U$95,""),""),"")),0)</f>
        <v>0</v>
      </c>
      <c r="V75" s="56" t="n">
        <f aca="false">IFERROR((U75/U$32)/12,0)</f>
        <v>0</v>
      </c>
      <c r="W75" s="65" t="n">
        <f aca="false">IFERROR(U75/U$68,0)</f>
        <v>0</v>
      </c>
      <c r="X75" s="201"/>
      <c r="Y75" s="138" t="n">
        <f aca="true" t="array" ref="Y75:Y75">IFERROR(SUM(IF($A75=INDIRECT($AE$9),IF(Y$2&lt;=INDIRECT($AD$9),IF(Z$2&gt;=INDIRECT($AD$9),INDIRECT($AF$9)*Y$95,""),""),"")),0)</f>
        <v>0</v>
      </c>
      <c r="Z75" s="56" t="n">
        <f aca="false">IFERROR((Y75/Y$32)/12,0)</f>
        <v>0</v>
      </c>
      <c r="AA75" s="64" t="n">
        <f aca="false">IFERROR(Y75/Y$68,0)</f>
        <v>0</v>
      </c>
      <c r="AD75" s="193"/>
      <c r="AE75" s="202"/>
    </row>
    <row r="76" customFormat="false" ht="18.75" hidden="false" customHeight="true" outlineLevel="0" collapsed="false">
      <c r="A76" s="197" t="n">
        <v>305</v>
      </c>
      <c r="B76" s="5"/>
      <c r="C76" s="200" t="s">
        <v>81</v>
      </c>
      <c r="D76" s="27"/>
      <c r="E76" s="136" t="n">
        <f aca="true" t="array" ref="E76:E76">IFERROR(SUM(IF($A76=INDIRECT($AE$9),IF(E$2&lt;=INDIRECT($AD$9),IF(F$2&gt;=INDIRECT($AD$9),INDIRECT($AF$9)*E$95,""),""),"")),0)</f>
        <v>0</v>
      </c>
      <c r="F76" s="56" t="n">
        <f aca="false">IFERROR((E76/E$32)/12,0)</f>
        <v>0</v>
      </c>
      <c r="G76" s="57" t="n">
        <f aca="false">IFERROR(E76/E$68,0)</f>
        <v>0</v>
      </c>
      <c r="H76" s="27"/>
      <c r="I76" s="137" t="n">
        <f aca="true" t="array" ref="I76:I76">IFERROR(SUM(IF($A76=INDIRECT($AE$9),IF(I$2&lt;=INDIRECT($AD$9),IF(J$2&gt;=INDIRECT($AD$9),INDIRECT($AF$9)*I$95,""),""),"")),0)</f>
        <v>0</v>
      </c>
      <c r="J76" s="56" t="n">
        <f aca="false">IFERROR((I76/I$32)/12,0)</f>
        <v>0</v>
      </c>
      <c r="K76" s="60" t="n">
        <f aca="false">IFERROR(I76/I$68,0)</f>
        <v>0</v>
      </c>
      <c r="L76" s="27"/>
      <c r="M76" s="137" t="n">
        <f aca="true" t="array" ref="M76:M76">IFERROR(SUM(IF($A76=INDIRECT($AE$9),IF(M$2&lt;=INDIRECT($AD$9),IF(N$2&gt;=INDIRECT($AD$9),INDIRECT($AF$9)*M$95,""),""),"")),0)</f>
        <v>0</v>
      </c>
      <c r="N76" s="56" t="n">
        <f aca="false">IFERROR((M76/M$32)/12,0)</f>
        <v>0</v>
      </c>
      <c r="O76" s="60" t="n">
        <f aca="false">IFERROR(M76/M$68,0)</f>
        <v>0</v>
      </c>
      <c r="P76" s="61"/>
      <c r="Q76" s="138" t="n">
        <f aca="true" t="array" ref="Q76:Q76">IFERROR(SUM(IF($A76=INDIRECT($AE$9),IF(Q$2&lt;=INDIRECT($AD$9),IF(R$2&gt;=INDIRECT($AD$9),INDIRECT($AF$9)*Q$95,""),""),"")),0)</f>
        <v>0</v>
      </c>
      <c r="R76" s="56" t="n">
        <f aca="false">IFERROR((Q76/Q$32)/12,0)</f>
        <v>0</v>
      </c>
      <c r="S76" s="64" t="n">
        <f aca="false">IFERROR(Q76/Q$68,0)</f>
        <v>0</v>
      </c>
      <c r="T76" s="201"/>
      <c r="U76" s="138" t="n">
        <f aca="true" t="array" ref="U76:U76">IFERROR(SUM(IF($A76=INDIRECT($AE$9),IF(U$2&lt;=INDIRECT($AD$9),IF(V$2&gt;=INDIRECT($AD$9),INDIRECT($AF$9)*U$95,""),""),"")),0)</f>
        <v>0</v>
      </c>
      <c r="V76" s="56" t="n">
        <f aca="false">IFERROR((U76/U$32)/12,0)</f>
        <v>0</v>
      </c>
      <c r="W76" s="65" t="n">
        <f aca="false">IFERROR(U76/U$68,0)</f>
        <v>0</v>
      </c>
      <c r="X76" s="201"/>
      <c r="Y76" s="138" t="n">
        <f aca="true" t="array" ref="Y76:Y76">IFERROR(SUM(IF($A76=INDIRECT($AE$9),IF(Y$2&lt;=INDIRECT($AD$9),IF(Z$2&gt;=INDIRECT($AD$9),INDIRECT($AF$9)*Y$95,""),""),"")),0)</f>
        <v>0</v>
      </c>
      <c r="Z76" s="56" t="n">
        <f aca="false">IFERROR((Y76/Y$32)/12,0)</f>
        <v>0</v>
      </c>
      <c r="AA76" s="64" t="n">
        <f aca="false">IFERROR(Y76/Y$68,0)</f>
        <v>0</v>
      </c>
      <c r="AD76" s="193"/>
      <c r="AE76" s="202"/>
    </row>
    <row r="77" customFormat="false" ht="18.75" hidden="false" customHeight="true" outlineLevel="0" collapsed="false">
      <c r="A77" s="197" t="n">
        <v>306</v>
      </c>
      <c r="B77" s="5"/>
      <c r="C77" s="200" t="s">
        <v>82</v>
      </c>
      <c r="D77" s="27"/>
      <c r="E77" s="136" t="n">
        <f aca="true" t="array" ref="E77:E77">IFERROR(SUM(IF($A77=INDIRECT($AE$9),IF(E$2&lt;=INDIRECT($AD$9),IF(F$2&gt;=INDIRECT($AD$9),INDIRECT($AF$9)*E$95,""),""),"")),0)</f>
        <v>516726.44</v>
      </c>
      <c r="F77" s="56" t="n">
        <f aca="false">IFERROR((E77/E$32)/12,0)</f>
        <v>22452.9941190476</v>
      </c>
      <c r="G77" s="57" t="n">
        <f aca="false">IFERROR(E77/E$68,0)</f>
        <v>0.130277811802966</v>
      </c>
      <c r="H77" s="27"/>
      <c r="I77" s="137" t="n">
        <f aca="true" t="array" ref="I77:I77">IFERROR(SUM(IF($A77=INDIRECT($AE$9),IF(I$2&lt;=INDIRECT($AD$9),IF(J$2&gt;=INDIRECT($AD$9),INDIRECT($AF$9)*I$95,""),""),"")),0)</f>
        <v>832809.988797814</v>
      </c>
      <c r="J77" s="56" t="n">
        <f aca="false">IFERROR((I77/I$32)/12,0)</f>
        <v>21167.2538819444</v>
      </c>
      <c r="K77" s="60" t="n">
        <f aca="false">IFERROR(I77/I$68,0)</f>
        <v>0.120733810106287</v>
      </c>
      <c r="L77" s="27"/>
      <c r="M77" s="137" t="n">
        <f aca="true" t="array" ref="M77:M77">IFERROR(SUM(IF($A77=INDIRECT($AE$9),IF(M$2&lt;=INDIRECT($AD$9),IF(N$2&gt;=INDIRECT($AD$9),INDIRECT($AF$9)*M$95,""),""),"")),0)</f>
        <v>779180.179781421</v>
      </c>
      <c r="N77" s="56" t="n">
        <f aca="false">IFERROR((M77/M$32)/12,0)</f>
        <v>19804.1629027778</v>
      </c>
      <c r="O77" s="60" t="n">
        <f aca="false">IFERROR(M77/M$68,0)</f>
        <v>0.111208234309058</v>
      </c>
      <c r="P77" s="61"/>
      <c r="Q77" s="138" t="n">
        <f aca="true" t="array" ref="Q77:Q77">IFERROR(SUM(IF($A77=INDIRECT($AE$9),IF(Q$2&lt;=INDIRECT($AD$9),IF(R$2&gt;=INDIRECT($AD$9),INDIRECT($AF$9)*Q$95,""),""),"")),0)</f>
        <v>233998.603804348</v>
      </c>
      <c r="R77" s="56" t="n">
        <f aca="false">IFERROR((Q77/Q$32)/12,0)</f>
        <v>17939.8929583333</v>
      </c>
      <c r="S77" s="64" t="n">
        <f aca="false">IFERROR(Q77/Q$68,0)</f>
        <v>0.0993029670826757</v>
      </c>
      <c r="T77" s="201"/>
      <c r="U77" s="138" t="n">
        <f aca="true" t="array" ref="U77:U77">IFERROR(SUM(IF($A77=INDIRECT($AE$9),IF(U$2&lt;=INDIRECT($AD$9),IF(V$2&gt;=INDIRECT($AD$9),INDIRECT($AF$9)*U$95,""),""),"")),0)</f>
        <v>0</v>
      </c>
      <c r="V77" s="56" t="n">
        <f aca="false">IFERROR((U77/U$32)/12,0)</f>
        <v>0</v>
      </c>
      <c r="W77" s="65" t="n">
        <f aca="false">IFERROR(U77/U$68,0)</f>
        <v>0</v>
      </c>
      <c r="X77" s="201"/>
      <c r="Y77" s="138" t="n">
        <f aca="true" t="array" ref="Y77:Y77">IFERROR(SUM(IF($A77=INDIRECT($AE$9),IF(Y$2&lt;=INDIRECT($AD$9),IF(Z$2&gt;=INDIRECT($AD$9),INDIRECT($AF$9)*Y$95,""),""),"")),0)</f>
        <v>0</v>
      </c>
      <c r="Z77" s="56" t="n">
        <f aca="false">IFERROR((Y77/Y$32)/12,0)</f>
        <v>0</v>
      </c>
      <c r="AA77" s="64" t="n">
        <f aca="false">IFERROR(Y77/Y$68,0)</f>
        <v>0</v>
      </c>
      <c r="AD77" s="193"/>
      <c r="AE77" s="202"/>
    </row>
    <row r="78" customFormat="false" ht="18.75" hidden="false" customHeight="true" outlineLevel="0" collapsed="false">
      <c r="A78" s="197" t="n">
        <v>307</v>
      </c>
      <c r="B78" s="5"/>
      <c r="C78" s="200" t="s">
        <v>83</v>
      </c>
      <c r="D78" s="27"/>
      <c r="E78" s="136" t="n">
        <f aca="true" t="array" ref="E78:E78">IFERROR(SUM(IF($A78=INDIRECT($AE$9),IF(E$2&lt;=INDIRECT($AD$9),IF(F$2&gt;=INDIRECT($AD$9),INDIRECT($AF$9)*E$95,""),""),"")),0)</f>
        <v>253533.93</v>
      </c>
      <c r="F78" s="56" t="n">
        <f aca="false">IFERROR((E78/E$32)/12,0)</f>
        <v>11016.6529107143</v>
      </c>
      <c r="G78" s="57" t="n">
        <f aca="false">IFERROR(E78/E$68,0)</f>
        <v>0.0639213383743367</v>
      </c>
      <c r="H78" s="27"/>
      <c r="I78" s="137" t="n">
        <f aca="true" t="array" ref="I78:I78">IFERROR(SUM(IF($A78=INDIRECT($AE$9),IF(I$2&lt;=INDIRECT($AD$9),IF(J$2&gt;=INDIRECT($AD$9),INDIRECT($AF$9)*I$95,""),""),"")),0)</f>
        <v>417218.675136612</v>
      </c>
      <c r="J78" s="56" t="n">
        <f aca="false">IFERROR((I78/I$32)/12,0)</f>
        <v>10604.3079930556</v>
      </c>
      <c r="K78" s="60" t="n">
        <f aca="false">IFERROR(I78/I$68,0)</f>
        <v>0.0604848656648012</v>
      </c>
      <c r="L78" s="27"/>
      <c r="M78" s="137" t="n">
        <f aca="true" t="array" ref="M78:M78">IFERROR(SUM(IF($A78=INDIRECT($AE$9),IF(M$2&lt;=INDIRECT($AD$9),IF(N$2&gt;=INDIRECT($AD$9),INDIRECT($AF$9)*M$95,""),""),"")),0)</f>
        <v>381703.177868852</v>
      </c>
      <c r="N78" s="56" t="n">
        <f aca="false">IFERROR((M78/M$32)/12,0)</f>
        <v>9701.6224375</v>
      </c>
      <c r="O78" s="60" t="n">
        <f aca="false">IFERROR(M78/M$68,0)</f>
        <v>0.0544784602360639</v>
      </c>
      <c r="P78" s="61"/>
      <c r="Q78" s="138" t="n">
        <f aca="true" t="array" ref="Q78:Q78">IFERROR(SUM(IF($A78=INDIRECT($AE$9),IF(Q$2&lt;=INDIRECT($AD$9),IF(R$2&gt;=INDIRECT($AD$9),INDIRECT($AF$9)*Q$95,""),""),"")),0)</f>
        <v>100949.795652174</v>
      </c>
      <c r="R78" s="56" t="n">
        <f aca="false">IFERROR((Q78/Q$32)/12,0)</f>
        <v>7739.48433333334</v>
      </c>
      <c r="S78" s="64" t="n">
        <f aca="false">IFERROR(Q78/Q$68,0)</f>
        <v>0.0428404873861235</v>
      </c>
      <c r="T78" s="201"/>
      <c r="U78" s="138" t="n">
        <f aca="true" t="array" ref="U78:U78">IFERROR(SUM(IF($A78=INDIRECT($AE$9),IF(U$2&lt;=INDIRECT($AD$9),IF(V$2&gt;=INDIRECT($AD$9),INDIRECT($AF$9)*U$95,""),""),"")),0)</f>
        <v>0</v>
      </c>
      <c r="V78" s="56" t="n">
        <f aca="false">IFERROR((U78/U$32)/12,0)</f>
        <v>0</v>
      </c>
      <c r="W78" s="65" t="n">
        <f aca="false">IFERROR(U78/U$68,0)</f>
        <v>0</v>
      </c>
      <c r="X78" s="201"/>
      <c r="Y78" s="138" t="n">
        <f aca="true" t="array" ref="Y78:Y78">IFERROR(SUM(IF($A78=INDIRECT($AE$9),IF(Y$2&lt;=INDIRECT($AD$9),IF(Z$2&gt;=INDIRECT($AD$9),INDIRECT($AF$9)*Y$95,""),""),"")),0)</f>
        <v>0</v>
      </c>
      <c r="Z78" s="56" t="n">
        <f aca="false">IFERROR((Y78/Y$32)/12,0)</f>
        <v>0</v>
      </c>
      <c r="AA78" s="64" t="n">
        <f aca="false">IFERROR(Y78/Y$68,0)</f>
        <v>0</v>
      </c>
      <c r="AD78" s="193"/>
      <c r="AE78" s="202"/>
    </row>
    <row r="79" customFormat="false" ht="18.75" hidden="false" customHeight="true" outlineLevel="0" collapsed="false">
      <c r="A79" s="197" t="n">
        <v>308</v>
      </c>
      <c r="B79" s="5"/>
      <c r="C79" s="200" t="s">
        <v>84</v>
      </c>
      <c r="D79" s="27"/>
      <c r="E79" s="136" t="n">
        <f aca="true" t="array" ref="E79:E79">IFERROR(SUM(IF($A79=INDIRECT($AE$9),IF(E$2&lt;=INDIRECT($AD$9),IF(F$2&gt;=INDIRECT($AD$9),INDIRECT($AF$9)*E$95,""),""),"")),0)</f>
        <v>911953.48</v>
      </c>
      <c r="F79" s="56" t="n">
        <f aca="false">IFERROR((E79/E$32)/12,0)</f>
        <v>39626.5500238095</v>
      </c>
      <c r="G79" s="57" t="n">
        <f aca="false">IFERROR(E79/E$68,0)</f>
        <v>0.229923020468045</v>
      </c>
      <c r="H79" s="27"/>
      <c r="I79" s="137" t="n">
        <f aca="true" t="array" ref="I79:I79">IFERROR(SUM(IF($A79=INDIRECT($AE$9),IF(I$2&lt;=INDIRECT($AD$9),IF(J$2&gt;=INDIRECT($AD$9),INDIRECT($AF$9)*I$95,""),""),"")),0)</f>
        <v>1400820.08674863</v>
      </c>
      <c r="J79" s="56" t="n">
        <f aca="false">IFERROR((I79/I$32)/12,0)</f>
        <v>35604.1772048611</v>
      </c>
      <c r="K79" s="60" t="n">
        <f aca="false">IFERROR(I79/I$68,0)</f>
        <v>0.203079152053305</v>
      </c>
      <c r="L79" s="27"/>
      <c r="M79" s="137" t="n">
        <f aca="true" t="array" ref="M79:M79">IFERROR(SUM(IF($A79=INDIRECT($AE$9),IF(M$2&lt;=INDIRECT($AD$9),IF(N$2&gt;=INDIRECT($AD$9),INDIRECT($AF$9)*M$95,""),""),"")),0)</f>
        <v>1222063.06202186</v>
      </c>
      <c r="N79" s="56" t="n">
        <f aca="false">IFERROR((M79/M$32)/12,0)</f>
        <v>31060.7694930555</v>
      </c>
      <c r="O79" s="60" t="n">
        <f aca="false">IFERROR(M79/M$68,0)</f>
        <v>0.174418547684177</v>
      </c>
      <c r="P79" s="61"/>
      <c r="Q79" s="138" t="n">
        <f aca="true" t="array" ref="Q79:Q79">IFERROR(SUM(IF($A79=INDIRECT($AE$9),IF(Q$2&lt;=INDIRECT($AD$9),IF(R$2&gt;=INDIRECT($AD$9),INDIRECT($AF$9)*Q$95,""),""),"")),0)</f>
        <v>424267.906521739</v>
      </c>
      <c r="R79" s="56" t="n">
        <f aca="false">IFERROR((Q79/Q$32)/12,0)</f>
        <v>32527.2061666667</v>
      </c>
      <c r="S79" s="64" t="n">
        <f aca="false">IFERROR(Q79/Q$68,0)</f>
        <v>0.180048347599505</v>
      </c>
      <c r="T79" s="201"/>
      <c r="U79" s="138" t="n">
        <f aca="true" t="array" ref="U79:U79">IFERROR(SUM(IF($A79=INDIRECT($AE$9),IF(U$2&lt;=INDIRECT($AD$9),IF(V$2&gt;=INDIRECT($AD$9),INDIRECT($AF$9)*U$95,""),""),"")),0)</f>
        <v>0</v>
      </c>
      <c r="V79" s="56" t="n">
        <f aca="false">IFERROR((U79/U$32)/12,0)</f>
        <v>0</v>
      </c>
      <c r="W79" s="65" t="n">
        <f aca="false">IFERROR(U79/U$68,0)</f>
        <v>0</v>
      </c>
      <c r="X79" s="201"/>
      <c r="Y79" s="138" t="n">
        <f aca="true" t="array" ref="Y79:Y79">IFERROR(SUM(IF($A79=INDIRECT($AE$9),IF(Y$2&lt;=INDIRECT($AD$9),IF(Z$2&gt;=INDIRECT($AD$9),INDIRECT($AF$9)*Y$95,""),""),"")),0)</f>
        <v>0</v>
      </c>
      <c r="Z79" s="56" t="n">
        <f aca="false">IFERROR((Y79/Y$32)/12,0)</f>
        <v>0</v>
      </c>
      <c r="AA79" s="64" t="n">
        <f aca="false">IFERROR(Y79/Y$68,0)</f>
        <v>0</v>
      </c>
      <c r="AD79" s="193"/>
      <c r="AE79" s="202"/>
    </row>
    <row r="80" customFormat="false" ht="18.75" hidden="false" customHeight="true" outlineLevel="0" collapsed="false">
      <c r="A80" s="197" t="n">
        <v>309</v>
      </c>
      <c r="B80" s="5"/>
      <c r="C80" s="200" t="s">
        <v>85</v>
      </c>
      <c r="D80" s="27"/>
      <c r="E80" s="136" t="n">
        <f aca="true" t="array" ref="E80:E80">IFERROR(SUM(IF($A80=INDIRECT($AE$9),IF(E$2&lt;=INDIRECT($AD$9),IF(F$2&gt;=INDIRECT($AD$9),INDIRECT($AF$9)*E$95,""),""),"")),0)</f>
        <v>889515.97</v>
      </c>
      <c r="F80" s="56" t="n">
        <f aca="false">IFERROR((E80/E$32)/12,0)</f>
        <v>38651.5867916667</v>
      </c>
      <c r="G80" s="57" t="n">
        <f aca="false">IFERROR(E80/E$68,0)</f>
        <v>0.224266043238261</v>
      </c>
      <c r="H80" s="27"/>
      <c r="I80" s="137" t="n">
        <f aca="true" t="array" ref="I80:I80">IFERROR(SUM(IF($A80=INDIRECT($AE$9),IF(I$2&lt;=INDIRECT($AD$9),IF(J$2&gt;=INDIRECT($AD$9),INDIRECT($AF$9)*I$95,""),""),"")),0)</f>
        <v>1562941.40874317</v>
      </c>
      <c r="J80" s="56" t="n">
        <f aca="false">IFERROR((I80/I$32)/12,0)</f>
        <v>39724.7608055556</v>
      </c>
      <c r="K80" s="60" t="n">
        <f aca="false">IFERROR(I80/I$68,0)</f>
        <v>0.226582142131658</v>
      </c>
      <c r="L80" s="27"/>
      <c r="M80" s="137" t="n">
        <f aca="true" t="array" ref="M80:M80">IFERROR(SUM(IF($A80=INDIRECT($AE$9),IF(M$2&lt;=INDIRECT($AD$9),IF(N$2&gt;=INDIRECT($AD$9),INDIRECT($AF$9)*M$95,""),""),"")),0)</f>
        <v>1631263.36530055</v>
      </c>
      <c r="N80" s="56" t="n">
        <f aca="false">IFERROR((M80/M$32)/12,0)</f>
        <v>41461.2772013889</v>
      </c>
      <c r="O80" s="60" t="n">
        <f aca="false">IFERROR(M80/M$68,0)</f>
        <v>0.232821526080162</v>
      </c>
      <c r="P80" s="61"/>
      <c r="Q80" s="138" t="n">
        <f aca="true" t="array" ref="Q80:Q80">IFERROR(SUM(IF($A80=INDIRECT($AE$9),IF(Q$2&lt;=INDIRECT($AD$9),IF(R$2&gt;=INDIRECT($AD$9),INDIRECT($AF$9)*Q$95,""),""),"")),0)</f>
        <v>497769.186413043</v>
      </c>
      <c r="R80" s="56" t="n">
        <f aca="false">IFERROR((Q80/Q$32)/12,0)</f>
        <v>38162.3042916667</v>
      </c>
      <c r="S80" s="64" t="n">
        <f aca="false">IFERROR(Q80/Q$68,0)</f>
        <v>0.211240393444716</v>
      </c>
      <c r="T80" s="201"/>
      <c r="U80" s="138" t="n">
        <f aca="true" t="array" ref="U80:U80">IFERROR(SUM(IF($A80=INDIRECT($AE$9),IF(U$2&lt;=INDIRECT($AD$9),IF(V$2&gt;=INDIRECT($AD$9),INDIRECT($AF$9)*U$95,""),""),"")),0)</f>
        <v>0</v>
      </c>
      <c r="V80" s="56" t="n">
        <f aca="false">IFERROR((U80/U$32)/12,0)</f>
        <v>0</v>
      </c>
      <c r="W80" s="65" t="n">
        <f aca="false">IFERROR(U80/U$68,0)</f>
        <v>0</v>
      </c>
      <c r="X80" s="201"/>
      <c r="Y80" s="138" t="n">
        <f aca="true" t="array" ref="Y80:Y80">IFERROR(SUM(IF($A80=INDIRECT($AE$9),IF(Y$2&lt;=INDIRECT($AD$9),IF(Z$2&gt;=INDIRECT($AD$9),INDIRECT($AF$9)*Y$95,""),""),"")),0)</f>
        <v>0</v>
      </c>
      <c r="Z80" s="56" t="n">
        <f aca="false">IFERROR((Y80/Y$32)/12,0)</f>
        <v>0</v>
      </c>
      <c r="AA80" s="64" t="n">
        <f aca="false">IFERROR(Y80/Y$68,0)</f>
        <v>0</v>
      </c>
      <c r="AD80" s="193"/>
      <c r="AE80" s="202"/>
    </row>
    <row r="81" customFormat="false" ht="18.75" hidden="false" customHeight="true" outlineLevel="0" collapsed="false">
      <c r="A81" s="197" t="n">
        <v>310</v>
      </c>
      <c r="B81" s="5"/>
      <c r="C81" s="200" t="s">
        <v>86</v>
      </c>
      <c r="D81" s="27"/>
      <c r="E81" s="136" t="n">
        <f aca="true" t="array" ref="E81:E81">IFERROR(SUM(IF($A81=INDIRECT($AE$9),IF(E$2&lt;=INDIRECT($AD$9),IF(F$2&gt;=INDIRECT($AD$9),INDIRECT($AF$9)*E$95,""),""),"")),0)</f>
        <v>2583.84</v>
      </c>
      <c r="F81" s="56" t="n">
        <f aca="false">IFERROR((E81/E$32)/12,0)</f>
        <v>112.274</v>
      </c>
      <c r="G81" s="57" t="n">
        <f aca="false">IFERROR(E81/E$68,0)</f>
        <v>0.000651441449849123</v>
      </c>
      <c r="H81" s="27"/>
      <c r="I81" s="137" t="n">
        <f aca="true" t="array" ref="I81:I81">IFERROR(SUM(IF($A81=INDIRECT($AE$9),IF(I$2&lt;=INDIRECT($AD$9),IF(J$2&gt;=INDIRECT($AD$9),INDIRECT($AF$9)*I$95,""),""),"")),0)</f>
        <v>4724.09726775956</v>
      </c>
      <c r="J81" s="56" t="n">
        <f aca="false">IFERROR((I81/I$32)/12,0)</f>
        <v>120.070805555556</v>
      </c>
      <c r="K81" s="60" t="n">
        <f aca="false">IFERROR(I81/I$68,0)</f>
        <v>0.000684860016235686</v>
      </c>
      <c r="L81" s="27"/>
      <c r="M81" s="137" t="n">
        <f aca="true" t="array" ref="M81:M81">IFERROR(SUM(IF($A81=INDIRECT($AE$9),IF(M$2&lt;=INDIRECT($AD$9),IF(N$2&gt;=INDIRECT($AD$9),INDIRECT($AF$9)*M$95,""),""),"")),0)</f>
        <v>5153.56065573771</v>
      </c>
      <c r="N81" s="56" t="n">
        <f aca="false">IFERROR((M81/M$32)/12,0)</f>
        <v>130.986333333333</v>
      </c>
      <c r="O81" s="60" t="n">
        <f aca="false">IFERROR(M81/M$68,0)</f>
        <v>0.000735540245761889</v>
      </c>
      <c r="P81" s="61"/>
      <c r="Q81" s="138" t="n">
        <f aca="true" t="array" ref="Q81:Q81">IFERROR(SUM(IF($A81=INDIRECT($AE$9),IF(Q$2&lt;=INDIRECT($AD$9),IF(R$2&gt;=INDIRECT($AD$9),INDIRECT($AF$9)*Q$95,""),""),"")),0)</f>
        <v>1708.51739130435</v>
      </c>
      <c r="R81" s="56" t="n">
        <f aca="false">IFERROR((Q81/Q$32)/12,0)</f>
        <v>130.986333333333</v>
      </c>
      <c r="S81" s="64" t="n">
        <f aca="false">IFERROR(Q81/Q$68,0)</f>
        <v>0.000725050677698625</v>
      </c>
      <c r="T81" s="201"/>
      <c r="U81" s="138" t="n">
        <f aca="true" t="array" ref="U81:U81">IFERROR(SUM(IF($A81=INDIRECT($AE$9),IF(U$2&lt;=INDIRECT($AD$9),IF(V$2&gt;=INDIRECT($AD$9),INDIRECT($AF$9)*U$95,""),""),"")),0)</f>
        <v>0</v>
      </c>
      <c r="V81" s="56" t="n">
        <f aca="false">IFERROR((U81/U$32)/12,0)</f>
        <v>0</v>
      </c>
      <c r="W81" s="65" t="n">
        <f aca="false">IFERROR(U81/U$68,0)</f>
        <v>0</v>
      </c>
      <c r="X81" s="201"/>
      <c r="Y81" s="138" t="n">
        <f aca="true" t="array" ref="Y81:Y81">IFERROR(SUM(IF($A81=INDIRECT($AE$9),IF(Y$2&lt;=INDIRECT($AD$9),IF(Z$2&gt;=INDIRECT($AD$9),INDIRECT($AF$9)*Y$95,""),""),"")),0)</f>
        <v>0</v>
      </c>
      <c r="Z81" s="56" t="n">
        <f aca="false">IFERROR((Y81/Y$32)/12,0)</f>
        <v>0</v>
      </c>
      <c r="AA81" s="64" t="n">
        <f aca="false">IFERROR(Y81/Y$68,0)</f>
        <v>0</v>
      </c>
      <c r="AD81" s="193"/>
      <c r="AE81" s="202"/>
    </row>
    <row r="82" customFormat="false" ht="18.75" hidden="false" customHeight="true" outlineLevel="0" collapsed="false">
      <c r="A82" s="197" t="n">
        <v>311</v>
      </c>
      <c r="B82" s="5"/>
      <c r="C82" s="200" t="s">
        <v>87</v>
      </c>
      <c r="D82" s="27"/>
      <c r="E82" s="136" t="n">
        <f aca="true" t="array" ref="E82:E82">IFERROR(SUM(IF($A82=INDIRECT($AE$9),IF(E$2&lt;=INDIRECT($AD$9),IF(F$2&gt;=INDIRECT($AD$9),INDIRECT($AF$9)*E$95,""),""),"")),0)</f>
        <v>138626.35</v>
      </c>
      <c r="F82" s="56" t="n">
        <f aca="false">IFERROR((E82/E$32)/12,0)</f>
        <v>6023.6449702381</v>
      </c>
      <c r="G82" s="57" t="n">
        <f aca="false">IFERROR(E82/E$68,0)</f>
        <v>0.0349506743572714</v>
      </c>
      <c r="H82" s="27"/>
      <c r="I82" s="137" t="n">
        <f aca="true" t="array" ref="I82:I82">IFERROR(SUM(IF($A82=INDIRECT($AE$9),IF(I$2&lt;=INDIRECT($AD$9),IF(J$2&gt;=INDIRECT($AD$9),INDIRECT($AF$9)*I$95,""),""),"")),0)</f>
        <v>238503.176639344</v>
      </c>
      <c r="J82" s="56" t="n">
        <f aca="false">IFERROR((I82/I$32)/12,0)</f>
        <v>6061.95573958333</v>
      </c>
      <c r="K82" s="60" t="n">
        <f aca="false">IFERROR(I82/I$68,0)</f>
        <v>0.0345761909984868</v>
      </c>
      <c r="L82" s="27"/>
      <c r="M82" s="137" t="n">
        <f aca="true" t="array" ref="M82:M82">IFERROR(SUM(IF($A82=INDIRECT($AE$9),IF(M$2&lt;=INDIRECT($AD$9),IF(N$2&gt;=INDIRECT($AD$9),INDIRECT($AF$9)*M$95,""),""),"")),0)</f>
        <v>240399.870218579</v>
      </c>
      <c r="N82" s="56" t="n">
        <f aca="false">IFERROR((M82/M$32)/12,0)</f>
        <v>6110.16336805555</v>
      </c>
      <c r="O82" s="60" t="n">
        <f aca="false">IFERROR(M82/M$68,0)</f>
        <v>0.0343109922311351</v>
      </c>
      <c r="P82" s="61"/>
      <c r="Q82" s="138" t="n">
        <f aca="true" t="array" ref="Q82:Q82">IFERROR(SUM(IF($A82=INDIRECT($AE$9),IF(Q$2&lt;=INDIRECT($AD$9),IF(R$2&gt;=INDIRECT($AD$9),INDIRECT($AF$9)*Q$95,""),""),"")),0)</f>
        <v>79768.5679347826</v>
      </c>
      <c r="R82" s="56" t="n">
        <f aca="false">IFERROR((Q82/Q$32)/12,0)</f>
        <v>6115.59020833333</v>
      </c>
      <c r="S82" s="64" t="n">
        <f aca="false">IFERROR(Q82/Q$68,0)</f>
        <v>0.0338517211089134</v>
      </c>
      <c r="T82" s="201"/>
      <c r="U82" s="138" t="n">
        <f aca="true" t="array" ref="U82:U82">IFERROR(SUM(IF($A82=INDIRECT($AE$9),IF(U$2&lt;=INDIRECT($AD$9),IF(V$2&gt;=INDIRECT($AD$9),INDIRECT($AF$9)*U$95,""),""),"")),0)</f>
        <v>0</v>
      </c>
      <c r="V82" s="56" t="n">
        <f aca="false">IFERROR((U82/U$32)/12,0)</f>
        <v>0</v>
      </c>
      <c r="W82" s="65" t="n">
        <f aca="false">IFERROR(U82/U$68,0)</f>
        <v>0</v>
      </c>
      <c r="X82" s="201"/>
      <c r="Y82" s="138" t="n">
        <f aca="true" t="array" ref="Y82:Y82">IFERROR(SUM(IF($A82=INDIRECT($AE$9),IF(Y$2&lt;=INDIRECT($AD$9),IF(Z$2&gt;=INDIRECT($AD$9),INDIRECT($AF$9)*Y$95,""),""),"")),0)</f>
        <v>0</v>
      </c>
      <c r="Z82" s="56" t="n">
        <f aca="false">IFERROR((Y82/Y$32)/12,0)</f>
        <v>0</v>
      </c>
      <c r="AA82" s="64" t="n">
        <f aca="false">IFERROR(Y82/Y$68,0)</f>
        <v>0</v>
      </c>
      <c r="AD82" s="193"/>
      <c r="AE82" s="202"/>
    </row>
    <row r="83" customFormat="false" ht="18.75" hidden="false" customHeight="true" outlineLevel="0" collapsed="false">
      <c r="A83" s="197" t="n">
        <v>312</v>
      </c>
      <c r="B83" s="5"/>
      <c r="C83" s="200" t="s">
        <v>88</v>
      </c>
      <c r="D83" s="27"/>
      <c r="E83" s="136" t="n">
        <f aca="true" t="array" ref="E83:E83">IFERROR(SUM(IF($A83=INDIRECT($AE$9),IF(E$2&lt;=INDIRECT($AD$9),IF(F$2&gt;=INDIRECT($AD$9),INDIRECT($AF$9)*E$95,""),""),"")),0)</f>
        <v>0</v>
      </c>
      <c r="F83" s="56" t="n">
        <f aca="false">IFERROR((E83/E$32)/12,0)</f>
        <v>0</v>
      </c>
      <c r="G83" s="57" t="n">
        <f aca="false">IFERROR(E83/E$68,0)</f>
        <v>0</v>
      </c>
      <c r="H83" s="27"/>
      <c r="I83" s="137" t="n">
        <f aca="true" t="array" ref="I83:I83">IFERROR(SUM(IF($A83=INDIRECT($AE$9),IF(I$2&lt;=INDIRECT($AD$9),IF(J$2&gt;=INDIRECT($AD$9),INDIRECT($AF$9)*I$95,""),""),"")),0)</f>
        <v>59725.7378415301</v>
      </c>
      <c r="J83" s="56" t="n">
        <f aca="false">IFERROR((I83/I$32)/12,0)</f>
        <v>1518.02917013889</v>
      </c>
      <c r="K83" s="60" t="n">
        <f aca="false">IFERROR(I83/I$68,0)</f>
        <v>0.00865853674669097</v>
      </c>
      <c r="L83" s="27"/>
      <c r="M83" s="137" t="n">
        <f aca="true" t="array" ref="M83:M83">IFERROR(SUM(IF($A83=INDIRECT($AE$9),IF(M$2&lt;=INDIRECT($AD$9),IF(N$2&gt;=INDIRECT($AD$9),INDIRECT($AF$9)*M$95,""),""),"")),0)</f>
        <v>119451.47568306</v>
      </c>
      <c r="N83" s="56" t="n">
        <f aca="false">IFERROR((M83/M$32)/12,0)</f>
        <v>3036.05834027778</v>
      </c>
      <c r="O83" s="60" t="n">
        <f aca="false">IFERROR(M83/M$68,0)</f>
        <v>0.0170486724906824</v>
      </c>
      <c r="P83" s="61"/>
      <c r="Q83" s="138" t="n">
        <f aca="true" t="array" ref="Q83:Q83">IFERROR(SUM(IF($A83=INDIRECT($AE$9),IF(Q$2&lt;=INDIRECT($AD$9),IF(R$2&gt;=INDIRECT($AD$9),INDIRECT($AF$9)*Q$95,""),""),"")),0)</f>
        <v>47520.8179347826</v>
      </c>
      <c r="R83" s="56" t="n">
        <f aca="false">IFERROR((Q83/Q$32)/12,0)</f>
        <v>3643.26270833333</v>
      </c>
      <c r="S83" s="64" t="n">
        <f aca="false">IFERROR(Q83/Q$68,0)</f>
        <v>0.0201666084429511</v>
      </c>
      <c r="T83" s="201"/>
      <c r="U83" s="138" t="n">
        <f aca="true" t="array" ref="U83:U83">IFERROR(SUM(IF($A83=INDIRECT($AE$9),IF(U$2&lt;=INDIRECT($AD$9),IF(V$2&gt;=INDIRECT($AD$9),INDIRECT($AF$9)*U$95,""),""),"")),0)</f>
        <v>0</v>
      </c>
      <c r="V83" s="56" t="n">
        <f aca="false">IFERROR((U83/U$32)/12,0)</f>
        <v>0</v>
      </c>
      <c r="W83" s="65" t="n">
        <f aca="false">IFERROR(U83/U$68,0)</f>
        <v>0</v>
      </c>
      <c r="X83" s="201"/>
      <c r="Y83" s="138" t="n">
        <f aca="true" t="array" ref="Y83:Y83">IFERROR(SUM(IF($A83=INDIRECT($AE$9),IF(Y$2&lt;=INDIRECT($AD$9),IF(Z$2&gt;=INDIRECT($AD$9),INDIRECT($AF$9)*Y$95,""),""),"")),0)</f>
        <v>0</v>
      </c>
      <c r="Z83" s="56" t="n">
        <f aca="false">IFERROR((Y83/Y$32)/12,0)</f>
        <v>0</v>
      </c>
      <c r="AA83" s="64" t="n">
        <f aca="false">IFERROR(Y83/Y$68,0)</f>
        <v>0</v>
      </c>
      <c r="AD83" s="193"/>
      <c r="AE83" s="202"/>
    </row>
    <row r="84" customFormat="false" ht="18.75" hidden="false" customHeight="true" outlineLevel="0" collapsed="false">
      <c r="A84" s="197" t="n">
        <v>313</v>
      </c>
      <c r="B84" s="5"/>
      <c r="C84" s="200" t="s">
        <v>89</v>
      </c>
      <c r="D84" s="27"/>
      <c r="E84" s="136" t="n">
        <f aca="true" t="array" ref="E84:E84">IFERROR(SUM(IF($A84=INDIRECT($AE$9),IF(E$2&lt;=INDIRECT($AD$9),IF(F$2&gt;=INDIRECT($AD$9),INDIRECT($AF$9)*E$95,""),""),"")),0)</f>
        <v>117798.87</v>
      </c>
      <c r="F84" s="56" t="n">
        <f aca="false">IFERROR((E84/E$32)/12,0)</f>
        <v>5118.641375</v>
      </c>
      <c r="G84" s="57" t="n">
        <f aca="false">IFERROR(E84/E$68,0)</f>
        <v>0.0296996202022526</v>
      </c>
      <c r="H84" s="27"/>
      <c r="I84" s="137" t="n">
        <f aca="true" t="array" ref="I84:I84">IFERROR(SUM(IF($A84=INDIRECT($AE$9),IF(I$2&lt;=INDIRECT($AD$9),IF(J$2&gt;=INDIRECT($AD$9),INDIRECT($AF$9)*I$95,""),""),"")),0)</f>
        <v>209611.023224044</v>
      </c>
      <c r="J84" s="56" t="n">
        <f aca="false">IFERROR((I84/I$32)/12,0)</f>
        <v>5327.61350694444</v>
      </c>
      <c r="K84" s="60" t="n">
        <f aca="false">IFERROR(I84/I$68,0)</f>
        <v>0.0303876488208887</v>
      </c>
      <c r="L84" s="27"/>
      <c r="M84" s="137" t="n">
        <f aca="true" t="array" ref="M84:M84">IFERROR(SUM(IF($A84=INDIRECT($AE$9),IF(M$2&lt;=INDIRECT($AD$9),IF(N$2&gt;=INDIRECT($AD$9),INDIRECT($AF$9)*M$95,""),""),"")),0)</f>
        <v>214245.725409836</v>
      </c>
      <c r="N84" s="56" t="n">
        <f aca="false">IFERROR((M84/M$32)/12,0)</f>
        <v>5445.4121875</v>
      </c>
      <c r="O84" s="60" t="n">
        <f aca="false">IFERROR(M84/M$68,0)</f>
        <v>0.0305781505348029</v>
      </c>
      <c r="P84" s="61"/>
      <c r="Q84" s="138" t="n">
        <f aca="true" t="array" ref="Q84:Q84">IFERROR(SUM(IF($A84=INDIRECT($AE$9),IF(Q$2&lt;=INDIRECT($AD$9),IF(R$2&gt;=INDIRECT($AD$9),INDIRECT($AF$9)*Q$95,""),""),"")),0)</f>
        <v>78443.7369565218</v>
      </c>
      <c r="R84" s="56" t="n">
        <f aca="false">IFERROR((Q84/Q$32)/12,0)</f>
        <v>6014.01983333334</v>
      </c>
      <c r="S84" s="64" t="n">
        <f aca="false">IFERROR(Q84/Q$68,0)</f>
        <v>0.0332894970405409</v>
      </c>
      <c r="T84" s="201"/>
      <c r="U84" s="138" t="n">
        <f aca="true" t="array" ref="U84:U84">IFERROR(SUM(IF($A84=INDIRECT($AE$9),IF(U$2&lt;=INDIRECT($AD$9),IF(V$2&gt;=INDIRECT($AD$9),INDIRECT($AF$9)*U$95,""),""),"")),0)</f>
        <v>0</v>
      </c>
      <c r="V84" s="56" t="n">
        <f aca="false">IFERROR((U84/U$32)/12,0)</f>
        <v>0</v>
      </c>
      <c r="W84" s="65" t="n">
        <f aca="false">IFERROR(U84/U$68,0)</f>
        <v>0</v>
      </c>
      <c r="X84" s="201"/>
      <c r="Y84" s="138" t="n">
        <f aca="true" t="array" ref="Y84:Y84">IFERROR(SUM(IF($A84=INDIRECT($AE$9),IF(Y$2&lt;=INDIRECT($AD$9),IF(Z$2&gt;=INDIRECT($AD$9),INDIRECT($AF$9)*Y$95,""),""),"")),0)</f>
        <v>0</v>
      </c>
      <c r="Z84" s="56" t="n">
        <f aca="false">IFERROR((Y84/Y$32)/12,0)</f>
        <v>0</v>
      </c>
      <c r="AA84" s="64" t="n">
        <f aca="false">IFERROR(Y84/Y$68,0)</f>
        <v>0</v>
      </c>
      <c r="AD84" s="193"/>
      <c r="AE84" s="202"/>
    </row>
    <row r="85" customFormat="false" ht="18.75" hidden="false" customHeight="true" outlineLevel="0" collapsed="false">
      <c r="A85" s="197" t="n">
        <v>314</v>
      </c>
      <c r="B85" s="5"/>
      <c r="C85" s="200" t="s">
        <v>90</v>
      </c>
      <c r="D85" s="27"/>
      <c r="E85" s="136" t="n">
        <f aca="true" t="array" ref="E85:E85">IFERROR(SUM(IF($A85=INDIRECT($AE$9),IF(E$2&lt;=INDIRECT($AD$9),IF(F$2&gt;=INDIRECT($AD$9),INDIRECT($AF$9)*E$95,""),""),"")),0)</f>
        <v>156174.84</v>
      </c>
      <c r="F85" s="56" t="n">
        <f aca="false">IFERROR((E85/E$32)/12,0)</f>
        <v>6786.16864285714</v>
      </c>
      <c r="G85" s="57" t="n">
        <f aca="false">IFERROR(E85/E$68,0)</f>
        <v>0.0393750248465675</v>
      </c>
      <c r="H85" s="27"/>
      <c r="I85" s="137" t="n">
        <f aca="true" t="array" ref="I85:I85">IFERROR(SUM(IF($A85=INDIRECT($AE$9),IF(I$2&lt;=INDIRECT($AD$9),IF(J$2&gt;=INDIRECT($AD$9),INDIRECT($AF$9)*I$95,""),""),"")),0)</f>
        <v>273313.78510929</v>
      </c>
      <c r="J85" s="56" t="n">
        <f aca="false">IFERROR((I85/I$32)/12,0)</f>
        <v>6946.72537152778</v>
      </c>
      <c r="K85" s="60" t="n">
        <f aca="false">IFERROR(I85/I$68,0)</f>
        <v>0.0396227411710676</v>
      </c>
      <c r="L85" s="27"/>
      <c r="M85" s="137" t="n">
        <f aca="true" t="array" ref="M85:M85">IFERROR(SUM(IF($A85=INDIRECT($AE$9),IF(M$2&lt;=INDIRECT($AD$9),IF(N$2&gt;=INDIRECT($AD$9),INDIRECT($AF$9)*M$95,""),""),"")),0)</f>
        <v>280303.704644809</v>
      </c>
      <c r="N85" s="56" t="n">
        <f aca="false">IFERROR((M85/M$32)/12,0)</f>
        <v>7124.38582638889</v>
      </c>
      <c r="O85" s="60" t="n">
        <f aca="false">IFERROR(M85/M$68,0)</f>
        <v>0.0400062538456526</v>
      </c>
      <c r="P85" s="61"/>
      <c r="Q85" s="138" t="n">
        <f aca="true" t="array" ref="Q85:Q85">IFERROR(SUM(IF($A85=INDIRECT($AE$9),IF(Q$2&lt;=INDIRECT($AD$9),IF(R$2&gt;=INDIRECT($AD$9),INDIRECT($AF$9)*Q$95,""),""),"")),0)</f>
        <v>89424.0875</v>
      </c>
      <c r="R85" s="56" t="n">
        <f aca="false">IFERROR((Q85/Q$32)/12,0)</f>
        <v>6855.84670833333</v>
      </c>
      <c r="S85" s="64" t="n">
        <f aca="false">IFERROR(Q85/Q$68,0)</f>
        <v>0.0379492743676183</v>
      </c>
      <c r="T85" s="201"/>
      <c r="U85" s="138" t="n">
        <f aca="true" t="array" ref="U85:U85">IFERROR(SUM(IF($A85=INDIRECT($AE$9),IF(U$2&lt;=INDIRECT($AD$9),IF(V$2&gt;=INDIRECT($AD$9),INDIRECT($AF$9)*U$95,""),""),"")),0)</f>
        <v>0</v>
      </c>
      <c r="V85" s="56" t="n">
        <f aca="false">IFERROR((U85/U$32)/12,0)</f>
        <v>0</v>
      </c>
      <c r="W85" s="65" t="n">
        <f aca="false">IFERROR(U85/U$68,0)</f>
        <v>0</v>
      </c>
      <c r="X85" s="201"/>
      <c r="Y85" s="138" t="n">
        <f aca="true" t="array" ref="Y85:Y85">IFERROR(SUM(IF($A85=INDIRECT($AE$9),IF(Y$2&lt;=INDIRECT($AD$9),IF(Z$2&gt;=INDIRECT($AD$9),INDIRECT($AF$9)*Y$95,""),""),"")),0)</f>
        <v>0</v>
      </c>
      <c r="Z85" s="56" t="n">
        <f aca="false">IFERROR((Y85/Y$32)/12,0)</f>
        <v>0</v>
      </c>
      <c r="AA85" s="64" t="n">
        <f aca="false">IFERROR(Y85/Y$68,0)</f>
        <v>0</v>
      </c>
      <c r="AD85" s="193"/>
      <c r="AE85" s="202"/>
    </row>
    <row r="86" customFormat="false" ht="18.75" hidden="false" customHeight="true" outlineLevel="0" collapsed="false">
      <c r="A86" s="197" t="n">
        <v>315</v>
      </c>
      <c r="B86" s="5"/>
      <c r="C86" s="200" t="s">
        <v>91</v>
      </c>
      <c r="D86" s="27"/>
      <c r="E86" s="136" t="n">
        <f aca="true" t="array" ref="E86:E86">IFERROR(SUM(IF($A86=INDIRECT($AE$9),IF(E$2&lt;=INDIRECT($AD$9),IF(F$2&gt;=INDIRECT($AD$9),INDIRECT($AF$9)*E$95,""),""),"")),0)</f>
        <v>9706.71</v>
      </c>
      <c r="F86" s="56" t="n">
        <f aca="false">IFERROR((E86/E$32)/12,0)</f>
        <v>421.779660714286</v>
      </c>
      <c r="G86" s="57" t="n">
        <f aca="false">IFERROR(E86/E$68,0)</f>
        <v>0.00244726965898236</v>
      </c>
      <c r="H86" s="27"/>
      <c r="I86" s="137" t="n">
        <f aca="true" t="array" ref="I86:I86">IFERROR(SUM(IF($A86=INDIRECT($AE$9),IF(I$2&lt;=INDIRECT($AD$9),IF(J$2&gt;=INDIRECT($AD$9),INDIRECT($AF$9)*I$95,""),""),"")),0)</f>
        <v>20234.1140710383</v>
      </c>
      <c r="J86" s="56" t="n">
        <f aca="false">IFERROR((I86/I$32)/12,0)</f>
        <v>514.283732638889</v>
      </c>
      <c r="K86" s="60" t="n">
        <f aca="false">IFERROR(I86/I$68,0)</f>
        <v>0.00293337222029258</v>
      </c>
      <c r="L86" s="27"/>
      <c r="M86" s="137" t="n">
        <f aca="true" t="array" ref="M86:M86">IFERROR(SUM(IF($A86=INDIRECT($AE$9),IF(M$2&lt;=INDIRECT($AD$9),IF(N$2&gt;=INDIRECT($AD$9),INDIRECT($AF$9)*M$95,""),""),"")),0)</f>
        <v>21107.850273224</v>
      </c>
      <c r="N86" s="56" t="n">
        <f aca="false">IFERROR((M86/M$32)/12,0)</f>
        <v>536.491194444444</v>
      </c>
      <c r="O86" s="60" t="n">
        <f aca="false">IFERROR(M86/M$68,0)</f>
        <v>0.00301261097221916</v>
      </c>
      <c r="P86" s="61"/>
      <c r="Q86" s="138" t="n">
        <f aca="true" t="array" ref="Q86:Q86">IFERROR(SUM(IF($A86=INDIRECT($AE$9),IF(Q$2&lt;=INDIRECT($AD$9),IF(R$2&gt;=INDIRECT($AD$9),INDIRECT($AF$9)*Q$95,""),""),"")),0)</f>
        <v>27035.8277173913</v>
      </c>
      <c r="R86" s="56" t="n">
        <f aca="false">IFERROR((Q86/Q$32)/12,0)</f>
        <v>2072.74679166667</v>
      </c>
      <c r="S86" s="64" t="n">
        <f aca="false">IFERROR(Q86/Q$68,0)</f>
        <v>0.0114733073882688</v>
      </c>
      <c r="T86" s="201"/>
      <c r="U86" s="138" t="n">
        <f aca="true" t="array" ref="U86:U86">IFERROR(SUM(IF($A86=INDIRECT($AE$9),IF(U$2&lt;=INDIRECT($AD$9),IF(V$2&gt;=INDIRECT($AD$9),INDIRECT($AF$9)*U$95,""),""),"")),0)</f>
        <v>0</v>
      </c>
      <c r="V86" s="56" t="n">
        <f aca="false">IFERROR((U86/U$32)/12,0)</f>
        <v>0</v>
      </c>
      <c r="W86" s="65" t="n">
        <f aca="false">IFERROR(U86/U$68,0)</f>
        <v>0</v>
      </c>
      <c r="X86" s="201"/>
      <c r="Y86" s="138" t="n">
        <f aca="true" t="array" ref="Y86:Y86">IFERROR(SUM(IF($A86=INDIRECT($AE$9),IF(Y$2&lt;=INDIRECT($AD$9),IF(Z$2&gt;=INDIRECT($AD$9),INDIRECT($AF$9)*Y$95,""),""),"")),0)</f>
        <v>0</v>
      </c>
      <c r="Z86" s="56" t="n">
        <f aca="false">IFERROR((Y86/Y$32)/12,0)</f>
        <v>0</v>
      </c>
      <c r="AA86" s="64" t="n">
        <f aca="false">IFERROR(Y86/Y$68,0)</f>
        <v>0</v>
      </c>
      <c r="AD86" s="193"/>
      <c r="AE86" s="202"/>
    </row>
    <row r="87" customFormat="false" ht="20.25" hidden="false" customHeight="true" outlineLevel="0" collapsed="false">
      <c r="A87" s="197" t="n">
        <v>320</v>
      </c>
      <c r="B87" s="5"/>
      <c r="C87" s="203" t="s">
        <v>92</v>
      </c>
      <c r="D87" s="204"/>
      <c r="E87" s="205" t="n">
        <f aca="true" t="array" ref="E87:E87">IFERROR(SUM(IF($A87=INDIRECT($AE$9),IF(E$2&lt;=INDIRECT($AD$9),IF(F$2&gt;=INDIRECT($AD$9),INDIRECT($AF$9)*E$95,""),""),"")),0)</f>
        <v>247609.34</v>
      </c>
      <c r="F87" s="206" t="n">
        <f aca="false">IFERROR((E87/E$32)/12,0)</f>
        <v>10759.2153690476</v>
      </c>
      <c r="G87" s="207" t="n">
        <f aca="false">IFERROR(E87/E$68,0)</f>
        <v>0.0624276222389098</v>
      </c>
      <c r="H87" s="170"/>
      <c r="I87" s="174" t="n">
        <f aca="true" t="array" ref="I87:I87">IFERROR(SUM(IF($A87=INDIRECT($AE$9),IF(I$2&lt;=INDIRECT($AD$9),IF(J$2&gt;=INDIRECT($AD$9),INDIRECT($AF$9)*I$95,""),""),"")),0)</f>
        <v>426582.500819672</v>
      </c>
      <c r="J87" s="206" t="n">
        <f aca="false">IFERROR((I87/I$32)/12,0)</f>
        <v>10842.3052291667</v>
      </c>
      <c r="K87" s="176" t="n">
        <f aca="false">IFERROR(I87/I$68,0)</f>
        <v>0.0618423546083703</v>
      </c>
      <c r="L87" s="170"/>
      <c r="M87" s="174" t="n">
        <f aca="true" t="array" ref="M87:M87">IFERROR(SUM(IF($A87=INDIRECT($AE$9),IF(M$2&lt;=INDIRECT($AD$9),IF(N$2&gt;=INDIRECT($AD$9),INDIRECT($AF$9)*M$95,""),""),"")),0)</f>
        <v>442197.99863388</v>
      </c>
      <c r="N87" s="206" t="n">
        <f aca="false">IFERROR((M87/M$32)/12,0)</f>
        <v>11239.1991319444</v>
      </c>
      <c r="O87" s="176" t="n">
        <f aca="false">IFERROR(M87/M$68,0)</f>
        <v>0.0631125635881395</v>
      </c>
      <c r="P87" s="177"/>
      <c r="Q87" s="178" t="n">
        <f aca="true" t="array" ref="Q87:Q87">IFERROR(SUM(IF($A87=INDIRECT($AE$9),IF(Q$2&lt;=INDIRECT($AD$9),IF(R$2&gt;=INDIRECT($AD$9),INDIRECT($AF$9)*Q$95,""),""),"")),0)</f>
        <v>149300.472826087</v>
      </c>
      <c r="R87" s="206" t="n">
        <f aca="false">IFERROR((Q87/Q$32)/12,0)</f>
        <v>11446.3695833333</v>
      </c>
      <c r="S87" s="180" t="n">
        <f aca="false">IFERROR(Q87/Q$68,0)</f>
        <v>0.0633592666684165</v>
      </c>
      <c r="T87" s="208"/>
      <c r="U87" s="178" t="n">
        <f aca="true" t="array" ref="U87:U87">IFERROR(SUM(IF($A87=INDIRECT($AE$9),IF(U$2&lt;=INDIRECT($AD$9),IF(V$2&gt;=INDIRECT($AD$9),INDIRECT($AF$9)*U$95,""),""),"")),0)</f>
        <v>0</v>
      </c>
      <c r="V87" s="206" t="n">
        <f aca="false">IFERROR((U87/U$32)/12,0)</f>
        <v>0</v>
      </c>
      <c r="W87" s="181" t="n">
        <f aca="false">IFERROR(U87/U$68,0)</f>
        <v>0</v>
      </c>
      <c r="X87" s="208"/>
      <c r="Y87" s="178" t="n">
        <f aca="true" t="array" ref="Y87:Y87">IFERROR(SUM(IF($A87=INDIRECT($AE$9),IF(Y$2&lt;=INDIRECT($AD$9),IF(Z$2&gt;=INDIRECT($AD$9),INDIRECT($AF$9)*Y$95,""),""),"")),0)</f>
        <v>0</v>
      </c>
      <c r="Z87" s="206" t="n">
        <f aca="false">IFERROR((Y87/Y$32)/12,0)</f>
        <v>0</v>
      </c>
      <c r="AA87" s="180" t="n">
        <f aca="false">IFERROR(Y87/Y$68,0)</f>
        <v>0</v>
      </c>
      <c r="AD87" s="193"/>
      <c r="AE87" s="202"/>
    </row>
    <row r="88" customFormat="false" ht="18.75" hidden="false" customHeight="true" outlineLevel="0" collapsed="false">
      <c r="A88" s="4"/>
      <c r="B88" s="5"/>
      <c r="C88" s="209" t="s">
        <v>93</v>
      </c>
      <c r="D88" s="22"/>
      <c r="E88" s="210" t="n">
        <f aca="false">SUM(E72:E86)</f>
        <v>3631716.44</v>
      </c>
      <c r="F88" s="210" t="n">
        <f aca="false">IFERROR(E88/(E$32*E$96*E$95),0)</f>
        <v>157806.726261905</v>
      </c>
      <c r="G88" s="211" t="n">
        <f aca="false">IFERROR(E88/E$68,0)</f>
        <v>0.915633562106979</v>
      </c>
      <c r="H88" s="183"/>
      <c r="I88" s="186" t="n">
        <f aca="false">SUM(I72:I86)</f>
        <v>6169066.31844262</v>
      </c>
      <c r="J88" s="186" t="n">
        <f aca="false">IFERROR(I88/(I$32*I$96*I$95),0)</f>
        <v>157226.6833625</v>
      </c>
      <c r="K88" s="187" t="n">
        <f aca="false">IFERROR(I88/I$68,0)</f>
        <v>0.894339514946387</v>
      </c>
      <c r="L88" s="183"/>
      <c r="M88" s="186" t="n">
        <f aca="false">SUM(M72:M86)</f>
        <v>6109696.70491803</v>
      </c>
      <c r="N88" s="186" t="n">
        <f aca="false">IFERROR(M88/(M$32*M$96*M$95),0)</f>
        <v>155713.5715</v>
      </c>
      <c r="O88" s="187" t="n">
        <f aca="false">IFERROR(M88/M$68,0)</f>
        <v>0.87200444819888</v>
      </c>
      <c r="P88" s="188"/>
      <c r="Q88" s="189" t="n">
        <f aca="false">SUM(Q72:Q86)</f>
        <v>2041296.65923913</v>
      </c>
      <c r="R88" s="189" t="n">
        <f aca="false">IFERROR(Q88/(Q$32*Q$96*Q$95),0)</f>
        <v>157785.707066667</v>
      </c>
      <c r="S88" s="190" t="n">
        <f aca="false">IFERROR(Q88/Q$68,0)</f>
        <v>0.866273608742929</v>
      </c>
      <c r="T88" s="212"/>
      <c r="U88" s="189" t="n">
        <f aca="false">SUM(U72:U86)</f>
        <v>0</v>
      </c>
      <c r="V88" s="189" t="n">
        <f aca="false">IFERROR(U88/(U$32*U$96*U$95),0)</f>
        <v>0</v>
      </c>
      <c r="W88" s="192" t="n">
        <f aca="false">IFERROR(U88/U$68,0)</f>
        <v>0</v>
      </c>
      <c r="X88" s="212"/>
      <c r="Y88" s="189" t="n">
        <f aca="false">SUM(Y72:Y86)</f>
        <v>0</v>
      </c>
      <c r="Z88" s="189" t="n">
        <f aca="false">IFERROR(Y88/(Y$32*Y$96*Y$95),0)</f>
        <v>0</v>
      </c>
      <c r="AA88" s="190" t="n">
        <f aca="false">IFERROR(Y88/Y$68,0)</f>
        <v>0</v>
      </c>
      <c r="AD88" s="193"/>
      <c r="AE88" s="202"/>
    </row>
    <row r="89" customFormat="false" ht="18.75" hidden="true" customHeight="true" outlineLevel="0" collapsed="false">
      <c r="A89" s="4"/>
      <c r="B89" s="5"/>
      <c r="C89" s="213"/>
      <c r="D89" s="5"/>
      <c r="E89" s="214"/>
      <c r="F89" s="214"/>
      <c r="G89" s="215"/>
      <c r="H89" s="5"/>
      <c r="I89" s="216"/>
      <c r="J89" s="216"/>
      <c r="K89" s="217"/>
      <c r="L89" s="5"/>
      <c r="M89" s="216"/>
      <c r="N89" s="216"/>
      <c r="O89" s="217"/>
      <c r="Q89" s="218"/>
      <c r="R89" s="218"/>
      <c r="S89" s="219"/>
      <c r="T89" s="196"/>
      <c r="U89" s="218"/>
      <c r="V89" s="218"/>
      <c r="W89" s="220"/>
      <c r="X89" s="196"/>
      <c r="Y89" s="218"/>
      <c r="Z89" s="218"/>
      <c r="AA89" s="219"/>
      <c r="AD89" s="193"/>
      <c r="AE89" s="202"/>
    </row>
    <row r="90" customFormat="false" ht="18.75" hidden="true" customHeight="true" outlineLevel="0" collapsed="false">
      <c r="A90" s="4"/>
      <c r="B90" s="5"/>
      <c r="C90" s="221" t="s">
        <v>94</v>
      </c>
      <c r="D90" s="183"/>
      <c r="E90" s="184" t="n">
        <f aca="false">E68-E88</f>
        <v>334626.2</v>
      </c>
      <c r="F90" s="184" t="n">
        <f aca="false">IFERROR(E90/(E$32*E$96*E$95),0)</f>
        <v>14540.3051190476</v>
      </c>
      <c r="G90" s="185" t="n">
        <f aca="false">IFERROR(E90/E$68,0)</f>
        <v>0.0843664378930207</v>
      </c>
      <c r="H90" s="183"/>
      <c r="I90" s="184" t="n">
        <f aca="false">I68-I88</f>
        <v>728835.669945356</v>
      </c>
      <c r="J90" s="186" t="n">
        <f aca="false">IFERROR(I90/(I$32*I$96*I$95),0)</f>
        <v>18575.3255333333</v>
      </c>
      <c r="K90" s="187" t="n">
        <f aca="false">IFERROR(I90/I$68,0)</f>
        <v>0.105660485053613</v>
      </c>
      <c r="L90" s="183"/>
      <c r="M90" s="184" t="n">
        <f aca="false">M68-M88</f>
        <v>896800.472404371</v>
      </c>
      <c r="N90" s="186" t="n">
        <f aca="false">IFERROR(M90/(M$32*M$96*M$95),0)</f>
        <v>22856.1271083333</v>
      </c>
      <c r="O90" s="187" t="n">
        <f aca="false">IFERROR(M90/M$68,0)</f>
        <v>0.12799555180112</v>
      </c>
      <c r="P90" s="188"/>
      <c r="Q90" s="184" t="n">
        <f aca="false">Q68-Q88</f>
        <v>315114.339130435</v>
      </c>
      <c r="R90" s="189" t="n">
        <f aca="false">IFERROR(Q90/(Q$32*Q$96*Q$95),0)</f>
        <v>24357.3312</v>
      </c>
      <c r="S90" s="190" t="n">
        <f aca="false">IFERROR(Q90/Q$68,0)</f>
        <v>0.133726391257071</v>
      </c>
      <c r="T90" s="212"/>
      <c r="U90" s="184" t="n">
        <f aca="false">U68-U88</f>
        <v>0</v>
      </c>
      <c r="V90" s="189" t="n">
        <f aca="false">IFERROR(U90/(U$32*U$96*U$95),0)</f>
        <v>0</v>
      </c>
      <c r="W90" s="192" t="n">
        <f aca="false">IFERROR(U90/U$68,0)</f>
        <v>0</v>
      </c>
      <c r="X90" s="212"/>
      <c r="Y90" s="184" t="n">
        <f aca="false">Y68-Y88</f>
        <v>0</v>
      </c>
      <c r="Z90" s="189" t="n">
        <f aca="false">IFERROR(Y90/(Y$32*Y$96*Y$95),0)</f>
        <v>0</v>
      </c>
      <c r="AA90" s="190" t="n">
        <f aca="false">IFERROR(Y90/Y$68,0)</f>
        <v>0</v>
      </c>
      <c r="AD90" s="193"/>
    </row>
    <row r="91" customFormat="false" ht="20.25" hidden="false" customHeight="true" outlineLevel="0" collapsed="false">
      <c r="A91" s="4"/>
      <c r="B91" s="5"/>
      <c r="C91" s="200" t="s">
        <v>95</v>
      </c>
      <c r="D91" s="27"/>
      <c r="E91" s="56" t="e">
        <f aca="false">#REF!*'Detailed Model'!E68</f>
        <v>#REF!</v>
      </c>
      <c r="F91" s="56" t="n">
        <f aca="false">IFERROR((E91/$E$32)/12,0)</f>
        <v>0</v>
      </c>
      <c r="G91" s="57" t="n">
        <f aca="false">IFERROR(E91/E$68,0)</f>
        <v>0</v>
      </c>
      <c r="H91" s="27"/>
      <c r="I91" s="56" t="n">
        <f aca="false">0.05*'Detailed Model'!I68</f>
        <v>344895.099419399</v>
      </c>
      <c r="J91" s="59" t="n">
        <f aca="false">IFERROR((I91/$I$32)/12,0)</f>
        <v>8766.08377690972</v>
      </c>
      <c r="K91" s="60" t="n">
        <f aca="false">IFERROR(I91/I$68,0)</f>
        <v>0.05</v>
      </c>
      <c r="L91" s="27"/>
      <c r="M91" s="56" t="n">
        <f aca="false">0.05*'Detailed Model'!M68</f>
        <v>350324.85886612</v>
      </c>
      <c r="N91" s="59" t="n">
        <f aca="false">IFERROR((M91/$M$32)/12,0)</f>
        <v>8904.09016284722</v>
      </c>
      <c r="O91" s="60" t="n">
        <f aca="false">IFERROR(M91/M$68,0)</f>
        <v>0.05</v>
      </c>
      <c r="P91" s="61"/>
      <c r="Q91" s="56" t="n">
        <f aca="false">0.05*'Detailed Model'!Q68</f>
        <v>117820.549918478</v>
      </c>
      <c r="R91" s="63" t="n">
        <f aca="false">IFERROR((Q91/$Q$32)/12,0)</f>
        <v>9032.90882708333</v>
      </c>
      <c r="S91" s="64" t="n">
        <f aca="false">IFERROR(Q91/Q$68,0)</f>
        <v>0.05</v>
      </c>
      <c r="T91" s="201"/>
      <c r="U91" s="56" t="e">
        <f aca="false">#REF!*'Detailed Model'!U68</f>
        <v>#REF!</v>
      </c>
      <c r="V91" s="63" t="n">
        <f aca="false">IFERROR((U91/$U$32)/12,0)</f>
        <v>0</v>
      </c>
      <c r="W91" s="65" t="n">
        <f aca="false">IFERROR(U91/U$68,0)</f>
        <v>0</v>
      </c>
      <c r="X91" s="201"/>
      <c r="Y91" s="56" t="e">
        <f aca="false">#REF!*'Detailed Model'!Y68</f>
        <v>#REF!</v>
      </c>
      <c r="Z91" s="63" t="n">
        <f aca="false">IFERROR((Y91/$Y$32)/12,0)</f>
        <v>0</v>
      </c>
      <c r="AA91" s="64" t="n">
        <f aca="false">IFERROR(Y91/Y$68,0)</f>
        <v>0</v>
      </c>
      <c r="AD91" s="5"/>
      <c r="AE91" s="5"/>
    </row>
    <row r="92" customFormat="false" ht="18.75" hidden="false" customHeight="true" outlineLevel="0" collapsed="false">
      <c r="A92" s="5"/>
      <c r="B92" s="5"/>
      <c r="C92" s="182" t="s">
        <v>96</v>
      </c>
      <c r="D92" s="183"/>
      <c r="E92" s="184" t="e">
        <f aca="false">E90-E91</f>
        <v>#REF!</v>
      </c>
      <c r="F92" s="184" t="n">
        <f aca="false">IFERROR(E92/(E$32*E$96*E$95),0)</f>
        <v>0</v>
      </c>
      <c r="G92" s="185" t="n">
        <f aca="false">IFERROR(E92/E$68,0)</f>
        <v>0</v>
      </c>
      <c r="H92" s="183"/>
      <c r="I92" s="184" t="n">
        <f aca="false">I90-I91</f>
        <v>383940.570525957</v>
      </c>
      <c r="J92" s="186" t="n">
        <f aca="false">IFERROR(I92/(I$32*I$96*I$95),0)</f>
        <v>9785.22508854167</v>
      </c>
      <c r="K92" s="187" t="n">
        <f aca="false">IFERROR(I92/I$68,0)</f>
        <v>0.055660485053613</v>
      </c>
      <c r="L92" s="183"/>
      <c r="M92" s="184" t="n">
        <f aca="false">M90-M91</f>
        <v>546475.613538251</v>
      </c>
      <c r="N92" s="186" t="n">
        <f aca="false">IFERROR(M92/(M$32*M$96*M$95),0)</f>
        <v>13927.6421779167</v>
      </c>
      <c r="O92" s="187" t="n">
        <f aca="false">IFERROR(M92/M$68,0)</f>
        <v>0.07799555180112</v>
      </c>
      <c r="P92" s="188"/>
      <c r="Q92" s="184" t="n">
        <f aca="false">Q90-Q91</f>
        <v>197293.789211957</v>
      </c>
      <c r="R92" s="189" t="n">
        <f aca="false">IFERROR(Q92/(Q$32*Q$96*Q$95),0)</f>
        <v>15250.1792866667</v>
      </c>
      <c r="S92" s="190" t="n">
        <f aca="false">IFERROR(Q92/Q$68,0)</f>
        <v>0.0837263912570715</v>
      </c>
      <c r="T92" s="212"/>
      <c r="U92" s="184" t="e">
        <f aca="false">U90-U91</f>
        <v>#REF!</v>
      </c>
      <c r="V92" s="189" t="n">
        <f aca="false">IFERROR(U92/(U$32*U$96*U$95),0)</f>
        <v>0</v>
      </c>
      <c r="W92" s="192" t="n">
        <f aca="false">IFERROR(U92/U$68,0)</f>
        <v>0</v>
      </c>
      <c r="X92" s="212"/>
      <c r="Y92" s="184" t="e">
        <f aca="false">Y90-Y91</f>
        <v>#REF!</v>
      </c>
      <c r="Z92" s="189" t="n">
        <f aca="false">IFERROR(Y92/(Y$32*Y$96*Y$95),0)</f>
        <v>0</v>
      </c>
      <c r="AA92" s="190" t="n">
        <f aca="false">IFERROR(Y92/Y$68,0)</f>
        <v>0</v>
      </c>
      <c r="AD92" s="5"/>
      <c r="AE92" s="5"/>
      <c r="AF92" s="5"/>
    </row>
    <row r="93" customFormat="false" ht="18.75" hidden="false" customHeight="true" outlineLevel="0" collapsed="false">
      <c r="A93" s="4"/>
      <c r="B93" s="5"/>
      <c r="C93" s="222"/>
      <c r="D93" s="5"/>
      <c r="E93" s="222"/>
      <c r="F93" s="223"/>
      <c r="G93" s="222"/>
      <c r="H93" s="5"/>
      <c r="I93" s="224"/>
      <c r="J93" s="225"/>
      <c r="K93" s="224"/>
      <c r="L93" s="5"/>
      <c r="M93" s="224"/>
      <c r="N93" s="225"/>
      <c r="O93" s="224"/>
      <c r="Q93" s="224"/>
      <c r="R93" s="225"/>
      <c r="S93" s="224"/>
      <c r="U93" s="224"/>
      <c r="V93" s="225"/>
      <c r="W93" s="224"/>
      <c r="Y93" s="224"/>
      <c r="Z93" s="225"/>
      <c r="AA93" s="224"/>
      <c r="AD93" s="5"/>
      <c r="AE93" s="5"/>
      <c r="AF93" s="5"/>
    </row>
    <row r="94" customFormat="false" ht="18.75" hidden="false" customHeight="true" outlineLevel="0" collapsed="false">
      <c r="A94" s="222"/>
      <c r="B94" s="5"/>
      <c r="C94" s="226" t="s">
        <v>97</v>
      </c>
      <c r="D94" s="5"/>
      <c r="E94" s="227" t="n">
        <f aca="false">F$2-E$2+1</f>
        <v>365</v>
      </c>
      <c r="F94" s="222"/>
      <c r="G94" s="222"/>
      <c r="H94" s="5"/>
      <c r="I94" s="228" t="n">
        <f aca="false">J$2-I$2+1</f>
        <v>366</v>
      </c>
      <c r="J94" s="224"/>
      <c r="K94" s="224"/>
      <c r="L94" s="5"/>
      <c r="M94" s="228" t="n">
        <f aca="false">N$2-M$2+1</f>
        <v>183</v>
      </c>
      <c r="N94" s="229"/>
      <c r="O94" s="224"/>
      <c r="Q94" s="228" t="n">
        <f aca="false">R$2-Q$2+1</f>
        <v>92</v>
      </c>
      <c r="R94" s="229"/>
      <c r="S94" s="224"/>
      <c r="U94" s="228" t="n">
        <f aca="false">V$2-U$2+1</f>
        <v>365</v>
      </c>
      <c r="V94" s="229"/>
      <c r="W94" s="224"/>
      <c r="Y94" s="228" t="n">
        <f aca="false">Z$2-Y$2+1</f>
        <v>365</v>
      </c>
      <c r="Z94" s="229"/>
      <c r="AA94" s="224"/>
      <c r="AD94" s="5"/>
      <c r="AE94" s="5"/>
      <c r="AF94" s="5"/>
    </row>
    <row r="95" customFormat="false" ht="18.75" hidden="false" customHeight="true" outlineLevel="0" collapsed="false">
      <c r="A95" s="222"/>
      <c r="B95" s="5"/>
      <c r="C95" s="226" t="s">
        <v>98</v>
      </c>
      <c r="D95" s="5"/>
      <c r="E95" s="230" t="n">
        <f aca="false">365/E94</f>
        <v>1</v>
      </c>
      <c r="F95" s="222"/>
      <c r="G95" s="222"/>
      <c r="H95" s="5"/>
      <c r="I95" s="230" t="n">
        <f aca="false">365/I94</f>
        <v>0.997267759562842</v>
      </c>
      <c r="J95" s="224"/>
      <c r="K95" s="224"/>
      <c r="L95" s="5"/>
      <c r="M95" s="230" t="n">
        <f aca="false">365/M94</f>
        <v>1.99453551912568</v>
      </c>
      <c r="N95" s="231"/>
      <c r="O95" s="231"/>
      <c r="Q95" s="230" t="n">
        <f aca="false">365/Q94</f>
        <v>3.96739130434783</v>
      </c>
      <c r="R95" s="231"/>
      <c r="S95" s="231"/>
      <c r="U95" s="230" t="n">
        <f aca="false">365/U94</f>
        <v>1</v>
      </c>
      <c r="V95" s="231"/>
      <c r="W95" s="231"/>
      <c r="Y95" s="230" t="n">
        <f aca="false">365/Y94</f>
        <v>1</v>
      </c>
      <c r="Z95" s="231"/>
      <c r="AA95" s="231"/>
      <c r="AD95" s="5"/>
      <c r="AE95" s="5"/>
      <c r="AF95" s="5"/>
    </row>
    <row r="96" customFormat="false" ht="18.75" hidden="false" customHeight="true" outlineLevel="0" collapsed="false">
      <c r="A96" s="222"/>
      <c r="B96" s="5"/>
      <c r="C96" s="226" t="s">
        <v>99</v>
      </c>
      <c r="D96" s="5"/>
      <c r="E96" s="227" t="n">
        <f aca="false">ROUND((F$2-E$2+15)/30.5,0)</f>
        <v>12</v>
      </c>
      <c r="F96" s="222"/>
      <c r="G96" s="222"/>
      <c r="H96" s="5"/>
      <c r="I96" s="228" t="n">
        <f aca="false">ROUND((J$2-I$2+15)/30.5,0)</f>
        <v>12</v>
      </c>
      <c r="J96" s="224"/>
      <c r="K96" s="224"/>
      <c r="L96" s="5"/>
      <c r="M96" s="228" t="n">
        <f aca="false">ROUND((N$2-M$2+15)/30.5,0)</f>
        <v>6</v>
      </c>
      <c r="N96" s="224"/>
      <c r="O96" s="224"/>
      <c r="Q96" s="228" t="n">
        <f aca="false">ROUND((R$2-Q$2+15)/30.5,0)</f>
        <v>3</v>
      </c>
      <c r="R96" s="224"/>
      <c r="S96" s="224"/>
      <c r="U96" s="228" t="n">
        <f aca="false">ROUND((V$2-U$2+15)/30.5,0)</f>
        <v>12</v>
      </c>
      <c r="V96" s="224"/>
      <c r="W96" s="224"/>
      <c r="Y96" s="228" t="n">
        <f aca="false">ROUND((Z$2-Y$2+15)/30.5,0)</f>
        <v>12</v>
      </c>
      <c r="Z96" s="224"/>
      <c r="AA96" s="224"/>
      <c r="AD96" s="5"/>
      <c r="AE96" s="5"/>
      <c r="AF96" s="5"/>
    </row>
    <row r="97" customFormat="false" ht="18.75" hidden="false" customHeight="false" outlineLevel="0" collapsed="false">
      <c r="A97" s="222"/>
      <c r="B97" s="5"/>
      <c r="C97" s="5"/>
      <c r="D97" s="5"/>
      <c r="E97" s="5"/>
      <c r="F97" s="222"/>
      <c r="G97" s="222"/>
      <c r="H97" s="5"/>
      <c r="J97" s="224"/>
      <c r="K97" s="224"/>
      <c r="L97" s="5"/>
      <c r="N97" s="224"/>
      <c r="O97" s="224"/>
      <c r="R97" s="224"/>
      <c r="S97" s="224"/>
      <c r="V97" s="224"/>
      <c r="W97" s="224"/>
      <c r="Z97" s="224"/>
      <c r="AA97" s="224"/>
      <c r="AB97" s="13"/>
      <c r="AC97" s="5"/>
      <c r="AD97" s="5"/>
      <c r="AE97" s="5"/>
      <c r="AF97" s="5"/>
    </row>
    <row r="98" customFormat="false" ht="18.75" hidden="true" customHeight="true" outlineLevel="0" collapsed="false">
      <c r="C98" s="232" t="s">
        <v>100</v>
      </c>
      <c r="E98" s="232" t="s">
        <v>101</v>
      </c>
      <c r="I98" s="232"/>
      <c r="M98" s="232"/>
      <c r="Q98" s="232"/>
      <c r="U98" s="232"/>
      <c r="Y98" s="232"/>
      <c r="AB98" s="13"/>
      <c r="AC98" s="5"/>
      <c r="AD98" s="5"/>
      <c r="AE98" s="5"/>
      <c r="AF98" s="5"/>
    </row>
    <row r="99" customFormat="false" ht="18.75" hidden="true" customHeight="true" outlineLevel="0" collapsed="false">
      <c r="C99" s="2" t="s">
        <v>102</v>
      </c>
      <c r="E99" s="233" t="s">
        <v>103</v>
      </c>
      <c r="F99" s="188" t="s">
        <v>104</v>
      </c>
      <c r="G99" s="188" t="s">
        <v>105</v>
      </c>
      <c r="H99" s="188"/>
      <c r="I99" s="188" t="s">
        <v>103</v>
      </c>
      <c r="J99" s="188" t="s">
        <v>104</v>
      </c>
      <c r="K99" s="188" t="s">
        <v>105</v>
      </c>
      <c r="L99" s="188"/>
      <c r="M99" s="188" t="s">
        <v>103</v>
      </c>
      <c r="N99" s="188" t="s">
        <v>104</v>
      </c>
      <c r="O99" s="188" t="s">
        <v>105</v>
      </c>
      <c r="P99" s="188"/>
      <c r="Q99" s="188" t="s">
        <v>103</v>
      </c>
      <c r="R99" s="188" t="s">
        <v>104</v>
      </c>
      <c r="S99" s="188" t="s">
        <v>105</v>
      </c>
      <c r="T99" s="188"/>
      <c r="U99" s="188" t="s">
        <v>103</v>
      </c>
      <c r="V99" s="188" t="s">
        <v>104</v>
      </c>
      <c r="W99" s="188" t="s">
        <v>105</v>
      </c>
      <c r="X99" s="188"/>
      <c r="Y99" s="188" t="s">
        <v>103</v>
      </c>
      <c r="Z99" s="188" t="s">
        <v>104</v>
      </c>
      <c r="AA99" s="234" t="s">
        <v>105</v>
      </c>
      <c r="AB99" s="13"/>
      <c r="AC99" s="5"/>
      <c r="AD99" s="5"/>
      <c r="AE99" s="5"/>
      <c r="AF99" s="5"/>
    </row>
    <row r="100" customFormat="false" ht="18.75" hidden="true" customHeight="true" outlineLevel="0" collapsed="false">
      <c r="A100" s="235"/>
      <c r="B100" s="235"/>
      <c r="C100" s="2" t="s">
        <v>106</v>
      </c>
      <c r="E100" s="236" t="n">
        <v>0.095</v>
      </c>
      <c r="F100" s="237" t="e">
        <f aca="false">$E$92/E100</f>
        <v>#REF!</v>
      </c>
      <c r="G100" s="237" t="n">
        <f aca="false">IFERROR($F100/F$7,0)</f>
        <v>0</v>
      </c>
      <c r="H100" s="238"/>
      <c r="I100" s="236" t="n">
        <v>0.095</v>
      </c>
      <c r="J100" s="237" t="n">
        <f aca="false">$I$92/I100</f>
        <v>4041479.68974691</v>
      </c>
      <c r="K100" s="237" t="n">
        <f aca="false">IFERROR($J100/J$7,0)</f>
        <v>53177.3643387751</v>
      </c>
      <c r="L100" s="238"/>
      <c r="M100" s="236" t="n">
        <v>0.095</v>
      </c>
      <c r="N100" s="237" t="n">
        <f aca="false">$M$92/M100</f>
        <v>5752374.87935001</v>
      </c>
      <c r="O100" s="237" t="n">
        <f aca="false">IFERROR($N100/N$7,0)</f>
        <v>75689.1431493422</v>
      </c>
      <c r="P100" s="238"/>
      <c r="Q100" s="236" t="n">
        <v>0.095</v>
      </c>
      <c r="R100" s="237" t="n">
        <f aca="false">$Q$92/Q100</f>
        <v>2076776.72854691</v>
      </c>
      <c r="S100" s="237" t="n">
        <f aca="false">IFERROR($R100/R$7,0)</f>
        <v>27326.0095861436</v>
      </c>
      <c r="T100" s="238"/>
      <c r="U100" s="236" t="n">
        <v>0.095</v>
      </c>
      <c r="V100" s="237" t="e">
        <f aca="false">$U$92/U100</f>
        <v>#REF!</v>
      </c>
      <c r="W100" s="237" t="n">
        <f aca="false">IFERROR($V100/V$7,0)</f>
        <v>0</v>
      </c>
      <c r="X100" s="238"/>
      <c r="Y100" s="236" t="n">
        <v>0.095</v>
      </c>
      <c r="Z100" s="237" t="e">
        <f aca="false">$U$92/Y100</f>
        <v>#REF!</v>
      </c>
      <c r="AA100" s="239" t="n">
        <f aca="false">IFERROR($V100/Z$7,0)</f>
        <v>0</v>
      </c>
      <c r="AB100" s="13"/>
      <c r="AC100" s="5"/>
      <c r="AF100" s="5"/>
    </row>
    <row r="101" customFormat="false" ht="18.75" hidden="true" customHeight="true" outlineLevel="0" collapsed="false">
      <c r="A101" s="235"/>
      <c r="B101" s="235"/>
      <c r="C101" s="240" t="s">
        <v>107</v>
      </c>
      <c r="E101" s="241" t="n">
        <v>0.09</v>
      </c>
      <c r="F101" s="242" t="e">
        <f aca="false">$E$92/E101</f>
        <v>#REF!</v>
      </c>
      <c r="G101" s="242" t="n">
        <f aca="false">IFERROR($F101/F$7,0)</f>
        <v>0</v>
      </c>
      <c r="H101" s="243"/>
      <c r="I101" s="241" t="n">
        <v>0.09</v>
      </c>
      <c r="J101" s="242" t="n">
        <f aca="false">$I$92/I101</f>
        <v>4266006.3391773</v>
      </c>
      <c r="K101" s="242" t="n">
        <f aca="false">IFERROR($J101/J$7,0)</f>
        <v>56131.662357596</v>
      </c>
      <c r="L101" s="243"/>
      <c r="M101" s="241" t="n">
        <v>0.09</v>
      </c>
      <c r="N101" s="242" t="n">
        <f aca="false">$M$92/M101</f>
        <v>6071951.26153612</v>
      </c>
      <c r="O101" s="242" t="n">
        <f aca="false">IFERROR($N101/N$7,0)</f>
        <v>79894.0955465279</v>
      </c>
      <c r="P101" s="243"/>
      <c r="Q101" s="241" t="n">
        <v>0.09</v>
      </c>
      <c r="R101" s="242" t="n">
        <f aca="false">$Q$92/Q101</f>
        <v>2192153.21346619</v>
      </c>
      <c r="S101" s="242" t="n">
        <f aca="false">IFERROR($R101/R$7,0)</f>
        <v>28844.1212298182</v>
      </c>
      <c r="T101" s="243"/>
      <c r="U101" s="241" t="n">
        <v>0.09</v>
      </c>
      <c r="V101" s="242" t="e">
        <f aca="false">$U$92/U101</f>
        <v>#REF!</v>
      </c>
      <c r="W101" s="242" t="n">
        <f aca="false">IFERROR($V101/V$7,0)</f>
        <v>0</v>
      </c>
      <c r="X101" s="243"/>
      <c r="Y101" s="241" t="n">
        <v>0.09</v>
      </c>
      <c r="Z101" s="242" t="e">
        <f aca="false">$U$92/Y101</f>
        <v>#REF!</v>
      </c>
      <c r="AA101" s="244" t="n">
        <f aca="false">IFERROR($V101/Z$7,0)</f>
        <v>0</v>
      </c>
      <c r="AD101" s="235"/>
      <c r="AE101" s="235"/>
    </row>
    <row r="102" s="235" customFormat="true" ht="18.75" hidden="true" customHeight="true" outlineLevel="0" collapsed="false">
      <c r="C102" s="240" t="s">
        <v>108</v>
      </c>
      <c r="D102" s="2"/>
      <c r="E102" s="245" t="n">
        <v>0.085</v>
      </c>
      <c r="F102" s="237" t="e">
        <f aca="false">$E$92/E102</f>
        <v>#REF!</v>
      </c>
      <c r="G102" s="237" t="n">
        <f aca="false">IFERROR($F102/F$7,0)</f>
        <v>0</v>
      </c>
      <c r="H102" s="238"/>
      <c r="I102" s="245" t="n">
        <v>0.085</v>
      </c>
      <c r="J102" s="237" t="n">
        <f aca="false">$I$92/I102</f>
        <v>4516947.88854067</v>
      </c>
      <c r="K102" s="237" t="n">
        <f aca="false">IFERROR($J102/J$7,0)</f>
        <v>59433.5248492193</v>
      </c>
      <c r="L102" s="238"/>
      <c r="M102" s="245" t="n">
        <v>0.085</v>
      </c>
      <c r="N102" s="237" t="n">
        <f aca="false">$M$92/M102</f>
        <v>6429124.86515589</v>
      </c>
      <c r="O102" s="237" t="n">
        <f aca="false">IFERROR($N102/N$7,0)</f>
        <v>84593.7482257354</v>
      </c>
      <c r="P102" s="238"/>
      <c r="Q102" s="245" t="n">
        <v>0.085</v>
      </c>
      <c r="R102" s="237" t="n">
        <f aca="false">$Q$92/Q102</f>
        <v>2321103.40249361</v>
      </c>
      <c r="S102" s="237" t="n">
        <f aca="false">IFERROR($R102/R$7,0)</f>
        <v>30540.8342433369</v>
      </c>
      <c r="T102" s="238"/>
      <c r="U102" s="245" t="n">
        <v>0.085</v>
      </c>
      <c r="V102" s="237" t="e">
        <f aca="false">$U$92/U102</f>
        <v>#REF!</v>
      </c>
      <c r="W102" s="237" t="n">
        <f aca="false">IFERROR($V102/V$7,0)</f>
        <v>0</v>
      </c>
      <c r="X102" s="238"/>
      <c r="Y102" s="245" t="n">
        <v>0.085</v>
      </c>
      <c r="Z102" s="237" t="e">
        <f aca="false">$U$92/Y102</f>
        <v>#REF!</v>
      </c>
      <c r="AA102" s="239" t="n">
        <f aca="false">IFERROR($V102/Z$7,0)</f>
        <v>0</v>
      </c>
      <c r="AB102" s="246"/>
    </row>
    <row r="103" s="235" customFormat="true" ht="18.75" hidden="true" customHeight="true" outlineLevel="0" collapsed="false">
      <c r="C103" s="2" t="s">
        <v>109</v>
      </c>
      <c r="D103" s="2"/>
      <c r="E103" s="247" t="n">
        <v>0.08</v>
      </c>
      <c r="F103" s="242" t="e">
        <f aca="false">$E$92/E103</f>
        <v>#REF!</v>
      </c>
      <c r="G103" s="242" t="n">
        <f aca="false">IFERROR($F103/F$7,0)</f>
        <v>0</v>
      </c>
      <c r="H103" s="61"/>
      <c r="I103" s="247" t="n">
        <v>0.08</v>
      </c>
      <c r="J103" s="242" t="n">
        <f aca="false">$I$92/I103</f>
        <v>4799257.13157446</v>
      </c>
      <c r="K103" s="242" t="n">
        <f aca="false">IFERROR($J103/J$7,0)</f>
        <v>63148.1201522955</v>
      </c>
      <c r="L103" s="61"/>
      <c r="M103" s="247" t="n">
        <v>0.08</v>
      </c>
      <c r="N103" s="242" t="n">
        <f aca="false">$M$92/M103</f>
        <v>6830945.16922814</v>
      </c>
      <c r="O103" s="242" t="n">
        <f aca="false">IFERROR($N103/N$7,0)</f>
        <v>89880.8574898439</v>
      </c>
      <c r="P103" s="61"/>
      <c r="Q103" s="247" t="n">
        <v>0.08</v>
      </c>
      <c r="R103" s="242" t="n">
        <f aca="false">$Q$92/Q103</f>
        <v>2466172.36514946</v>
      </c>
      <c r="S103" s="242" t="n">
        <f aca="false">IFERROR($R103/R$7,0)</f>
        <v>32449.6363835455</v>
      </c>
      <c r="T103" s="61"/>
      <c r="U103" s="247" t="n">
        <v>0.08</v>
      </c>
      <c r="V103" s="242" t="e">
        <f aca="false">$U$92/U103</f>
        <v>#REF!</v>
      </c>
      <c r="W103" s="242" t="n">
        <f aca="false">IFERROR($V103/V$7,0)</f>
        <v>0</v>
      </c>
      <c r="X103" s="61"/>
      <c r="Y103" s="247" t="n">
        <v>0.08</v>
      </c>
      <c r="Z103" s="242" t="e">
        <f aca="false">$U$92/Y103</f>
        <v>#REF!</v>
      </c>
      <c r="AA103" s="244" t="n">
        <f aca="false">IFERROR($V103/Z$7,0)</f>
        <v>0</v>
      </c>
      <c r="AB103" s="246"/>
    </row>
    <row r="104" s="235" customFormat="true" ht="18.75" hidden="true" customHeight="true" outlineLevel="0" collapsed="false">
      <c r="C104" s="2"/>
      <c r="D104" s="2"/>
      <c r="E104" s="245" t="n">
        <v>0.075</v>
      </c>
      <c r="F104" s="237" t="e">
        <f aca="false">$E$92/E104</f>
        <v>#REF!</v>
      </c>
      <c r="G104" s="237" t="n">
        <f aca="false">IFERROR($F104/F$7,0)</f>
        <v>0</v>
      </c>
      <c r="H104" s="177"/>
      <c r="I104" s="245" t="n">
        <v>0.075</v>
      </c>
      <c r="J104" s="237" t="n">
        <f aca="false">$I$92/I104</f>
        <v>5119207.60701275</v>
      </c>
      <c r="K104" s="237" t="n">
        <f aca="false">IFERROR($J104/J$7,0)</f>
        <v>67357.9948291152</v>
      </c>
      <c r="L104" s="177"/>
      <c r="M104" s="245" t="n">
        <v>0.075</v>
      </c>
      <c r="N104" s="237" t="n">
        <f aca="false">$M$92/M104</f>
        <v>7286341.51384334</v>
      </c>
      <c r="O104" s="237" t="n">
        <f aca="false">IFERROR($N104/N$7,0)</f>
        <v>95872.9146558335</v>
      </c>
      <c r="P104" s="177"/>
      <c r="Q104" s="245" t="n">
        <v>0.075</v>
      </c>
      <c r="R104" s="237" t="n">
        <f aca="false">$Q$92/Q104</f>
        <v>2630583.85615942</v>
      </c>
      <c r="S104" s="237" t="n">
        <f aca="false">IFERROR($R104/R$7,0)</f>
        <v>34612.9454757819</v>
      </c>
      <c r="T104" s="177"/>
      <c r="U104" s="245" t="n">
        <v>0.075</v>
      </c>
      <c r="V104" s="237" t="e">
        <f aca="false">$U$92/U104</f>
        <v>#REF!</v>
      </c>
      <c r="W104" s="237" t="n">
        <f aca="false">IFERROR($V104/V$7,0)</f>
        <v>0</v>
      </c>
      <c r="X104" s="177"/>
      <c r="Y104" s="245" t="n">
        <v>0.075</v>
      </c>
      <c r="Z104" s="237" t="e">
        <f aca="false">$U$92/Y104</f>
        <v>#REF!</v>
      </c>
      <c r="AA104" s="239" t="n">
        <f aca="false">IFERROR($V104/Z$7,0)</f>
        <v>0</v>
      </c>
      <c r="AB104" s="246"/>
    </row>
    <row r="105" s="235" customFormat="true" ht="18.75" hidden="true" customHeight="true" outlineLevel="0" collapsed="false">
      <c r="C105" s="2"/>
      <c r="D105" s="2"/>
      <c r="E105" s="247" t="n">
        <v>0.07</v>
      </c>
      <c r="F105" s="242" t="e">
        <f aca="false">$E$92/E105</f>
        <v>#REF!</v>
      </c>
      <c r="G105" s="242" t="n">
        <f aca="false">IFERROR($F105/F$7,0)</f>
        <v>0</v>
      </c>
      <c r="H105" s="61"/>
      <c r="I105" s="247" t="n">
        <v>0.07</v>
      </c>
      <c r="J105" s="242" t="n">
        <f aca="false">$I$92/I105</f>
        <v>5484865.29322795</v>
      </c>
      <c r="K105" s="242" t="n">
        <f aca="false">IFERROR($J105/J$7,0)</f>
        <v>72169.280174052</v>
      </c>
      <c r="L105" s="61"/>
      <c r="M105" s="247" t="n">
        <v>0.07</v>
      </c>
      <c r="N105" s="242" t="n">
        <f aca="false">$M$92/M105</f>
        <v>7806794.47911787</v>
      </c>
      <c r="O105" s="242" t="n">
        <f aca="false">IFERROR($N105/N$7,0)</f>
        <v>102720.979988393</v>
      </c>
      <c r="P105" s="61"/>
      <c r="Q105" s="247" t="n">
        <v>0.07</v>
      </c>
      <c r="R105" s="242" t="n">
        <f aca="false">$Q$92/Q105</f>
        <v>2818482.70302795</v>
      </c>
      <c r="S105" s="242" t="n">
        <f aca="false">IFERROR($R105/R$7,0)</f>
        <v>37085.298724052</v>
      </c>
      <c r="T105" s="61"/>
      <c r="U105" s="247" t="n">
        <v>0.07</v>
      </c>
      <c r="V105" s="242" t="e">
        <f aca="false">$U$92/U105</f>
        <v>#REF!</v>
      </c>
      <c r="W105" s="242" t="n">
        <f aca="false">IFERROR($V105/V$7,0)</f>
        <v>0</v>
      </c>
      <c r="X105" s="61"/>
      <c r="Y105" s="247" t="n">
        <v>0.07</v>
      </c>
      <c r="Z105" s="242" t="e">
        <f aca="false">$U$92/Y105</f>
        <v>#REF!</v>
      </c>
      <c r="AA105" s="244" t="n">
        <f aca="false">IFERROR($V105/Z$7,0)</f>
        <v>0</v>
      </c>
      <c r="AB105" s="246"/>
    </row>
    <row r="106" s="235" customFormat="true" ht="18.75" hidden="true" customHeight="true" outlineLevel="0" collapsed="false">
      <c r="C106" s="2"/>
      <c r="D106" s="2"/>
      <c r="E106" s="245" t="n">
        <v>0.065</v>
      </c>
      <c r="F106" s="237" t="e">
        <f aca="false">$E$92/E106</f>
        <v>#REF!</v>
      </c>
      <c r="G106" s="237" t="n">
        <f aca="false">IFERROR($F106/F$7,0)</f>
        <v>0</v>
      </c>
      <c r="H106" s="177"/>
      <c r="I106" s="245" t="n">
        <v>0.065</v>
      </c>
      <c r="J106" s="237" t="n">
        <f aca="false">$I$92/I106</f>
        <v>5906778.00809164</v>
      </c>
      <c r="K106" s="237" t="n">
        <f aca="false">IFERROR($J106/J$7,0)</f>
        <v>77720.7632643637</v>
      </c>
      <c r="L106" s="177"/>
      <c r="M106" s="245" t="n">
        <v>0.065</v>
      </c>
      <c r="N106" s="237" t="n">
        <f aca="false">$M$92/M106</f>
        <v>8407317.1313577</v>
      </c>
      <c r="O106" s="237" t="n">
        <f aca="false">IFERROR($N106/N$7,0)</f>
        <v>110622.593833654</v>
      </c>
      <c r="P106" s="177"/>
      <c r="Q106" s="245" t="n">
        <v>0.065</v>
      </c>
      <c r="R106" s="237" t="n">
        <f aca="false">$Q$92/Q106</f>
        <v>3035289.06479933</v>
      </c>
      <c r="S106" s="237" t="n">
        <f aca="false">IFERROR($R106/R$7,0)</f>
        <v>39938.0140105175</v>
      </c>
      <c r="T106" s="177"/>
      <c r="U106" s="245" t="n">
        <v>0.065</v>
      </c>
      <c r="V106" s="237" t="e">
        <f aca="false">$U$92/U106</f>
        <v>#REF!</v>
      </c>
      <c r="W106" s="237" t="n">
        <f aca="false">IFERROR($V106/V$7,0)</f>
        <v>0</v>
      </c>
      <c r="X106" s="177"/>
      <c r="Y106" s="245" t="n">
        <v>0.065</v>
      </c>
      <c r="Z106" s="237" t="e">
        <f aca="false">$U$92/Y106</f>
        <v>#REF!</v>
      </c>
      <c r="AA106" s="239" t="n">
        <f aca="false">IFERROR($V106/Z$7,0)</f>
        <v>0</v>
      </c>
      <c r="AB106" s="246"/>
    </row>
    <row r="107" s="235" customFormat="true" ht="18.75" hidden="true" customHeight="true" outlineLevel="0" collapsed="false">
      <c r="C107" s="2"/>
      <c r="D107" s="2"/>
      <c r="E107" s="248" t="n">
        <v>0.06</v>
      </c>
      <c r="F107" s="249" t="e">
        <f aca="false">$E$92/E107</f>
        <v>#REF!</v>
      </c>
      <c r="G107" s="249" t="n">
        <f aca="false">IFERROR($F107/F$7,0)</f>
        <v>0</v>
      </c>
      <c r="H107" s="110"/>
      <c r="I107" s="248" t="n">
        <v>0.06</v>
      </c>
      <c r="J107" s="249" t="n">
        <f aca="false">$I$92/I107</f>
        <v>6399009.50876594</v>
      </c>
      <c r="K107" s="249" t="n">
        <f aca="false">IFERROR($J107/J$7,0)</f>
        <v>84197.493536394</v>
      </c>
      <c r="L107" s="110"/>
      <c r="M107" s="248" t="n">
        <v>0.06</v>
      </c>
      <c r="N107" s="249" t="n">
        <f aca="false">$M$92/M107</f>
        <v>9107926.89230418</v>
      </c>
      <c r="O107" s="249" t="n">
        <f aca="false">IFERROR($N107/N$7,0)</f>
        <v>119841.143319792</v>
      </c>
      <c r="P107" s="110"/>
      <c r="Q107" s="248" t="n">
        <v>0.06</v>
      </c>
      <c r="R107" s="249" t="n">
        <f aca="false">$Q$92/Q107</f>
        <v>3288229.82019928</v>
      </c>
      <c r="S107" s="249" t="n">
        <f aca="false">IFERROR($R107/R$7,0)</f>
        <v>43266.1818447273</v>
      </c>
      <c r="T107" s="110"/>
      <c r="U107" s="248" t="n">
        <v>0.06</v>
      </c>
      <c r="V107" s="249" t="e">
        <f aca="false">$U$92/U107</f>
        <v>#REF!</v>
      </c>
      <c r="W107" s="249" t="n">
        <f aca="false">IFERROR($V107/V$7,0)</f>
        <v>0</v>
      </c>
      <c r="X107" s="110"/>
      <c r="Y107" s="248" t="n">
        <v>0.06</v>
      </c>
      <c r="Z107" s="249" t="e">
        <f aca="false">$U$92/Y107</f>
        <v>#REF!</v>
      </c>
      <c r="AA107" s="250" t="n">
        <f aca="false">IFERROR($V107/Z$7,0)</f>
        <v>0</v>
      </c>
      <c r="AB107" s="246"/>
    </row>
    <row r="108" s="235" customFormat="true" ht="15" hidden="true" customHeight="true" outlineLevel="0" collapsed="false">
      <c r="AB108" s="246"/>
    </row>
    <row r="109" s="235" customFormat="true" ht="18.75" hidden="true" customHeight="false" outlineLevel="0" collapsed="false">
      <c r="E109" s="232" t="s">
        <v>110</v>
      </c>
      <c r="AB109" s="246"/>
    </row>
    <row r="110" customFormat="false" ht="18.75" hidden="true" customHeight="false" outlineLevel="0" collapsed="false">
      <c r="E110" s="251" t="s">
        <v>111</v>
      </c>
      <c r="F110" s="191" t="s">
        <v>112</v>
      </c>
      <c r="G110" s="252" t="s">
        <v>113</v>
      </c>
      <c r="I110" s="251" t="s">
        <v>111</v>
      </c>
      <c r="J110" s="191" t="s">
        <v>112</v>
      </c>
      <c r="K110" s="252" t="s">
        <v>113</v>
      </c>
      <c r="M110" s="251" t="s">
        <v>111</v>
      </c>
      <c r="N110" s="191" t="s">
        <v>112</v>
      </c>
      <c r="O110" s="252" t="s">
        <v>113</v>
      </c>
      <c r="Q110" s="251" t="s">
        <v>111</v>
      </c>
      <c r="R110" s="191" t="s">
        <v>112</v>
      </c>
      <c r="S110" s="252" t="s">
        <v>113</v>
      </c>
      <c r="U110" s="251" t="s">
        <v>111</v>
      </c>
      <c r="V110" s="191" t="s">
        <v>112</v>
      </c>
      <c r="W110" s="252" t="s">
        <v>113</v>
      </c>
    </row>
    <row r="111" customFormat="false" ht="18.75" hidden="true" customHeight="false" outlineLevel="0" collapsed="false">
      <c r="E111" s="253" t="n">
        <f aca="false">E68+E67</f>
        <v>3966342.64</v>
      </c>
      <c r="G111" s="254" t="n">
        <f aca="false">E111-F111</f>
        <v>3966342.64</v>
      </c>
      <c r="I111" s="253" t="n">
        <f aca="false">I68+I67</f>
        <v>6897901.98838798</v>
      </c>
      <c r="K111" s="254" t="n">
        <f aca="false">I111-J111</f>
        <v>6897901.98838798</v>
      </c>
      <c r="M111" s="253" t="n">
        <f aca="false">M68+M67</f>
        <v>7006497.1773224</v>
      </c>
      <c r="O111" s="254" t="n">
        <f aca="false">M111-N111</f>
        <v>7006497.1773224</v>
      </c>
      <c r="Q111" s="253" t="n">
        <f aca="false">Q68+Q67</f>
        <v>2356410.99836957</v>
      </c>
      <c r="S111" s="254" t="n">
        <f aca="false">Q111-R111</f>
        <v>2356410.99836957</v>
      </c>
      <c r="U111" s="253" t="n">
        <f aca="false">U68+U67</f>
        <v>0</v>
      </c>
      <c r="W111" s="254" t="n">
        <f aca="false">U111-V111</f>
        <v>0</v>
      </c>
    </row>
    <row r="112" customFormat="false" ht="18.75" hidden="true" customHeight="false" outlineLevel="0" collapsed="false">
      <c r="E112" s="255"/>
      <c r="F112" s="256" t="s">
        <v>114</v>
      </c>
      <c r="G112" s="257" t="n">
        <f aca="false">IFERROR(G111/E111,0)</f>
        <v>1</v>
      </c>
      <c r="I112" s="255"/>
      <c r="J112" s="256" t="s">
        <v>114</v>
      </c>
      <c r="K112" s="257" t="n">
        <f aca="false">IFERROR(K111/I111,0)</f>
        <v>1</v>
      </c>
      <c r="M112" s="255"/>
      <c r="N112" s="256" t="s">
        <v>114</v>
      </c>
      <c r="O112" s="257" t="n">
        <f aca="false">IFERROR(O111/M111,0)</f>
        <v>1</v>
      </c>
      <c r="Q112" s="255"/>
      <c r="R112" s="256" t="s">
        <v>114</v>
      </c>
      <c r="S112" s="257" t="n">
        <f aca="false">IFERROR(S111/Q111,0)</f>
        <v>1</v>
      </c>
      <c r="U112" s="255"/>
      <c r="V112" s="256" t="s">
        <v>114</v>
      </c>
      <c r="W112" s="257" t="n">
        <f aca="false">IFERROR(W111/U111,0)</f>
        <v>0</v>
      </c>
    </row>
    <row r="113" customFormat="false" ht="18.75" hidden="true" customHeight="false" outlineLevel="0" collapsed="false">
      <c r="E113" s="251" t="s">
        <v>115</v>
      </c>
      <c r="F113" s="191" t="s">
        <v>116</v>
      </c>
      <c r="G113" s="252" t="s">
        <v>113</v>
      </c>
      <c r="I113" s="251" t="s">
        <v>115</v>
      </c>
      <c r="J113" s="191" t="s">
        <v>116</v>
      </c>
      <c r="K113" s="252" t="s">
        <v>113</v>
      </c>
      <c r="M113" s="251" t="s">
        <v>115</v>
      </c>
      <c r="N113" s="191" t="s">
        <v>116</v>
      </c>
      <c r="O113" s="252" t="s">
        <v>113</v>
      </c>
      <c r="Q113" s="251" t="s">
        <v>115</v>
      </c>
      <c r="R113" s="191" t="s">
        <v>116</v>
      </c>
      <c r="S113" s="252" t="s">
        <v>113</v>
      </c>
      <c r="U113" s="251" t="s">
        <v>115</v>
      </c>
      <c r="V113" s="191" t="s">
        <v>116</v>
      </c>
      <c r="W113" s="252" t="s">
        <v>113</v>
      </c>
    </row>
    <row r="114" customFormat="false" ht="18.75" hidden="true" customHeight="false" outlineLevel="0" collapsed="false">
      <c r="E114" s="253" t="n">
        <f aca="false">E88+E87</f>
        <v>3879325.78</v>
      </c>
      <c r="G114" s="254" t="n">
        <f aca="false">E114-F114</f>
        <v>3879325.78</v>
      </c>
      <c r="I114" s="253" t="n">
        <f aca="false">I88+I87</f>
        <v>6595648.8192623</v>
      </c>
      <c r="K114" s="254" t="n">
        <f aca="false">I114-J114</f>
        <v>6595648.8192623</v>
      </c>
      <c r="M114" s="253" t="n">
        <f aca="false">M88+M87</f>
        <v>6551894.70355191</v>
      </c>
      <c r="O114" s="254" t="n">
        <f aca="false">M114-N114</f>
        <v>6551894.70355191</v>
      </c>
      <c r="Q114" s="253" t="n">
        <f aca="false">Q88+Q87</f>
        <v>2190597.13206522</v>
      </c>
      <c r="S114" s="254" t="n">
        <f aca="false">Q114-R114</f>
        <v>2190597.13206522</v>
      </c>
      <c r="U114" s="253" t="n">
        <f aca="false">U88+U87</f>
        <v>0</v>
      </c>
      <c r="W114" s="254" t="n">
        <f aca="false">U114-V114</f>
        <v>0</v>
      </c>
    </row>
    <row r="115" customFormat="false" ht="18.75" hidden="true" customHeight="false" outlineLevel="0" collapsed="false">
      <c r="E115" s="258"/>
      <c r="F115" s="259" t="s">
        <v>114</v>
      </c>
      <c r="G115" s="260" t="n">
        <f aca="false">IFERROR(G114/E114,0)</f>
        <v>1</v>
      </c>
      <c r="I115" s="258"/>
      <c r="J115" s="259" t="s">
        <v>114</v>
      </c>
      <c r="K115" s="260" t="n">
        <f aca="false">IFERROR(K114/I114,0)</f>
        <v>1</v>
      </c>
      <c r="M115" s="258"/>
      <c r="N115" s="259" t="s">
        <v>114</v>
      </c>
      <c r="O115" s="260" t="n">
        <f aca="false">IFERROR(O114/M114,0)</f>
        <v>1</v>
      </c>
      <c r="Q115" s="258"/>
      <c r="R115" s="259" t="s">
        <v>114</v>
      </c>
      <c r="S115" s="260" t="n">
        <f aca="false">IFERROR(S114/Q114,0)</f>
        <v>1</v>
      </c>
      <c r="U115" s="258"/>
      <c r="V115" s="259" t="s">
        <v>114</v>
      </c>
      <c r="W115" s="260" t="n">
        <f aca="false">IFERROR(W114/U114,0)</f>
        <v>0</v>
      </c>
    </row>
  </sheetData>
  <conditionalFormatting sqref="G112 K112 O112 S112 W112 G115 K115 O115 S115 W115">
    <cfRule type="cellIs" priority="2" operator="lessThan" aboveAverage="0" equalAverage="0" bottom="0" percent="0" rank="0" text="" dxfId="0">
      <formula>0.01</formula>
    </cfRule>
    <cfRule type="cellIs" priority="3" operator="between" aboveAverage="0" equalAverage="0" bottom="0" percent="0" rank="0" text="" dxfId="1">
      <formula>0.01</formula>
      <formula>0.02</formula>
    </cfRule>
    <cfRule type="cellIs" priority="4" operator="greaterThan" aboveAverage="0" equalAverage="0" bottom="0" percent="0" rank="0" text="" dxfId="2">
      <formula>0.02</formula>
    </cfRule>
  </conditionalFormatting>
  <printOptions headings="false" gridLines="false" gridLinesSet="true" horizontalCentered="false" verticalCentered="false"/>
  <pageMargins left="0.1" right="0.1" top="0.5" bottom="0.1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M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00390625" defaultRowHeight="15.75" customHeight="true" zeroHeight="false" outlineLevelRow="1" outlineLevelCol="0"/>
  <cols>
    <col collapsed="false" customWidth="true" hidden="false" outlineLevel="0" max="1" min="1" style="0" width="3.5"/>
    <col collapsed="false" customWidth="true" hidden="false" outlineLevel="0" max="2" min="2" style="0" width="56.87"/>
    <col collapsed="false" customWidth="true" hidden="false" outlineLevel="0" max="11" min="11" style="0" width="5"/>
    <col collapsed="false" customWidth="true" hidden="false" outlineLevel="0" max="12" min="12" style="0" width="10.13"/>
    <col collapsed="false" customWidth="true" hidden="false" outlineLevel="0" max="13" min="13" style="0" width="7"/>
  </cols>
  <sheetData>
    <row r="3" customFormat="false" ht="15.75" hidden="false" customHeight="true" outlineLevel="0" collapsed="false">
      <c r="B3" s="261" t="s">
        <v>117</v>
      </c>
      <c r="C3" s="261"/>
      <c r="D3" s="261"/>
      <c r="E3" s="261"/>
      <c r="F3" s="261"/>
      <c r="G3" s="261"/>
      <c r="H3" s="261"/>
      <c r="I3" s="261"/>
      <c r="J3" s="261"/>
      <c r="L3" s="262" t="s">
        <v>118</v>
      </c>
      <c r="M3" s="262"/>
    </row>
    <row r="4" customFormat="false" ht="15.75" hidden="false" customHeight="true" outlineLevel="0" collapsed="false">
      <c r="B4" s="261"/>
      <c r="C4" s="261"/>
      <c r="D4" s="261"/>
      <c r="E4" s="261"/>
      <c r="F4" s="261"/>
      <c r="G4" s="261"/>
      <c r="H4" s="261"/>
      <c r="I4" s="261"/>
      <c r="J4" s="261"/>
      <c r="L4" s="226" t="s">
        <v>97</v>
      </c>
      <c r="M4" s="228" t="n">
        <f aca="false">IFERROR((E6-C6+1),0)</f>
        <v>0</v>
      </c>
    </row>
    <row r="5" customFormat="false" ht="21" hidden="false" customHeight="true" outlineLevel="0" collapsed="false">
      <c r="B5" s="263"/>
      <c r="C5" s="264" t="s">
        <v>119</v>
      </c>
      <c r="D5" s="264"/>
      <c r="E5" s="264" t="s">
        <v>120</v>
      </c>
      <c r="F5" s="264"/>
      <c r="G5" s="265"/>
      <c r="H5" s="265"/>
      <c r="I5" s="265"/>
      <c r="J5" s="266"/>
      <c r="L5" s="226" t="s">
        <v>121</v>
      </c>
      <c r="M5" s="228" t="n">
        <f aca="false">IFERROR((ROUND((E$6-C$6+15)/30.5,0)),0)</f>
        <v>0</v>
      </c>
    </row>
    <row r="6" customFormat="false" ht="18.75" hidden="false" customHeight="true" outlineLevel="0" collapsed="false">
      <c r="B6" s="267"/>
      <c r="C6" s="268" t="s">
        <v>122</v>
      </c>
      <c r="D6" s="268"/>
      <c r="E6" s="268" t="s">
        <v>122</v>
      </c>
      <c r="F6" s="268"/>
      <c r="G6" s="269" t="s">
        <v>123</v>
      </c>
      <c r="H6" s="269"/>
      <c r="I6" s="270" t="s">
        <v>124</v>
      </c>
      <c r="J6" s="270"/>
    </row>
    <row r="7" customFormat="false" ht="18.75" hidden="false" customHeight="true" outlineLevel="0" collapsed="false">
      <c r="B7" s="271" t="s">
        <v>125</v>
      </c>
      <c r="C7" s="272"/>
      <c r="D7" s="272"/>
      <c r="E7" s="272"/>
      <c r="F7" s="272"/>
      <c r="G7" s="272"/>
      <c r="H7" s="272"/>
      <c r="I7" s="273"/>
      <c r="J7" s="273"/>
    </row>
    <row r="8" customFormat="false" ht="18.75" hidden="false" customHeight="true" outlineLevel="0" collapsed="false">
      <c r="B8" s="274" t="s">
        <v>126</v>
      </c>
      <c r="C8" s="275"/>
      <c r="D8" s="275"/>
      <c r="E8" s="276" t="n">
        <f aca="false">'Detailed Model'!M32</f>
        <v>3.27868852459016</v>
      </c>
      <c r="F8" s="276"/>
      <c r="G8" s="277" t="n">
        <f aca="false">IFERROR((E8-C8)/C8,0)</f>
        <v>0</v>
      </c>
      <c r="H8" s="277"/>
      <c r="I8" s="273" t="n">
        <f aca="false">E8-C8</f>
        <v>3.27868852459016</v>
      </c>
      <c r="J8" s="273"/>
    </row>
    <row r="9" customFormat="false" ht="18.75" hidden="false" customHeight="true" outlineLevel="0" collapsed="false">
      <c r="B9" s="274" t="s">
        <v>127</v>
      </c>
      <c r="C9" s="277"/>
      <c r="D9" s="277"/>
      <c r="E9" s="277" t="n">
        <f aca="false">'Detailed Model'!M36</f>
        <v>0.0415023863872173</v>
      </c>
      <c r="F9" s="277"/>
      <c r="G9" s="277" t="n">
        <f aca="false">IFERROR(((E9*100)-(C9*100))/(C9*100),0)</f>
        <v>0</v>
      </c>
      <c r="H9" s="277"/>
      <c r="I9" s="278" t="n">
        <f aca="false">E9-C9</f>
        <v>0.0415023863872173</v>
      </c>
      <c r="J9" s="278"/>
    </row>
    <row r="10" customFormat="false" ht="18.75" hidden="false" customHeight="true" outlineLevel="0" collapsed="false">
      <c r="B10" s="274" t="s">
        <v>128</v>
      </c>
      <c r="C10" s="279"/>
      <c r="D10" s="279"/>
      <c r="E10" s="279" t="n">
        <f aca="false">'Detailed Model'!M68</f>
        <v>7006497.1773224</v>
      </c>
      <c r="F10" s="279"/>
      <c r="G10" s="277" t="n">
        <f aca="false">IFERROR((E10-C10)/C10,0)</f>
        <v>0</v>
      </c>
      <c r="H10" s="277"/>
      <c r="I10" s="244" t="n">
        <f aca="false">E10-C10</f>
        <v>7006497.1773224</v>
      </c>
      <c r="J10" s="244"/>
    </row>
    <row r="11" customFormat="false" ht="18.75" hidden="false" customHeight="true" outlineLevel="1" collapsed="false">
      <c r="B11" s="280" t="s">
        <v>129</v>
      </c>
      <c r="C11" s="279"/>
      <c r="D11" s="279"/>
      <c r="E11" s="279" t="n">
        <f aca="false">'Detailed Model'!N47</f>
        <v>58268.8397847222</v>
      </c>
      <c r="F11" s="279"/>
      <c r="G11" s="277" t="n">
        <f aca="false">IFERROR((E11-C11)/C11,0)</f>
        <v>0</v>
      </c>
      <c r="H11" s="277"/>
      <c r="I11" s="244" t="n">
        <f aca="false">E11-C11</f>
        <v>58268.8397847222</v>
      </c>
      <c r="J11" s="244"/>
    </row>
    <row r="12" customFormat="false" ht="18.75" hidden="false" customHeight="true" outlineLevel="0" collapsed="false">
      <c r="B12" s="274" t="s">
        <v>130</v>
      </c>
      <c r="C12" s="279"/>
      <c r="D12" s="279"/>
      <c r="E12" s="279" t="n">
        <f aca="false">'Detailed Model'!M88+'Detailed Model'!M91</f>
        <v>6460021.56378415</v>
      </c>
      <c r="F12" s="279"/>
      <c r="G12" s="277" t="n">
        <f aca="false">IFERROR((E12-C12)/C12,0)</f>
        <v>0</v>
      </c>
      <c r="H12" s="277"/>
      <c r="I12" s="244" t="n">
        <f aca="false">E12-C12</f>
        <v>6460021.56378415</v>
      </c>
      <c r="J12" s="244"/>
    </row>
    <row r="13" customFormat="false" ht="18.75" hidden="false" customHeight="true" outlineLevel="1" collapsed="false">
      <c r="B13" s="280" t="s">
        <v>77</v>
      </c>
      <c r="C13" s="279"/>
      <c r="D13" s="279"/>
      <c r="E13" s="279" t="n">
        <f aca="false">'Detailed Model'!M72</f>
        <v>0</v>
      </c>
      <c r="F13" s="279"/>
      <c r="G13" s="277" t="n">
        <f aca="false">IFERROR((E13-C13)/C13,0)</f>
        <v>0</v>
      </c>
      <c r="H13" s="277"/>
      <c r="I13" s="244" t="n">
        <f aca="false">E13-C13</f>
        <v>0</v>
      </c>
      <c r="J13" s="244"/>
    </row>
    <row r="14" customFormat="false" ht="18.75" hidden="false" customHeight="true" outlineLevel="1" collapsed="false">
      <c r="B14" s="280" t="s">
        <v>78</v>
      </c>
      <c r="C14" s="279"/>
      <c r="D14" s="279"/>
      <c r="E14" s="279" t="n">
        <f aca="false">'Detailed Model'!M73</f>
        <v>788851.702459017</v>
      </c>
      <c r="F14" s="279"/>
      <c r="G14" s="277" t="n">
        <f aca="false">IFERROR((E14-C14)/C14,0)</f>
        <v>0</v>
      </c>
      <c r="H14" s="277"/>
      <c r="I14" s="244" t="n">
        <f aca="false">E14-C14</f>
        <v>788851.702459017</v>
      </c>
      <c r="J14" s="244"/>
    </row>
    <row r="15" customFormat="false" ht="18.75" hidden="false" customHeight="true" outlineLevel="1" collapsed="false">
      <c r="B15" s="280" t="s">
        <v>82</v>
      </c>
      <c r="C15" s="279"/>
      <c r="D15" s="279"/>
      <c r="E15" s="279" t="n">
        <f aca="false">'Detailed Model'!M77</f>
        <v>779180.179781421</v>
      </c>
      <c r="F15" s="279"/>
      <c r="G15" s="277" t="n">
        <f aca="false">IFERROR((E15-C15)/C15,0)</f>
        <v>0</v>
      </c>
      <c r="H15" s="277"/>
      <c r="I15" s="244" t="n">
        <f aca="false">E15-C15</f>
        <v>779180.179781421</v>
      </c>
      <c r="J15" s="244"/>
    </row>
    <row r="16" customFormat="false" ht="18.75" hidden="false" customHeight="true" outlineLevel="0" collapsed="false">
      <c r="B16" s="281" t="s">
        <v>131</v>
      </c>
      <c r="C16" s="279" t="n">
        <f aca="false">C10-C12</f>
        <v>0</v>
      </c>
      <c r="D16" s="279"/>
      <c r="E16" s="279" t="n">
        <f aca="false">E10-E12</f>
        <v>546475.613538251</v>
      </c>
      <c r="F16" s="279"/>
      <c r="G16" s="277" t="n">
        <f aca="false">IFERROR((E16-C16)/C16,0)</f>
        <v>0</v>
      </c>
      <c r="H16" s="277"/>
      <c r="I16" s="282" t="n">
        <f aca="false">E16-C16</f>
        <v>546475.613538251</v>
      </c>
      <c r="J16" s="282"/>
    </row>
    <row r="17" customFormat="false" ht="18.75" hidden="false" customHeight="true" outlineLevel="0" collapsed="false">
      <c r="B17" s="283" t="s">
        <v>132</v>
      </c>
      <c r="C17" s="284" t="n">
        <f aca="false">IFERROR((C16/C10),0)</f>
        <v>0</v>
      </c>
      <c r="D17" s="284"/>
      <c r="E17" s="284" t="n">
        <f aca="false">IFERROR((E16/E10),0)</f>
        <v>0.0779955518011201</v>
      </c>
      <c r="F17" s="284"/>
      <c r="G17" s="285"/>
      <c r="H17" s="285"/>
      <c r="I17" s="286" t="n">
        <f aca="false">IFERROR((E17-C17),0)</f>
        <v>0.0779955518011201</v>
      </c>
      <c r="J17" s="286"/>
    </row>
    <row r="18" customFormat="false" ht="18.75" hidden="false" customHeight="true" outlineLevel="0" collapsed="false">
      <c r="B18" s="267"/>
      <c r="C18" s="272"/>
      <c r="D18" s="272"/>
      <c r="E18" s="272"/>
      <c r="F18" s="272"/>
      <c r="G18" s="272"/>
      <c r="H18" s="272"/>
      <c r="I18" s="287"/>
      <c r="J18" s="287"/>
    </row>
    <row r="19" customFormat="false" ht="18.75" hidden="false" customHeight="true" outlineLevel="0" collapsed="false">
      <c r="B19" s="271" t="s">
        <v>133</v>
      </c>
      <c r="C19" s="272"/>
      <c r="D19" s="272"/>
      <c r="E19" s="272"/>
      <c r="F19" s="272"/>
      <c r="G19" s="272"/>
      <c r="H19" s="272"/>
      <c r="I19" s="287"/>
      <c r="J19" s="287"/>
    </row>
    <row r="20" customFormat="false" ht="18.75" hidden="false" customHeight="true" outlineLevel="0" collapsed="false">
      <c r="B20" s="274" t="s">
        <v>126</v>
      </c>
      <c r="C20" s="272"/>
      <c r="D20" s="272"/>
      <c r="E20" s="276" t="n">
        <f aca="false">'Detailed Model'!Q32</f>
        <v>1.08695652173913</v>
      </c>
      <c r="F20" s="276"/>
      <c r="G20" s="277" t="n">
        <f aca="false">IFERROR((E20-C20)/C20,0)</f>
        <v>0</v>
      </c>
      <c r="H20" s="277"/>
      <c r="I20" s="273" t="n">
        <f aca="false">E20-C20</f>
        <v>1.08695652173913</v>
      </c>
      <c r="J20" s="273"/>
    </row>
    <row r="21" customFormat="false" ht="18.75" hidden="false" customHeight="true" outlineLevel="0" collapsed="false">
      <c r="B21" s="274" t="s">
        <v>127</v>
      </c>
      <c r="C21" s="277"/>
      <c r="D21" s="277"/>
      <c r="E21" s="277" t="n">
        <f aca="false">'Detailed Model'!Q36</f>
        <v>0.0137589433131536</v>
      </c>
      <c r="F21" s="277"/>
      <c r="G21" s="277" t="n">
        <f aca="false">IFERROR(((E21*100)-(C21*100))/(C21*100),0)</f>
        <v>0</v>
      </c>
      <c r="H21" s="277"/>
      <c r="I21" s="278" t="n">
        <f aca="false">E21-C21</f>
        <v>0.0137589433131536</v>
      </c>
      <c r="J21" s="278"/>
    </row>
    <row r="22" customFormat="false" ht="18.75" hidden="false" customHeight="true" outlineLevel="0" collapsed="false">
      <c r="B22" s="274" t="s">
        <v>128</v>
      </c>
      <c r="C22" s="279"/>
      <c r="D22" s="279"/>
      <c r="E22" s="279" t="n">
        <f aca="false">'Detailed Model'!Q68</f>
        <v>2356410.99836957</v>
      </c>
      <c r="F22" s="279"/>
      <c r="G22" s="277" t="n">
        <f aca="false">IFERROR((E22-C22)/C22,0)</f>
        <v>0</v>
      </c>
      <c r="H22" s="277"/>
      <c r="I22" s="244" t="n">
        <f aca="false">E22-C22</f>
        <v>2356410.99836957</v>
      </c>
      <c r="J22" s="244"/>
    </row>
    <row r="23" customFormat="false" ht="18.75" hidden="false" customHeight="true" outlineLevel="1" collapsed="false">
      <c r="B23" s="280" t="s">
        <v>129</v>
      </c>
      <c r="C23" s="279"/>
      <c r="D23" s="279"/>
      <c r="E23" s="279" t="n">
        <f aca="false">'Detailed Model'!R47</f>
        <v>58484.3302083333</v>
      </c>
      <c r="F23" s="279"/>
      <c r="G23" s="277" t="n">
        <f aca="false">IFERROR((E23-C23)/C23,0)</f>
        <v>0</v>
      </c>
      <c r="H23" s="277"/>
      <c r="I23" s="244" t="n">
        <f aca="false">E23-C23</f>
        <v>58484.3302083333</v>
      </c>
      <c r="J23" s="244"/>
    </row>
    <row r="24" customFormat="false" ht="18.75" hidden="false" customHeight="true" outlineLevel="0" collapsed="false">
      <c r="B24" s="274" t="s">
        <v>130</v>
      </c>
      <c r="C24" s="279"/>
      <c r="D24" s="279"/>
      <c r="E24" s="279" t="n">
        <f aca="false">'Detailed Model'!Q88+'Detailed Model'!Q91</f>
        <v>2159117.20915761</v>
      </c>
      <c r="F24" s="279"/>
      <c r="G24" s="277" t="n">
        <f aca="false">IFERROR((E24-C24)/C24,0)</f>
        <v>0</v>
      </c>
      <c r="H24" s="277"/>
      <c r="I24" s="244" t="n">
        <f aca="false">E24-C24</f>
        <v>2159117.20915761</v>
      </c>
      <c r="J24" s="244"/>
    </row>
    <row r="25" customFormat="false" ht="18.75" hidden="false" customHeight="true" outlineLevel="1" collapsed="false">
      <c r="B25" s="280" t="s">
        <v>77</v>
      </c>
      <c r="C25" s="279"/>
      <c r="D25" s="279"/>
      <c r="E25" s="279" t="n">
        <f aca="false">'Detailed Model'!Q72</f>
        <v>0</v>
      </c>
      <c r="F25" s="279"/>
      <c r="G25" s="277" t="n">
        <f aca="false">IFERROR((E25-C25)/C25,0)</f>
        <v>0</v>
      </c>
      <c r="H25" s="277"/>
      <c r="I25" s="244" t="n">
        <f aca="false">E25-C25</f>
        <v>0</v>
      </c>
      <c r="J25" s="244"/>
    </row>
    <row r="26" customFormat="false" ht="18.75" hidden="false" customHeight="true" outlineLevel="1" collapsed="false">
      <c r="B26" s="280" t="s">
        <v>78</v>
      </c>
      <c r="C26" s="279"/>
      <c r="D26" s="279"/>
      <c r="E26" s="279" t="n">
        <f aca="false">'Detailed Model'!Q73</f>
        <v>314649.955978261</v>
      </c>
      <c r="F26" s="279"/>
      <c r="G26" s="277" t="n">
        <f aca="false">IFERROR((E26-C26)/C26,0)</f>
        <v>0</v>
      </c>
      <c r="H26" s="277"/>
      <c r="I26" s="244" t="n">
        <f aca="false">E26-C26</f>
        <v>314649.955978261</v>
      </c>
      <c r="J26" s="244"/>
    </row>
    <row r="27" customFormat="false" ht="18.75" hidden="false" customHeight="true" outlineLevel="1" collapsed="false">
      <c r="B27" s="280" t="s">
        <v>82</v>
      </c>
      <c r="C27" s="279"/>
      <c r="D27" s="279"/>
      <c r="E27" s="279" t="n">
        <f aca="false">'Detailed Model'!Q77</f>
        <v>233998.603804348</v>
      </c>
      <c r="F27" s="279"/>
      <c r="G27" s="277" t="n">
        <f aca="false">IFERROR((E27-C27)/C27,0)</f>
        <v>0</v>
      </c>
      <c r="H27" s="277"/>
      <c r="I27" s="244" t="n">
        <f aca="false">E27-C27</f>
        <v>233998.603804348</v>
      </c>
      <c r="J27" s="244"/>
    </row>
    <row r="28" customFormat="false" ht="18.75" hidden="false" customHeight="true" outlineLevel="0" collapsed="false">
      <c r="B28" s="281" t="s">
        <v>131</v>
      </c>
      <c r="C28" s="279" t="n">
        <f aca="false">C22-C24</f>
        <v>0</v>
      </c>
      <c r="D28" s="279"/>
      <c r="E28" s="279" t="n">
        <f aca="false">E22-E24</f>
        <v>197293.789211957</v>
      </c>
      <c r="F28" s="279"/>
      <c r="G28" s="277" t="n">
        <f aca="false">IFERROR((E28-C28)/C28,0)</f>
        <v>0</v>
      </c>
      <c r="H28" s="277"/>
      <c r="I28" s="282" t="n">
        <f aca="false">E28-C28</f>
        <v>197293.789211957</v>
      </c>
      <c r="J28" s="282"/>
    </row>
    <row r="29" customFormat="false" ht="18.75" hidden="false" customHeight="true" outlineLevel="0" collapsed="false">
      <c r="B29" s="283" t="s">
        <v>132</v>
      </c>
      <c r="C29" s="284" t="n">
        <f aca="false">IFERROR((C28/C22),0)</f>
        <v>0</v>
      </c>
      <c r="D29" s="284"/>
      <c r="E29" s="284" t="n">
        <f aca="false">IFERROR((E28/E22),0)</f>
        <v>0.0837263912570715</v>
      </c>
      <c r="F29" s="284"/>
      <c r="G29" s="288"/>
      <c r="H29" s="288"/>
      <c r="I29" s="286" t="n">
        <f aca="false">IFERROR((E29-C29),0)</f>
        <v>0.0837263912570715</v>
      </c>
      <c r="J29" s="286"/>
    </row>
    <row r="30" customFormat="false" ht="18.75" hidden="false" customHeight="true" outlineLevel="0" collapsed="false">
      <c r="B30" s="289"/>
      <c r="C30" s="290"/>
      <c r="D30" s="290"/>
      <c r="E30" s="290"/>
      <c r="F30" s="290"/>
      <c r="G30" s="291"/>
      <c r="H30" s="291"/>
      <c r="I30" s="292"/>
      <c r="J30" s="292"/>
    </row>
    <row r="31" customFormat="false" ht="18.75" hidden="false" customHeight="true" outlineLevel="0" collapsed="false">
      <c r="B31" s="293"/>
      <c r="C31" s="294"/>
      <c r="D31" s="294"/>
      <c r="E31" s="294"/>
      <c r="F31" s="294"/>
    </row>
    <row r="32" customFormat="false" ht="17.25" hidden="false" customHeight="true" outlineLevel="0" collapsed="false">
      <c r="B32" s="295" t="s">
        <v>134</v>
      </c>
      <c r="C32" s="296"/>
      <c r="D32" s="296"/>
      <c r="E32" s="296"/>
      <c r="F32" s="296"/>
      <c r="G32" s="297"/>
    </row>
    <row r="33" customFormat="false" ht="15.75" hidden="false" customHeight="false" outlineLevel="0" collapsed="false">
      <c r="B33" s="298"/>
      <c r="G33" s="299"/>
    </row>
    <row r="34" customFormat="false" ht="15.75" hidden="false" customHeight="false" outlineLevel="0" collapsed="false">
      <c r="B34" s="298"/>
      <c r="G34" s="299"/>
    </row>
    <row r="35" customFormat="false" ht="15.75" hidden="false" customHeight="false" outlineLevel="0" collapsed="false">
      <c r="B35" s="298"/>
      <c r="G35" s="299"/>
    </row>
    <row r="36" customFormat="false" ht="15.75" hidden="false" customHeight="false" outlineLevel="0" collapsed="false">
      <c r="B36" s="298"/>
      <c r="G36" s="299"/>
    </row>
    <row r="37" customFormat="false" ht="15.75" hidden="false" customHeight="false" outlineLevel="0" collapsed="false">
      <c r="B37" s="300"/>
      <c r="C37" s="291"/>
      <c r="D37" s="291"/>
      <c r="E37" s="291"/>
      <c r="F37" s="291"/>
      <c r="G37" s="292"/>
    </row>
    <row r="39" customFormat="false" ht="15.75" hidden="false" customHeight="false" outlineLevel="0" collapsed="false">
      <c r="B39" s="301" t="s">
        <v>135</v>
      </c>
    </row>
    <row r="40" customFormat="false" ht="15.75" hidden="false" customHeight="false" outlineLevel="0" collapsed="false">
      <c r="B40" s="0" t="s">
        <v>136</v>
      </c>
    </row>
    <row r="41" customFormat="false" ht="15.75" hidden="false" customHeight="false" outlineLevel="0" collapsed="false">
      <c r="B41" s="0" t="s">
        <v>137</v>
      </c>
    </row>
    <row r="42" customFormat="false" ht="15.75" hidden="false" customHeight="false" outlineLevel="0" collapsed="false">
      <c r="B42" s="0" t="s">
        <v>138</v>
      </c>
    </row>
    <row r="44" customFormat="false" ht="15.75" hidden="false" customHeight="false" outlineLevel="0" collapsed="false">
      <c r="B44" s="301" t="s">
        <v>139</v>
      </c>
    </row>
    <row r="45" customFormat="false" ht="15.75" hidden="false" customHeight="false" outlineLevel="0" collapsed="false">
      <c r="B45" s="302" t="s">
        <v>140</v>
      </c>
    </row>
    <row r="47" customFormat="false" ht="15.75" hidden="false" customHeight="false" outlineLevel="0" collapsed="false">
      <c r="B47" s="301" t="s">
        <v>141</v>
      </c>
    </row>
    <row r="48" customFormat="false" ht="15.75" hidden="false" customHeight="false" outlineLevel="0" collapsed="false">
      <c r="B48" s="0" t="s">
        <v>142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875" defaultRowHeight="15.75" customHeight="true" zeroHeight="false" outlineLevelRow="0" outlineLevelCol="0"/>
  <cols>
    <col collapsed="false" customWidth="true" hidden="false" outlineLevel="0" max="2" min="2" style="0" width="19.51"/>
    <col collapsed="false" customWidth="true" hidden="false" outlineLevel="0" max="3" min="3" style="0" width="21.62"/>
    <col collapsed="false" customWidth="true" hidden="false" outlineLevel="0" max="4" min="4" style="0" width="21.12"/>
    <col collapsed="false" customWidth="true" hidden="false" outlineLevel="0" max="5" min="5" style="0" width="16.62"/>
    <col collapsed="false" customWidth="true" hidden="false" outlineLevel="0" max="6" min="6" style="0" width="16.5"/>
    <col collapsed="false" customWidth="true" hidden="false" outlineLevel="0" max="7" min="7" style="0" width="10.62"/>
    <col collapsed="false" customWidth="true" hidden="false" outlineLevel="0" max="8" min="8" style="0" width="9.62"/>
    <col collapsed="false" customWidth="true" hidden="false" outlineLevel="0" max="9" min="9" style="0" width="9.13"/>
    <col collapsed="false" customWidth="true" hidden="false" outlineLevel="0" max="10" min="10" style="0" width="10.13"/>
    <col collapsed="false" customWidth="true" hidden="false" outlineLevel="0" max="11" min="11" style="0" width="10"/>
    <col collapsed="false" customWidth="true" hidden="false" outlineLevel="0" max="12" min="12" style="0" width="9.87"/>
    <col collapsed="false" customWidth="true" hidden="false" outlineLevel="0" max="13" min="13" style="0" width="10.38"/>
    <col collapsed="false" customWidth="true" hidden="false" outlineLevel="0" max="14" min="14" style="0" width="10"/>
    <col collapsed="false" customWidth="true" hidden="false" outlineLevel="0" max="15" min="15" style="0" width="9.51"/>
    <col collapsed="false" customWidth="true" hidden="false" outlineLevel="0" max="16" min="16" style="0" width="10"/>
    <col collapsed="false" customWidth="true" hidden="false" outlineLevel="0" max="17" min="17" style="0" width="10.13"/>
    <col collapsed="false" customWidth="true" hidden="false" outlineLevel="0" max="18" min="18" style="0" width="10"/>
    <col collapsed="false" customWidth="true" hidden="false" outlineLevel="0" max="19" min="19" style="0" width="10.62"/>
    <col collapsed="false" customWidth="true" hidden="false" outlineLevel="0" max="20" min="20" style="0" width="9.62"/>
    <col collapsed="false" customWidth="true" hidden="false" outlineLevel="0" max="21" min="21" style="0" width="9.13"/>
    <col collapsed="false" customWidth="true" hidden="false" outlineLevel="0" max="22" min="22" style="0" width="10.13"/>
    <col collapsed="false" customWidth="true" hidden="false" outlineLevel="0" max="23" min="23" style="0" width="10"/>
    <col collapsed="false" customWidth="true" hidden="false" outlineLevel="0" max="24" min="24" style="0" width="9.87"/>
    <col collapsed="false" customWidth="true" hidden="false" outlineLevel="0" max="25" min="25" style="0" width="10.38"/>
    <col collapsed="false" customWidth="true" hidden="false" outlineLevel="0" max="26" min="26" style="0" width="10"/>
    <col collapsed="false" customWidth="true" hidden="false" outlineLevel="0" max="27" min="27" style="0" width="9.51"/>
    <col collapsed="false" customWidth="true" hidden="false" outlineLevel="0" max="28" min="28" style="0" width="10"/>
    <col collapsed="false" customWidth="true" hidden="false" outlineLevel="0" max="29" min="29" style="0" width="10.13"/>
    <col collapsed="false" customWidth="true" hidden="false" outlineLevel="0" max="30" min="30" style="0" width="10"/>
    <col collapsed="false" customWidth="true" hidden="false" outlineLevel="0" max="31" min="31" style="0" width="10.62"/>
    <col collapsed="false" customWidth="true" hidden="false" outlineLevel="0" max="32" min="32" style="0" width="9.62"/>
    <col collapsed="false" customWidth="true" hidden="false" outlineLevel="0" max="33" min="33" style="0" width="9.13"/>
    <col collapsed="false" customWidth="true" hidden="false" outlineLevel="0" max="34" min="34" style="0" width="10.13"/>
    <col collapsed="false" customWidth="true" hidden="false" outlineLevel="0" max="36" min="35" style="0" width="10"/>
  </cols>
  <sheetData>
    <row r="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5.75" customHeight="true" zeroHeight="false" outlineLevelRow="0" outlineLevelCol="0"/>
  <cols>
    <col collapsed="false" customWidth="false" hidden="false" outlineLevel="0" max="16384" min="1" style="303" width="8.87"/>
  </cols>
  <sheetData>
    <row r="1" customFormat="false" ht="15.75" hidden="false" customHeight="false" outlineLevel="0" collapsed="false">
      <c r="A1" s="304" t="s">
        <v>143</v>
      </c>
    </row>
    <row r="2" customFormat="false" ht="15.75" hidden="false" customHeight="false" outlineLevel="0" collapsed="false">
      <c r="A2" s="305" t="s">
        <v>144</v>
      </c>
    </row>
    <row r="3" customFormat="false" ht="15.75" hidden="false" customHeight="false" outlineLevel="0" collapsed="false">
      <c r="A3" s="305"/>
    </row>
    <row r="4" customFormat="false" ht="15.75" hidden="false" customHeight="false" outlineLevel="0" collapsed="false">
      <c r="A4" s="304" t="s">
        <v>145</v>
      </c>
    </row>
    <row r="5" customFormat="false" ht="15.75" hidden="false" customHeight="false" outlineLevel="0" collapsed="false">
      <c r="A5" s="304" t="s">
        <v>146</v>
      </c>
    </row>
    <row r="6" customFormat="false" ht="15.75" hidden="false" customHeight="false" outlineLevel="0" collapsed="false">
      <c r="A6" s="304" t="s">
        <v>147</v>
      </c>
    </row>
    <row r="7" customFormat="false" ht="15.75" hidden="false" customHeight="false" outlineLevel="0" collapsed="false">
      <c r="A7" s="304" t="s">
        <v>148</v>
      </c>
    </row>
    <row r="8" customFormat="false" ht="15.75" hidden="false" customHeight="false" outlineLevel="0" collapsed="false">
      <c r="A8" s="304" t="s">
        <v>149</v>
      </c>
    </row>
    <row r="9" customFormat="false" ht="15.75" hidden="false" customHeight="false" outlineLevel="0" collapsed="false">
      <c r="A9" s="304" t="s">
        <v>150</v>
      </c>
    </row>
    <row r="10" customFormat="false" ht="15.75" hidden="false" customHeight="false" outlineLevel="0" collapsed="false">
      <c r="A10" s="304" t="s">
        <v>151</v>
      </c>
    </row>
    <row r="11" customFormat="false" ht="15.75" hidden="false" customHeight="false" outlineLevel="0" collapsed="false">
      <c r="A11" s="304"/>
    </row>
    <row r="12" customFormat="false" ht="15.75" hidden="false" customHeight="false" outlineLevel="0" collapsed="false">
      <c r="A12" s="304" t="s">
        <v>152</v>
      </c>
    </row>
    <row r="13" customFormat="false" ht="15.75" hidden="false" customHeight="false" outlineLevel="0" collapsed="false">
      <c r="A13" s="303" t="s">
        <v>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6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7.35" hidden="false" customHeight="false" outlineLevel="0" collapsed="false">
      <c r="A1" s="306" t="s">
        <v>154</v>
      </c>
      <c r="B1" s="306" t="s">
        <v>155</v>
      </c>
      <c r="C1" s="306" t="s">
        <v>156</v>
      </c>
      <c r="D1" s="306" t="s">
        <v>157</v>
      </c>
      <c r="E1" s="306" t="s">
        <v>158</v>
      </c>
      <c r="F1" s="307" t="s">
        <v>159</v>
      </c>
      <c r="G1" s="306" t="s">
        <v>160</v>
      </c>
      <c r="H1" s="306" t="n">
        <v>44562</v>
      </c>
      <c r="I1" s="306" t="n">
        <v>44593</v>
      </c>
      <c r="J1" s="306" t="n">
        <v>44621</v>
      </c>
      <c r="K1" s="306" t="n">
        <v>44652</v>
      </c>
      <c r="L1" s="306" t="n">
        <v>44682</v>
      </c>
      <c r="M1" s="306" t="n">
        <v>44713</v>
      </c>
      <c r="N1" s="306" t="n">
        <v>44743</v>
      </c>
      <c r="O1" s="306" t="n">
        <v>44774</v>
      </c>
      <c r="P1" s="306" t="n">
        <v>44805</v>
      </c>
      <c r="Q1" s="306" t="n">
        <v>44835</v>
      </c>
      <c r="R1" s="306" t="n">
        <v>44866</v>
      </c>
      <c r="S1" s="306" t="n">
        <v>44896</v>
      </c>
      <c r="T1" s="306" t="n">
        <v>44927</v>
      </c>
      <c r="U1" s="306" t="n">
        <v>44958</v>
      </c>
      <c r="V1" s="306" t="n">
        <v>44986</v>
      </c>
      <c r="W1" s="306" t="n">
        <v>45017</v>
      </c>
      <c r="X1" s="306" t="n">
        <v>45047</v>
      </c>
      <c r="Y1" s="306" t="n">
        <v>45078</v>
      </c>
      <c r="Z1" s="306" t="n">
        <v>45108</v>
      </c>
      <c r="AA1" s="306" t="n">
        <v>45139</v>
      </c>
      <c r="AB1" s="306" t="n">
        <v>45170</v>
      </c>
      <c r="AC1" s="306" t="n">
        <v>45200</v>
      </c>
      <c r="AD1" s="306" t="n">
        <v>45231</v>
      </c>
      <c r="AE1" s="306" t="n">
        <v>45261</v>
      </c>
      <c r="AF1" s="306" t="n">
        <v>45292</v>
      </c>
      <c r="AG1" s="306" t="n">
        <v>45323</v>
      </c>
      <c r="AH1" s="306" t="n">
        <v>45352</v>
      </c>
      <c r="AI1" s="306" t="n">
        <v>45383</v>
      </c>
      <c r="AJ1" s="306" t="n">
        <v>45413</v>
      </c>
      <c r="AK1" s="306" t="n">
        <v>45444</v>
      </c>
      <c r="AL1" s="306" t="n">
        <v>45474</v>
      </c>
      <c r="AM1" s="306" t="n">
        <v>45505</v>
      </c>
      <c r="AN1" s="306" t="n">
        <v>45536</v>
      </c>
      <c r="AO1" s="306" t="n">
        <v>45566</v>
      </c>
      <c r="AP1" s="306" t="n">
        <v>45597</v>
      </c>
      <c r="AQ1" s="306" t="n">
        <v>45627</v>
      </c>
    </row>
    <row r="2" customFormat="false" ht="17.35" hidden="false" customHeight="false" outlineLevel="0" collapsed="false">
      <c r="A2" s="308" t="str">
        <f aca="false">IFERROR(TRIM(VLOOKUP(UPPER(D2),table_lookups,2,FALSE())),IF(ROW()&gt;2,A1,""))</f>
        <v/>
      </c>
      <c r="B2" s="309" t="str">
        <f aca="true">IF(LEN(C2)&lt;1,"",IFERROR(VLOOKUP(C2,INDIRECT("CODING_"&amp;A2),2,FALSE()),""))</f>
        <v/>
      </c>
      <c r="C2" s="310" t="str">
        <f aca="false">IF(AND(LEN(D2)&gt;0,LEN(A2)&gt;0,COUNT(#REF!)&gt;0),IF(LEN(#REF!)&gt;0,#REF!&amp;" - ","")&amp;D2,"")</f>
        <v/>
      </c>
      <c r="D2" s="310" t="str">
        <f aca="false">UPPER(TRIM(G2))</f>
        <v/>
      </c>
      <c r="E2" s="311"/>
    </row>
    <row r="3" customFormat="false" ht="17.35" hidden="false" customHeight="false" outlineLevel="0" collapsed="false">
      <c r="A3" s="308" t="s">
        <v>161</v>
      </c>
      <c r="B3" s="309"/>
      <c r="C3" s="310" t="str">
        <f aca="false">IF(AND(LEN(D3)&gt;0,LEN(A3)&gt;0,COUNT(#REF!)&gt;0),IF(LEN(#REF!)&gt;0,#REF!&amp;" - ","")&amp;D3,"")</f>
        <v/>
      </c>
      <c r="D3" s="310"/>
      <c r="E3" s="311"/>
      <c r="F3" s="312"/>
      <c r="G3" s="313" t="s">
        <v>162</v>
      </c>
    </row>
    <row r="4" customFormat="false" ht="17.35" hidden="false" customHeight="false" outlineLevel="0" collapsed="false">
      <c r="A4" s="308" t="s">
        <v>161</v>
      </c>
      <c r="B4" s="309"/>
      <c r="C4" s="310"/>
      <c r="D4" s="314" t="str">
        <f aca="false">IFERROR(VLOOKUP(B4,'[1]detailed model'!$a$6:$C$92,3,FALSE()),"NOT CODED/ERROR")</f>
        <v>NOT CODED/ERROR</v>
      </c>
      <c r="E4" s="311"/>
      <c r="F4" s="312" t="e">
        <f aca="false">VLOOKUP(B4,'[1]detailed model'!a6:C87,3,FALSE())</f>
        <v>#NAME?</v>
      </c>
    </row>
    <row r="5" customFormat="false" ht="17.35" hidden="false" customHeight="false" outlineLevel="0" collapsed="false">
      <c r="A5" s="308" t="s">
        <v>161</v>
      </c>
      <c r="B5" s="309"/>
      <c r="C5" s="310"/>
      <c r="D5" s="314" t="str">
        <f aca="false">IFERROR(VLOOKUP(B5,'[1]detailed model'!$a$6:$C$92,3,FALSE()),"NOT CODED/ERROR")</f>
        <v>NOT CODED/ERROR</v>
      </c>
      <c r="E5" s="311"/>
      <c r="F5" s="312" t="e">
        <f aca="false">VLOOKUP(B5,'[1]detailed model'!a7:C88,3,FALSE())</f>
        <v>#NAME?</v>
      </c>
      <c r="G5" s="0" t="s">
        <v>163</v>
      </c>
      <c r="H5" s="315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0" t="n">
        <v>76</v>
      </c>
      <c r="Z5" s="0" t="n">
        <v>76</v>
      </c>
      <c r="AA5" s="0" t="n">
        <v>80</v>
      </c>
      <c r="AB5" s="0" t="n">
        <v>80</v>
      </c>
      <c r="AC5" s="0" t="n">
        <v>80</v>
      </c>
      <c r="AD5" s="0" t="n">
        <v>80</v>
      </c>
      <c r="AE5" s="0" t="n">
        <v>80</v>
      </c>
      <c r="AF5" s="0" t="n">
        <v>80</v>
      </c>
      <c r="AG5" s="0" t="n">
        <v>80</v>
      </c>
      <c r="AH5" s="0" t="n">
        <v>80</v>
      </c>
      <c r="AI5" s="0" t="n">
        <v>80</v>
      </c>
      <c r="AJ5" s="0" t="n">
        <v>80</v>
      </c>
    </row>
    <row r="6" customFormat="false" ht="17.35" hidden="false" customHeight="false" outlineLevel="0" collapsed="false">
      <c r="A6" s="308" t="s">
        <v>161</v>
      </c>
      <c r="B6" s="309"/>
      <c r="C6" s="310"/>
      <c r="D6" s="314" t="str">
        <f aca="false">IFERROR(VLOOKUP(B6,'[1]detailed model'!$a$6:$C$92,3,FALSE()),"NOT CODED/ERROR")</f>
        <v>NOT CODED/ERROR</v>
      </c>
      <c r="E6" s="311"/>
      <c r="F6" s="312" t="e">
        <f aca="false">VLOOKUP(B6,'[1]detailed model'!a8:C89,3,FALSE())</f>
        <v>#NAME?</v>
      </c>
      <c r="G6" s="0" t="s">
        <v>164</v>
      </c>
      <c r="H6" s="315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0" t="n">
        <v>66.33</v>
      </c>
      <c r="Z6" s="0" t="n">
        <v>62.52</v>
      </c>
      <c r="AA6" s="0" t="n">
        <v>68.35</v>
      </c>
      <c r="AB6" s="0" t="n">
        <v>69.2</v>
      </c>
      <c r="AC6" s="0" t="n">
        <v>71.09</v>
      </c>
      <c r="AD6" s="0" t="n">
        <v>73.06</v>
      </c>
      <c r="AE6" s="0" t="n">
        <v>72.71</v>
      </c>
      <c r="AF6" s="0" t="n">
        <v>71.55</v>
      </c>
      <c r="AG6" s="0" t="n">
        <v>72.41</v>
      </c>
      <c r="AH6" s="0" t="n">
        <v>73.54</v>
      </c>
      <c r="AI6" s="0" t="n">
        <v>75.6</v>
      </c>
      <c r="AJ6" s="0" t="n">
        <v>75.06</v>
      </c>
    </row>
    <row r="7" customFormat="false" ht="17.35" hidden="false" customHeight="false" outlineLevel="0" collapsed="false">
      <c r="A7" s="308" t="s">
        <v>161</v>
      </c>
      <c r="B7" s="309"/>
      <c r="C7" s="310"/>
      <c r="D7" s="314" t="str">
        <f aca="false">IFERROR(VLOOKUP(B7,'[1]detailed model'!$a$6:$C$92,3,FALSE()),"NOT CODED/ERROR")</f>
        <v>NOT CODED/ERROR</v>
      </c>
      <c r="E7" s="311"/>
      <c r="F7" s="312" t="e">
        <f aca="false">VLOOKUP(B7,'[1]detailed model'!a9:C90,3,FALSE())</f>
        <v>#NAME?</v>
      </c>
      <c r="G7" s="0" t="s">
        <v>165</v>
      </c>
      <c r="H7" s="315"/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0" t="n">
        <v>0.873</v>
      </c>
      <c r="Z7" s="0" t="n">
        <v>0.823</v>
      </c>
      <c r="AA7" s="0" t="n">
        <v>0.854</v>
      </c>
      <c r="AB7" s="0" t="n">
        <v>0.865</v>
      </c>
      <c r="AC7" s="0" t="n">
        <v>0.889</v>
      </c>
      <c r="AD7" s="0" t="n">
        <v>0.913</v>
      </c>
      <c r="AE7" s="0" t="n">
        <v>0.909</v>
      </c>
      <c r="AF7" s="0" t="n">
        <v>0.894</v>
      </c>
      <c r="AG7" s="0" t="n">
        <v>0.905</v>
      </c>
      <c r="AH7" s="0" t="n">
        <v>0.919</v>
      </c>
      <c r="AI7" s="0" t="n">
        <v>0.945</v>
      </c>
      <c r="AJ7" s="0" t="n">
        <v>0.938</v>
      </c>
    </row>
    <row r="8" customFormat="false" ht="17.35" hidden="false" customHeight="false" outlineLevel="0" collapsed="false">
      <c r="A8" s="308" t="s">
        <v>161</v>
      </c>
      <c r="B8" s="309"/>
      <c r="C8" s="310"/>
      <c r="D8" s="314" t="str">
        <f aca="false">IFERROR(VLOOKUP(B8,'[1]detailed model'!$a$6:$C$92,3,FALSE()),"NOT CODED/ERROR")</f>
        <v>NOT CODED/ERROR</v>
      </c>
      <c r="E8" s="311"/>
      <c r="F8" s="312" t="e">
        <f aca="false">VLOOKUP(B8,'[1]detailed model'!a10:C91,3,FALSE())</f>
        <v>#NAME?</v>
      </c>
    </row>
    <row r="9" customFormat="false" ht="17.35" hidden="false" customHeight="false" outlineLevel="0" collapsed="false">
      <c r="A9" s="308" t="s">
        <v>161</v>
      </c>
      <c r="B9" s="309"/>
      <c r="C9" s="310"/>
      <c r="D9" s="314" t="str">
        <f aca="false">IFERROR(VLOOKUP(B9,'[1]detailed model'!$a$6:$C$92,3,FALSE()),"NOT CODED/ERROR")</f>
        <v>NOT CODED/ERROR</v>
      </c>
      <c r="E9" s="311"/>
      <c r="F9" s="312" t="e">
        <f aca="false">VLOOKUP(B9,'[1]detailed model'!a11:C92,3,FALSE())</f>
        <v>#NAME?</v>
      </c>
      <c r="G9" s="0" t="s">
        <v>166</v>
      </c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0" t="n">
        <v>75.33</v>
      </c>
      <c r="Z9" s="0" t="n">
        <v>70.29</v>
      </c>
      <c r="AA9" s="0" t="n">
        <v>72.8</v>
      </c>
      <c r="AB9" s="0" t="n">
        <v>72.4</v>
      </c>
      <c r="AC9" s="0" t="n">
        <v>74.77</v>
      </c>
      <c r="AD9" s="0" t="n">
        <v>76.06</v>
      </c>
      <c r="AE9" s="0" t="n">
        <v>75.71</v>
      </c>
      <c r="AF9" s="0" t="n">
        <v>74.55</v>
      </c>
      <c r="AG9" s="0" t="n">
        <v>75.65</v>
      </c>
      <c r="AH9" s="0" t="n">
        <v>77.06</v>
      </c>
      <c r="AI9" s="0" t="n">
        <v>79.1</v>
      </c>
      <c r="AJ9" s="0" t="n">
        <v>79.06</v>
      </c>
    </row>
    <row r="10" customFormat="false" ht="17.35" hidden="false" customHeight="false" outlineLevel="0" collapsed="false">
      <c r="A10" s="308" t="s">
        <v>161</v>
      </c>
      <c r="B10" s="309" t="n">
        <v>102</v>
      </c>
      <c r="C10" s="310"/>
      <c r="D10" s="314" t="str">
        <f aca="false">IFERROR(VLOOKUP(B10,'[1]detailed model'!$a$6:$C$92,3,FALSE()),"NOT CODED/ERROR")</f>
        <v>Private Pay</v>
      </c>
      <c r="E10" s="311"/>
      <c r="F10" s="312" t="str">
        <f aca="false">VLOOKUP(B10,'[1]detailed model'!a12:C92,3,FALSE())</f>
        <v>Private Pay</v>
      </c>
      <c r="G10" s="0" t="s">
        <v>167</v>
      </c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0" t="n">
        <v>100</v>
      </c>
      <c r="Z10" s="0" t="n">
        <v>100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  <c r="AF10" s="0" t="n">
        <v>100</v>
      </c>
      <c r="AG10" s="0" t="n">
        <v>100</v>
      </c>
      <c r="AH10" s="0" t="n">
        <v>100</v>
      </c>
      <c r="AI10" s="0" t="n">
        <v>100</v>
      </c>
      <c r="AJ10" s="0" t="n">
        <v>100</v>
      </c>
    </row>
    <row r="11" customFormat="false" ht="17.35" hidden="false" customHeight="false" outlineLevel="0" collapsed="false">
      <c r="A11" s="308" t="s">
        <v>161</v>
      </c>
      <c r="B11" s="309"/>
      <c r="C11" s="310"/>
      <c r="D11" s="314" t="str">
        <f aca="false">IFERROR(VLOOKUP(B11,'[1]detailed model'!$a$6:$C$92,3,FALSE()),"NOT CODED/ERROR")</f>
        <v>NOT CODED/ERROR</v>
      </c>
      <c r="E11" s="311"/>
      <c r="F11" s="312" t="e">
        <f aca="false">VLOOKUP(B11,'[1]detailed model'!a13:C92,3,FALSE())</f>
        <v>#NAME?</v>
      </c>
    </row>
    <row r="12" customFormat="false" ht="17.35" hidden="false" customHeight="false" outlineLevel="0" collapsed="false">
      <c r="A12" s="308" t="s">
        <v>161</v>
      </c>
      <c r="B12" s="309"/>
      <c r="C12" s="310"/>
      <c r="D12" s="314" t="str">
        <f aca="false">IFERROR(VLOOKUP(B12,'[1]detailed model'!$a$6:$C$92,3,FALSE()),"NOT CODED/ERROR")</f>
        <v>NOT CODED/ERROR</v>
      </c>
      <c r="E12" s="311"/>
      <c r="F12" s="312" t="e">
        <f aca="false">VLOOKUP(B12,'[1]detailed model'!a14:C93,3,FALSE())</f>
        <v>#NAME?</v>
      </c>
    </row>
    <row r="13" customFormat="false" ht="17.35" hidden="false" customHeight="false" outlineLevel="0" collapsed="false">
      <c r="A13" s="308" t="s">
        <v>161</v>
      </c>
      <c r="B13" s="309"/>
      <c r="C13" s="310"/>
      <c r="D13" s="314" t="str">
        <f aca="false">IFERROR(VLOOKUP(B13,'[1]detailed model'!$a$6:$C$92,3,FALSE()),"NOT CODED/ERROR")</f>
        <v>NOT CODED/ERROR</v>
      </c>
      <c r="E13" s="311"/>
      <c r="F13" s="312" t="e">
        <f aca="false">VLOOKUP(B13,'[1]detailed model'!a15:C94,3,FALSE())</f>
        <v>#NAME?</v>
      </c>
    </row>
    <row r="14" customFormat="false" ht="17.35" hidden="false" customHeight="false" outlineLevel="0" collapsed="false">
      <c r="A14" s="308" t="s">
        <v>161</v>
      </c>
      <c r="B14" s="309"/>
      <c r="C14" s="310"/>
      <c r="D14" s="314" t="str">
        <f aca="false">IFERROR(VLOOKUP(B14,'[1]detailed model'!$a$6:$C$92,3,FALSE()),"NOT CODED/ERROR")</f>
        <v>NOT CODED/ERROR</v>
      </c>
      <c r="E14" s="311"/>
      <c r="F14" s="312" t="e">
        <f aca="false">VLOOKUP(B14,'[1]detailed model'!a16:C95,3,FALSE())</f>
        <v>#NAME?</v>
      </c>
    </row>
    <row r="15" customFormat="false" ht="17.35" hidden="false" customHeight="false" outlineLevel="0" collapsed="false">
      <c r="A15" s="308" t="s">
        <v>161</v>
      </c>
      <c r="B15" s="309"/>
      <c r="C15" s="310"/>
      <c r="D15" s="314" t="str">
        <f aca="false">IFERROR(VLOOKUP(B15,'[1]detailed model'!$a$6:$C$92,3,FALSE()),"NOT CODED/ERROR")</f>
        <v>NOT CODED/ERROR</v>
      </c>
      <c r="E15" s="311"/>
      <c r="F15" s="312" t="e">
        <f aca="false">VLOOKUP(B15,'[1]detailed model'!a17:C96,3,FALSE())</f>
        <v>#NAME?</v>
      </c>
    </row>
    <row r="16" customFormat="false" ht="17.35" hidden="false" customHeight="false" outlineLevel="0" collapsed="false">
      <c r="A16" s="308" t="s">
        <v>161</v>
      </c>
      <c r="B16" s="309"/>
      <c r="C16" s="310"/>
      <c r="D16" s="314" t="str">
        <f aca="false">IFERROR(VLOOKUP(B16,'[1]detailed model'!$a$6:$C$92,3,FALSE()),"NOT CODED/ERROR")</f>
        <v>NOT CODED/ERROR</v>
      </c>
      <c r="E16" s="311"/>
      <c r="F16" s="312" t="e">
        <f aca="false">VLOOKUP(B16,'[1]detailed model'!a18:C97,3,FALSE())</f>
        <v>#NAME?</v>
      </c>
    </row>
    <row r="17" customFormat="false" ht="17.35" hidden="false" customHeight="false" outlineLevel="0" collapsed="false">
      <c r="A17" s="308" t="s">
        <v>161</v>
      </c>
      <c r="B17" s="309"/>
      <c r="C17" s="310"/>
      <c r="D17" s="314" t="str">
        <f aca="false">IFERROR(VLOOKUP(B17,'[1]detailed model'!$a$6:$C$92,3,FALSE()),"NOT CODED/ERROR")</f>
        <v>NOT CODED/ERROR</v>
      </c>
      <c r="E17" s="311"/>
      <c r="F17" s="312" t="e">
        <f aca="false">VLOOKUP(B17,'[1]detailed model'!a19:C98,3,FALSE())</f>
        <v>#NAME?</v>
      </c>
    </row>
    <row r="18" customFormat="false" ht="17.35" hidden="false" customHeight="false" outlineLevel="0" collapsed="false">
      <c r="A18" s="308" t="s">
        <v>161</v>
      </c>
      <c r="B18" s="309"/>
      <c r="C18" s="310"/>
      <c r="D18" s="314" t="str">
        <f aca="false">IFERROR(VLOOKUP(B18,'[1]detailed model'!$a$6:$C$92,3,FALSE()),"NOT CODED/ERROR")</f>
        <v>NOT CODED/ERROR</v>
      </c>
      <c r="E18" s="311"/>
      <c r="F18" s="312" t="e">
        <f aca="false">VLOOKUP(B18,'[1]detailed model'!a20:C99,3,FALSE())</f>
        <v>#NAME?</v>
      </c>
    </row>
    <row r="19" customFormat="false" ht="17.35" hidden="false" customHeight="false" outlineLevel="0" collapsed="false">
      <c r="A19" s="308" t="s">
        <v>161</v>
      </c>
      <c r="B19" s="309"/>
      <c r="C19" s="310"/>
      <c r="D19" s="314" t="str">
        <f aca="false">IFERROR(VLOOKUP(B19,'[1]detailed model'!$a$6:$C$92,3,FALSE()),"NOT CODED/ERROR")</f>
        <v>NOT CODED/ERROR</v>
      </c>
      <c r="E19" s="311"/>
      <c r="F19" s="312" t="e">
        <f aca="false">VLOOKUP(B19,'[1]detailed model'!a21:C100,3,FALSE())</f>
        <v>#NAME?</v>
      </c>
    </row>
    <row r="20" customFormat="false" ht="17.35" hidden="false" customHeight="false" outlineLevel="0" collapsed="false">
      <c r="A20" s="308" t="s">
        <v>161</v>
      </c>
      <c r="B20" s="309"/>
      <c r="C20" s="310"/>
      <c r="D20" s="314" t="str">
        <f aca="false">IFERROR(VLOOKUP(B20,'[1]detailed model'!$a$6:$C$92,3,FALSE()),"NOT CODED/ERROR")</f>
        <v>NOT CODED/ERROR</v>
      </c>
      <c r="E20" s="316"/>
      <c r="F20" s="312" t="e">
        <f aca="false">VLOOKUP(B20,'[1]detailed model'!a22:C101,3,FALSE())</f>
        <v>#NAME?</v>
      </c>
    </row>
    <row r="21" customFormat="false" ht="17.35" hidden="false" customHeight="false" outlineLevel="0" collapsed="false">
      <c r="A21" s="308"/>
      <c r="B21" s="309"/>
      <c r="C21" s="310"/>
      <c r="D21" s="314"/>
      <c r="E21" s="316"/>
      <c r="F21" s="312"/>
    </row>
    <row r="22" customFormat="false" ht="17.35" hidden="false" customHeight="false" outlineLevel="0" collapsed="false">
      <c r="A22" s="308"/>
      <c r="B22" s="309"/>
      <c r="C22" s="310"/>
      <c r="D22" s="314"/>
      <c r="E22" s="316"/>
      <c r="F22" s="312"/>
    </row>
    <row r="23" customFormat="false" ht="17.35" hidden="false" customHeight="false" outlineLevel="0" collapsed="false">
      <c r="A23" s="317"/>
      <c r="B23" s="309"/>
      <c r="C23" s="318"/>
      <c r="D23" s="314"/>
      <c r="E23" s="316"/>
      <c r="F23" s="312" t="e">
        <f aca="false">VLOOKUP(B23,'[1]detailed model'!a23:C102,3,FALSE())</f>
        <v>#NAME?</v>
      </c>
    </row>
    <row r="24" customFormat="false" ht="17.35" hidden="false" customHeight="false" outlineLevel="0" collapsed="false">
      <c r="A24" s="317"/>
      <c r="B24" s="309"/>
      <c r="C24" s="310"/>
      <c r="D24" s="314"/>
      <c r="E24" s="316"/>
      <c r="F24" s="312" t="e">
        <f aca="false">VLOOKUP(B24,'[1]detailed model'!a24:C103,3,FALSE())</f>
        <v>#NAME?</v>
      </c>
      <c r="G24" s="313" t="s">
        <v>168</v>
      </c>
    </row>
    <row r="25" customFormat="false" ht="17.35" hidden="false" customHeight="false" outlineLevel="0" collapsed="false">
      <c r="A25" s="317" t="s">
        <v>168</v>
      </c>
      <c r="B25" s="309"/>
      <c r="C25" s="310"/>
      <c r="D25" s="314" t="str">
        <f aca="false">IFERROR(VLOOKUP(B25,'[1]detailed model'!$a$6:$C$92,3,FALSE()),"NOT CODED/ERROR")</f>
        <v>NOT CODED/ERROR</v>
      </c>
      <c r="E25" s="316"/>
      <c r="F25" s="312" t="e">
        <f aca="false">VLOOKUP(B25,'[1]detailed model'!a25:C104,3,FALSE())</f>
        <v>#NAME?</v>
      </c>
    </row>
    <row r="26" customFormat="false" ht="17.35" hidden="false" customHeight="false" outlineLevel="0" collapsed="false">
      <c r="A26" s="317" t="str">
        <f aca="false">IFERROR(TRIM(VLOOKUP(UPPER(D24),table_lookups,2,FALSE())),IF(ROW()&gt;2,A25,""))</f>
        <v>REVENUE</v>
      </c>
      <c r="B26" s="309" t="n">
        <v>202</v>
      </c>
      <c r="C26" s="310"/>
      <c r="D26" s="314" t="str">
        <f aca="false">IFERROR(VLOOKUP(B26,'[1]detailed model'!$a$6:$C$92,3,FALSE()),"NOT CODED/ERROR")</f>
        <v>Private Pay</v>
      </c>
      <c r="E26" s="316"/>
      <c r="F26" s="312" t="str">
        <f aca="false">VLOOKUP(B26,'[1]detailed model'!a26:C105,3,FALSE())</f>
        <v>Private Pay</v>
      </c>
      <c r="G26" s="0" t="s">
        <v>169</v>
      </c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9" t="n">
        <v>168650.68</v>
      </c>
      <c r="Z26" s="319" t="n">
        <v>164687.18</v>
      </c>
      <c r="AA26" s="319" t="n">
        <v>178169.44</v>
      </c>
      <c r="AB26" s="319" t="n">
        <v>180106.56</v>
      </c>
      <c r="AC26" s="319" t="n">
        <v>182943.09</v>
      </c>
      <c r="AD26" s="319" t="n">
        <v>189442.48</v>
      </c>
      <c r="AE26" s="319" t="n">
        <v>190036.16</v>
      </c>
      <c r="AF26" s="319" t="n">
        <v>185718.09</v>
      </c>
      <c r="AG26" s="319" t="n">
        <v>187842.26</v>
      </c>
      <c r="AH26" s="319" t="n">
        <v>193014.25</v>
      </c>
      <c r="AI26" s="319" t="n">
        <v>200524.72</v>
      </c>
      <c r="AJ26" s="319" t="n">
        <v>192277.25</v>
      </c>
    </row>
    <row r="27" customFormat="false" ht="17.35" hidden="false" customHeight="false" outlineLevel="0" collapsed="false">
      <c r="A27" s="317" t="str">
        <f aca="false">IFERROR(TRIM(VLOOKUP(UPPER(D25),table_lookups,2,FALSE())),IF(ROW()&gt;2,A26,""))</f>
        <v>REVENUE</v>
      </c>
      <c r="B27" s="309"/>
      <c r="C27" s="310"/>
      <c r="D27" s="314" t="str">
        <f aca="false">IFERROR(VLOOKUP(B27,'[1]detailed model'!$a$6:$C$92,3,FALSE()),"NOT CODED/ERROR")</f>
        <v>NOT CODED/ERROR</v>
      </c>
      <c r="E27" s="316"/>
      <c r="F27" s="312" t="e">
        <f aca="false">VLOOKUP(B27,'[1]detailed model'!a27:C106,3,FALSE())</f>
        <v>#NAME?</v>
      </c>
      <c r="G27" s="0" t="s">
        <v>170</v>
      </c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9" t="n">
        <v>168650.68</v>
      </c>
      <c r="Z27" s="319" t="n">
        <v>164687.18</v>
      </c>
      <c r="AA27" s="319" t="n">
        <v>178169.44</v>
      </c>
      <c r="AB27" s="319" t="n">
        <v>180106.56</v>
      </c>
      <c r="AC27" s="319" t="n">
        <v>182943.09</v>
      </c>
      <c r="AD27" s="319" t="n">
        <v>189442.48</v>
      </c>
      <c r="AE27" s="319" t="n">
        <v>190036.16</v>
      </c>
      <c r="AF27" s="319" t="n">
        <v>185718.09</v>
      </c>
      <c r="AG27" s="319" t="n">
        <v>187842.26</v>
      </c>
      <c r="AH27" s="319" t="n">
        <v>193014.25</v>
      </c>
      <c r="AI27" s="319" t="n">
        <v>200524.72</v>
      </c>
      <c r="AJ27" s="319" t="n">
        <v>192277.25</v>
      </c>
    </row>
    <row r="28" customFormat="false" ht="17.35" hidden="false" customHeight="false" outlineLevel="0" collapsed="false">
      <c r="A28" s="317" t="str">
        <f aca="false">IFERROR(TRIM(VLOOKUP(UPPER(D26),table_lookups,2,FALSE())),IF(ROW()&gt;2,A27,""))</f>
        <v>REVENUE</v>
      </c>
      <c r="B28" s="309"/>
      <c r="C28" s="310"/>
      <c r="D28" s="314" t="str">
        <f aca="false">IFERROR(VLOOKUP(B28,'[1]detailed model'!$a$6:$C$92,3,FALSE()),"NOT CODED/ERROR")</f>
        <v>NOT CODED/ERROR</v>
      </c>
      <c r="E28" s="316"/>
      <c r="F28" s="312" t="e">
        <f aca="false">VLOOKUP(B28,'[1]detailed model'!a28:C107,3,FALSE())</f>
        <v>#NAME?</v>
      </c>
      <c r="G28" s="0" t="s">
        <v>171</v>
      </c>
    </row>
    <row r="29" customFormat="false" ht="17.35" hidden="false" customHeight="false" outlineLevel="0" collapsed="false">
      <c r="A29" s="317" t="str">
        <f aca="false">IFERROR(TRIM(VLOOKUP(UPPER(D27),table_lookups,2,FALSE())),IF(ROW()&gt;2,A28,""))</f>
        <v>REVENUE</v>
      </c>
      <c r="B29" s="309" t="n">
        <v>204</v>
      </c>
      <c r="C29" s="310"/>
      <c r="D29" s="314" t="str">
        <f aca="false">IFERROR(VLOOKUP(B29,'[1]detailed model'!$a$6:$C$92,3,FALSE()),"NOT CODED/ERROR")</f>
        <v>Private Pay</v>
      </c>
      <c r="E29" s="316"/>
      <c r="F29" s="312" t="str">
        <f aca="false">VLOOKUP(B29,'[1]detailed model'!a29:C108,3,FALSE())</f>
        <v>Private Pay</v>
      </c>
      <c r="G29" s="0" t="s">
        <v>172</v>
      </c>
      <c r="H29" s="315"/>
      <c r="I29" s="315"/>
      <c r="J29" s="315"/>
      <c r="K29" s="315"/>
      <c r="L29" s="315"/>
      <c r="M29" s="315"/>
      <c r="N29" s="315"/>
      <c r="O29" s="315"/>
      <c r="P29" s="315"/>
      <c r="Q29" s="315"/>
      <c r="R29" s="315"/>
      <c r="S29" s="315"/>
      <c r="T29" s="315"/>
      <c r="U29" s="315"/>
      <c r="V29" s="315"/>
      <c r="W29" s="315"/>
      <c r="X29" s="315"/>
      <c r="Y29" s="319" t="n">
        <v>184595.96</v>
      </c>
      <c r="Z29" s="319" t="n">
        <v>184636.52</v>
      </c>
      <c r="AA29" s="319" t="n">
        <v>186109.37</v>
      </c>
      <c r="AB29" s="319" t="n">
        <v>178357.06</v>
      </c>
      <c r="AC29" s="319" t="n">
        <v>184025.8</v>
      </c>
      <c r="AD29" s="319" t="n">
        <v>183168.96</v>
      </c>
      <c r="AE29" s="319" t="n">
        <v>181745.72</v>
      </c>
      <c r="AF29" s="319" t="n">
        <v>180124.49</v>
      </c>
      <c r="AG29" s="319" t="n">
        <v>193637.16</v>
      </c>
      <c r="AH29" s="319" t="n">
        <v>180352.4</v>
      </c>
      <c r="AI29" s="319" t="n">
        <v>204322.61</v>
      </c>
      <c r="AJ29" s="319" t="n">
        <v>197692.8</v>
      </c>
    </row>
    <row r="30" customFormat="false" ht="17.35" hidden="false" customHeight="false" outlineLevel="0" collapsed="false">
      <c r="A30" s="317" t="str">
        <f aca="false">IFERROR(TRIM(VLOOKUP(UPPER(D28),table_lookups,2,FALSE())),IF(ROW()&gt;2,A29,""))</f>
        <v>REVENUE</v>
      </c>
      <c r="B30" s="309"/>
      <c r="C30" s="310"/>
      <c r="D30" s="314" t="str">
        <f aca="false">IFERROR(VLOOKUP(B30,'[1]detailed model'!$a$6:$C$92,3,FALSE()),"NOT CODED/ERROR")</f>
        <v>NOT CODED/ERROR</v>
      </c>
      <c r="E30" s="316"/>
      <c r="F30" s="312" t="e">
        <f aca="false">VLOOKUP(B30,'[1]detailed model'!a30:C109,3,FALSE())</f>
        <v>#NAME?</v>
      </c>
      <c r="G30" s="0" t="s">
        <v>173</v>
      </c>
      <c r="H30" s="315"/>
      <c r="I30" s="315"/>
      <c r="J30" s="315"/>
      <c r="K30" s="315"/>
      <c r="L30" s="315"/>
      <c r="M30" s="315"/>
      <c r="N30" s="315"/>
      <c r="O30" s="315"/>
      <c r="P30" s="315"/>
      <c r="Q30" s="315"/>
      <c r="R30" s="315"/>
      <c r="S30" s="315"/>
      <c r="T30" s="315"/>
      <c r="U30" s="315"/>
      <c r="V30" s="315"/>
      <c r="W30" s="315"/>
      <c r="X30" s="315"/>
      <c r="Y30" s="319" t="n">
        <v>184595.96</v>
      </c>
      <c r="Z30" s="319" t="n">
        <v>184636.52</v>
      </c>
      <c r="AA30" s="319" t="n">
        <v>186109.37</v>
      </c>
      <c r="AB30" s="319" t="n">
        <v>178357.06</v>
      </c>
      <c r="AC30" s="319" t="n">
        <v>184025.8</v>
      </c>
      <c r="AD30" s="319" t="n">
        <v>183168.96</v>
      </c>
      <c r="AE30" s="319" t="n">
        <v>181745.72</v>
      </c>
      <c r="AF30" s="319" t="n">
        <v>180124.49</v>
      </c>
      <c r="AG30" s="319" t="n">
        <v>193637.16</v>
      </c>
      <c r="AH30" s="319" t="n">
        <v>180352.4</v>
      </c>
      <c r="AI30" s="319" t="n">
        <v>204322.61</v>
      </c>
      <c r="AJ30" s="319" t="n">
        <v>197692.8</v>
      </c>
    </row>
    <row r="31" customFormat="false" ht="17.35" hidden="false" customHeight="false" outlineLevel="0" collapsed="false">
      <c r="A31" s="317" t="str">
        <f aca="false">IFERROR(TRIM(VLOOKUP(UPPER(D29),table_lookups,2,FALSE())),IF(ROW()&gt;2,A30,""))</f>
        <v>REVENUE</v>
      </c>
      <c r="B31" s="309"/>
      <c r="C31" s="310"/>
      <c r="D31" s="314" t="str">
        <f aca="false">IFERROR(VLOOKUP(B31,'[1]detailed model'!$a$6:$C$92,3,FALSE()),"NOT CODED/ERROR")</f>
        <v>NOT CODED/ERROR</v>
      </c>
      <c r="E31" s="316"/>
      <c r="F31" s="312" t="e">
        <f aca="false">VLOOKUP(B31,'[1]detailed model'!a31:C109,3,FALSE())</f>
        <v>#NAME?</v>
      </c>
      <c r="G31" s="0" t="s">
        <v>171</v>
      </c>
    </row>
    <row r="32" customFormat="false" ht="17.35" hidden="false" customHeight="false" outlineLevel="0" collapsed="false">
      <c r="A32" s="317" t="str">
        <f aca="false">IFERROR(TRIM(VLOOKUP(UPPER(D30),table_lookups,2,FALSE())),IF(ROW()&gt;2,A31,""))</f>
        <v>REVENUE</v>
      </c>
      <c r="B32" s="309"/>
      <c r="C32" s="310"/>
      <c r="D32" s="314" t="str">
        <f aca="false">IFERROR(VLOOKUP(B32,'[1]detailed model'!$a$6:$C$92,3,FALSE()),"NOT CODED/ERROR")</f>
        <v>NOT CODED/ERROR</v>
      </c>
      <c r="E32" s="316"/>
      <c r="F32" s="312" t="e">
        <f aca="false">VLOOKUP(B32,'[1]detailed model'!a32:C109,3,FALSE())</f>
        <v>#NAME?</v>
      </c>
      <c r="G32" s="0" t="s">
        <v>174</v>
      </c>
      <c r="H32" s="315"/>
      <c r="I32" s="315"/>
      <c r="J32" s="315"/>
      <c r="K32" s="315"/>
      <c r="L32" s="315"/>
      <c r="M32" s="315"/>
      <c r="N32" s="315"/>
      <c r="O32" s="315"/>
      <c r="P32" s="315"/>
      <c r="Q32" s="315"/>
      <c r="R32" s="315"/>
      <c r="S32" s="315"/>
      <c r="T32" s="315"/>
      <c r="U32" s="315"/>
      <c r="V32" s="315"/>
      <c r="W32" s="315"/>
      <c r="X32" s="315"/>
      <c r="Y32" s="319" t="n">
        <v>353246.64</v>
      </c>
      <c r="Z32" s="319" t="n">
        <v>349323.7</v>
      </c>
      <c r="AA32" s="319" t="n">
        <v>364278.81</v>
      </c>
      <c r="AB32" s="319" t="n">
        <v>358463.62</v>
      </c>
      <c r="AC32" s="319" t="n">
        <v>366968.89</v>
      </c>
      <c r="AD32" s="319" t="n">
        <v>372611.44</v>
      </c>
      <c r="AE32" s="319" t="n">
        <v>371781.88</v>
      </c>
      <c r="AF32" s="319" t="n">
        <v>365842.58</v>
      </c>
      <c r="AG32" s="319" t="n">
        <v>381479.42</v>
      </c>
      <c r="AH32" s="319" t="n">
        <v>373366.65</v>
      </c>
      <c r="AI32" s="319" t="n">
        <v>404847.33</v>
      </c>
      <c r="AJ32" s="319" t="n">
        <v>389970.05</v>
      </c>
    </row>
    <row r="33" customFormat="false" ht="17.35" hidden="false" customHeight="false" outlineLevel="0" collapsed="false">
      <c r="A33" s="317" t="str">
        <f aca="false">IFERROR(TRIM(VLOOKUP(UPPER(D31),table_lookups,2,FALSE())),IF(ROW()&gt;2,A32,""))</f>
        <v>REVENUE</v>
      </c>
      <c r="B33" s="309"/>
      <c r="C33" s="318"/>
      <c r="D33" s="314" t="str">
        <f aca="false">IFERROR(VLOOKUP(B33,'[1]detailed model'!$a$6:$C$92,3,FALSE()),"NOT CODED/ERROR")</f>
        <v>NOT CODED/ERROR</v>
      </c>
      <c r="E33" s="316"/>
      <c r="F33" s="312" t="e">
        <f aca="false">VLOOKUP(B33,'[1]detailed model'!a33:C109,3,FALSE())</f>
        <v>#NAME?</v>
      </c>
      <c r="G33" s="0" t="s">
        <v>171</v>
      </c>
    </row>
    <row r="34" customFormat="false" ht="17.35" hidden="false" customHeight="false" outlineLevel="0" collapsed="false">
      <c r="A34" s="317" t="str">
        <f aca="false">IFERROR(TRIM(VLOOKUP(UPPER(D32),table_lookups,2,FALSE())),IF(ROW()&gt;2,A33,""))</f>
        <v>REVENUE</v>
      </c>
      <c r="B34" s="309"/>
      <c r="C34" s="310"/>
      <c r="D34" s="314" t="str">
        <f aca="false">IFERROR(VLOOKUP(B34,'[1]detailed model'!$a$6:$C$92,3,FALSE()),"NOT CODED/ERROR")</f>
        <v>NOT CODED/ERROR</v>
      </c>
      <c r="E34" s="316"/>
      <c r="F34" s="312" t="e">
        <f aca="false">VLOOKUP(B34,'[1]detailed model'!a34:C109,3,FALSE())</f>
        <v>#NAME?</v>
      </c>
      <c r="G34" s="0" t="s">
        <v>175</v>
      </c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15"/>
      <c r="Y34" s="0" t="s">
        <v>176</v>
      </c>
      <c r="Z34" s="0" t="s">
        <v>176</v>
      </c>
      <c r="AA34" s="0" t="s">
        <v>176</v>
      </c>
      <c r="AB34" s="0" t="s">
        <v>176</v>
      </c>
      <c r="AC34" s="0" t="s">
        <v>176</v>
      </c>
      <c r="AD34" s="0" t="s">
        <v>176</v>
      </c>
      <c r="AE34" s="0" t="s">
        <v>176</v>
      </c>
      <c r="AF34" s="0" t="s">
        <v>176</v>
      </c>
      <c r="AG34" s="0" t="s">
        <v>176</v>
      </c>
      <c r="AH34" s="0" t="s">
        <v>176</v>
      </c>
      <c r="AI34" s="0" t="s">
        <v>176</v>
      </c>
      <c r="AJ34" s="0" t="s">
        <v>176</v>
      </c>
    </row>
    <row r="35" customFormat="false" ht="17.35" hidden="false" customHeight="false" outlineLevel="0" collapsed="false">
      <c r="A35" s="317" t="str">
        <f aca="false">IFERROR(TRIM(VLOOKUP(UPPER(D33),table_lookups,2,FALSE())),IF(ROW()&gt;2,A34,""))</f>
        <v>REVENUE</v>
      </c>
      <c r="B35" s="309" t="n">
        <v>210</v>
      </c>
      <c r="C35" s="310"/>
      <c r="D35" s="314" t="str">
        <f aca="false">IFERROR(VLOOKUP(B35,'[1]detailed model'!$a$6:$C$92,3,FALSE()),"NOT CODED/ERROR")</f>
        <v>Levels of Care - Assisted Living</v>
      </c>
      <c r="E35" s="316"/>
      <c r="F35" s="312" t="str">
        <f aca="false">VLOOKUP(B35,'[1]detailed model'!a35:C109,3,FALSE())</f>
        <v>Levels of Care - Assisted Living</v>
      </c>
      <c r="G35" s="0" t="s">
        <v>177</v>
      </c>
      <c r="H35" s="315"/>
      <c r="I35" s="315"/>
      <c r="J35" s="315"/>
      <c r="K35" s="315"/>
      <c r="L35" s="315"/>
      <c r="M35" s="315"/>
      <c r="N35" s="315"/>
      <c r="O35" s="315"/>
      <c r="P35" s="315"/>
      <c r="Q35" s="315"/>
      <c r="R35" s="315"/>
      <c r="S35" s="315"/>
      <c r="T35" s="315"/>
      <c r="U35" s="315"/>
      <c r="V35" s="315"/>
      <c r="W35" s="315"/>
      <c r="X35" s="315"/>
      <c r="Y35" s="319" t="n">
        <v>144379.51</v>
      </c>
      <c r="Z35" s="319" t="n">
        <v>39946.34</v>
      </c>
      <c r="AA35" s="319" t="n">
        <v>77453.61</v>
      </c>
      <c r="AB35" s="319" t="n">
        <v>79055.37</v>
      </c>
      <c r="AC35" s="319" t="n">
        <v>74248.11</v>
      </c>
      <c r="AD35" s="319" t="n">
        <v>79361.08</v>
      </c>
      <c r="AE35" s="319" t="n">
        <v>72123.98</v>
      </c>
      <c r="AF35" s="319" t="n">
        <v>74334.54</v>
      </c>
      <c r="AG35" s="319" t="n">
        <v>62914.88</v>
      </c>
      <c r="AH35" s="319" t="n">
        <v>63146.93</v>
      </c>
      <c r="AI35" s="319" t="n">
        <v>67047.4</v>
      </c>
      <c r="AJ35" s="319" t="n">
        <v>52223.39</v>
      </c>
    </row>
    <row r="36" customFormat="false" ht="17.35" hidden="false" customHeight="false" outlineLevel="0" collapsed="false">
      <c r="A36" s="317" t="str">
        <f aca="false">IFERROR(TRIM(VLOOKUP(UPPER(D34),table_lookups,2,FALSE())),IF(ROW()&gt;2,A35,""))</f>
        <v>REVENUE</v>
      </c>
      <c r="B36" s="309"/>
      <c r="C36" s="310"/>
      <c r="D36" s="314" t="str">
        <f aca="false">IFERROR(VLOOKUP(B36,'[1]detailed model'!$a$6:$C$92,3,FALSE()),"NOT CODED/ERROR")</f>
        <v>NOT CODED/ERROR</v>
      </c>
      <c r="E36" s="316"/>
      <c r="F36" s="312" t="e">
        <f aca="false">VLOOKUP(B36,'[1]detailed model'!a36:C109,3,FALSE())</f>
        <v>#NAME?</v>
      </c>
      <c r="G36" s="0" t="s">
        <v>178</v>
      </c>
      <c r="H36" s="315"/>
      <c r="I36" s="315"/>
      <c r="J36" s="315"/>
      <c r="K36" s="315"/>
      <c r="L36" s="315"/>
      <c r="M36" s="315"/>
      <c r="N36" s="315"/>
      <c r="O36" s="315"/>
      <c r="P36" s="315"/>
      <c r="Q36" s="315"/>
      <c r="R36" s="315"/>
      <c r="S36" s="315"/>
      <c r="T36" s="315"/>
      <c r="U36" s="315"/>
      <c r="V36" s="315"/>
      <c r="W36" s="315"/>
      <c r="X36" s="315"/>
      <c r="Y36" s="319" t="n">
        <v>144379.51</v>
      </c>
      <c r="Z36" s="319" t="n">
        <v>39946.34</v>
      </c>
      <c r="AA36" s="319" t="n">
        <v>77453.61</v>
      </c>
      <c r="AB36" s="319" t="n">
        <v>79055.37</v>
      </c>
      <c r="AC36" s="319" t="n">
        <v>74248.11</v>
      </c>
      <c r="AD36" s="319" t="n">
        <v>79361.08</v>
      </c>
      <c r="AE36" s="319" t="n">
        <v>72123.98</v>
      </c>
      <c r="AF36" s="319" t="n">
        <v>74334.54</v>
      </c>
      <c r="AG36" s="319" t="n">
        <v>62914.88</v>
      </c>
      <c r="AH36" s="319" t="n">
        <v>63146.93</v>
      </c>
      <c r="AI36" s="319" t="n">
        <v>67047.4</v>
      </c>
      <c r="AJ36" s="319" t="n">
        <v>52223.39</v>
      </c>
    </row>
    <row r="37" customFormat="false" ht="17.35" hidden="false" customHeight="false" outlineLevel="0" collapsed="false">
      <c r="A37" s="317" t="str">
        <f aca="false">IFERROR(TRIM(VLOOKUP(UPPER(D35),table_lookups,2,FALSE())),IF(ROW()&gt;2,A36,""))</f>
        <v>REVENUE</v>
      </c>
      <c r="B37" s="309"/>
      <c r="C37" s="310"/>
      <c r="D37" s="314" t="str">
        <f aca="false">IFERROR(VLOOKUP(B37,'[1]detailed model'!$a$6:$C$92,3,FALSE()),"NOT CODED/ERROR")</f>
        <v>NOT CODED/ERROR</v>
      </c>
      <c r="E37" s="316"/>
      <c r="F37" s="312" t="e">
        <f aca="false">VLOOKUP(B37,'[1]detailed model'!a37:C109,3,FALSE())</f>
        <v>#NAME?</v>
      </c>
      <c r="G37" s="0" t="s">
        <v>171</v>
      </c>
    </row>
    <row r="38" customFormat="false" ht="17.35" hidden="false" customHeight="false" outlineLevel="0" collapsed="false">
      <c r="A38" s="317" t="str">
        <f aca="false">IFERROR(TRIM(VLOOKUP(UPPER(D36),table_lookups,2,FALSE())),IF(ROW()&gt;2,A37,""))</f>
        <v>REVENUE</v>
      </c>
      <c r="B38" s="309"/>
      <c r="C38" s="310"/>
      <c r="D38" s="314" t="str">
        <f aca="false">IFERROR(VLOOKUP(B38,'[1]detailed model'!$a$6:$C$92,3,FALSE()),"NOT CODED/ERROR")</f>
        <v>NOT CODED/ERROR</v>
      </c>
      <c r="E38" s="316"/>
      <c r="F38" s="312" t="e">
        <f aca="false">VLOOKUP(B38,'[1]detailed model'!a38:C109,3,FALSE())</f>
        <v>#NAME?</v>
      </c>
      <c r="G38" s="0" t="s">
        <v>179</v>
      </c>
      <c r="H38" s="315"/>
      <c r="I38" s="315"/>
      <c r="J38" s="315"/>
      <c r="K38" s="315"/>
      <c r="L38" s="315"/>
      <c r="M38" s="315"/>
      <c r="N38" s="315"/>
      <c r="O38" s="315"/>
      <c r="P38" s="315"/>
      <c r="Q38" s="315"/>
      <c r="R38" s="315"/>
      <c r="S38" s="315"/>
      <c r="T38" s="315"/>
      <c r="U38" s="315"/>
      <c r="V38" s="315"/>
      <c r="W38" s="315"/>
      <c r="X38" s="315"/>
      <c r="Y38" s="0" t="s">
        <v>176</v>
      </c>
      <c r="Z38" s="0" t="s">
        <v>176</v>
      </c>
      <c r="AA38" s="0" t="s">
        <v>176</v>
      </c>
      <c r="AB38" s="0" t="s">
        <v>176</v>
      </c>
      <c r="AC38" s="0" t="s">
        <v>176</v>
      </c>
      <c r="AD38" s="0" t="s">
        <v>176</v>
      </c>
      <c r="AE38" s="0" t="s">
        <v>176</v>
      </c>
      <c r="AF38" s="0" t="s">
        <v>176</v>
      </c>
      <c r="AG38" s="0" t="s">
        <v>176</v>
      </c>
      <c r="AH38" s="0" t="s">
        <v>176</v>
      </c>
      <c r="AI38" s="0" t="s">
        <v>176</v>
      </c>
      <c r="AJ38" s="0" t="s">
        <v>176</v>
      </c>
    </row>
    <row r="39" customFormat="false" ht="17.35" hidden="false" customHeight="false" outlineLevel="0" collapsed="false">
      <c r="A39" s="317" t="str">
        <f aca="false">IFERROR(TRIM(VLOOKUP(UPPER(D37),table_lookups,2,FALSE())),IF(ROW()&gt;2,A38,""))</f>
        <v>REVENUE</v>
      </c>
      <c r="B39" s="309" t="n">
        <v>211</v>
      </c>
      <c r="C39" s="310"/>
      <c r="D39" s="314" t="str">
        <f aca="false">IFERROR(VLOOKUP(B39,'[1]detailed model'!$a$6:$C$92,3,FALSE()),"NOT CODED/ERROR")</f>
        <v>Levels of Care - Memory Care</v>
      </c>
      <c r="E39" s="316"/>
      <c r="F39" s="312" t="str">
        <f aca="false">VLOOKUP(B39,'[1]detailed model'!a41:C109,3,FALSE())</f>
        <v>Levels of Care - Memory Care</v>
      </c>
      <c r="G39" s="0" t="s">
        <v>180</v>
      </c>
      <c r="H39" s="315"/>
      <c r="I39" s="315"/>
      <c r="J39" s="315"/>
      <c r="K39" s="315"/>
      <c r="L39" s="315"/>
      <c r="M39" s="315"/>
      <c r="N39" s="315"/>
      <c r="O39" s="315"/>
      <c r="P39" s="315"/>
      <c r="Q39" s="315"/>
      <c r="R39" s="315"/>
      <c r="S39" s="315"/>
      <c r="T39" s="315"/>
      <c r="U39" s="315"/>
      <c r="V39" s="315"/>
      <c r="W39" s="315"/>
      <c r="X39" s="315"/>
      <c r="Y39" s="319" t="n">
        <v>102653.38</v>
      </c>
      <c r="Z39" s="319" t="n">
        <v>92432.5</v>
      </c>
      <c r="AA39" s="319" t="n">
        <v>102464.63</v>
      </c>
      <c r="AB39" s="319" t="n">
        <v>101234.35</v>
      </c>
      <c r="AC39" s="319" t="n">
        <v>102376.89</v>
      </c>
      <c r="AD39" s="319" t="n">
        <v>109082.24</v>
      </c>
      <c r="AE39" s="319" t="n">
        <v>109393.2</v>
      </c>
      <c r="AF39" s="319" t="n">
        <v>110800.81</v>
      </c>
      <c r="AG39" s="319" t="n">
        <v>121301.31</v>
      </c>
      <c r="AH39" s="319" t="n">
        <v>111979</v>
      </c>
      <c r="AI39" s="319" t="n">
        <v>125298.74</v>
      </c>
      <c r="AJ39" s="319" t="n">
        <v>125632.29</v>
      </c>
    </row>
    <row r="40" customFormat="false" ht="17.35" hidden="false" customHeight="false" outlineLevel="0" collapsed="false">
      <c r="A40" s="317" t="str">
        <f aca="false">IFERROR(TRIM(VLOOKUP(UPPER(D38),table_lookups,2,FALSE())),IF(ROW()&gt;2,A39,""))</f>
        <v>REVENUE</v>
      </c>
      <c r="B40" s="309"/>
      <c r="C40" s="310"/>
      <c r="D40" s="314" t="str">
        <f aca="false">IFERROR(VLOOKUP(B40,'[1]detailed model'!$a$6:$C$92,3,FALSE()),"NOT CODED/ERROR")</f>
        <v>NOT CODED/ERROR</v>
      </c>
      <c r="E40" s="316"/>
      <c r="F40" s="312" t="e">
        <f aca="false">VLOOKUP(B40,'[1]detailed model'!a42:C109,3,FALSE())</f>
        <v>#NAME?</v>
      </c>
      <c r="G40" s="0" t="s">
        <v>181</v>
      </c>
      <c r="H40" s="315"/>
      <c r="I40" s="315"/>
      <c r="J40" s="315"/>
      <c r="K40" s="315"/>
      <c r="L40" s="315"/>
      <c r="M40" s="315"/>
      <c r="N40" s="315"/>
      <c r="O40" s="315"/>
      <c r="P40" s="315"/>
      <c r="Q40" s="315"/>
      <c r="R40" s="315"/>
      <c r="S40" s="315"/>
      <c r="T40" s="315"/>
      <c r="U40" s="315"/>
      <c r="V40" s="315"/>
      <c r="W40" s="315"/>
      <c r="X40" s="315"/>
      <c r="Y40" s="319" t="n">
        <v>102653.38</v>
      </c>
      <c r="Z40" s="319" t="n">
        <v>92432.5</v>
      </c>
      <c r="AA40" s="319" t="n">
        <v>102464.63</v>
      </c>
      <c r="AB40" s="319" t="n">
        <v>101234.35</v>
      </c>
      <c r="AC40" s="319" t="n">
        <v>102376.89</v>
      </c>
      <c r="AD40" s="319" t="n">
        <v>109082.24</v>
      </c>
      <c r="AE40" s="319" t="n">
        <v>109393.2</v>
      </c>
      <c r="AF40" s="319" t="n">
        <v>110800.81</v>
      </c>
      <c r="AG40" s="319" t="n">
        <v>121301.31</v>
      </c>
      <c r="AH40" s="319" t="n">
        <v>111979</v>
      </c>
      <c r="AI40" s="319" t="n">
        <v>125298.74</v>
      </c>
      <c r="AJ40" s="319" t="n">
        <v>125632.29</v>
      </c>
    </row>
    <row r="41" customFormat="false" ht="17.35" hidden="false" customHeight="false" outlineLevel="0" collapsed="false">
      <c r="A41" s="317" t="str">
        <f aca="false">IFERROR(TRIM(VLOOKUP(UPPER(D39),table_lookups,2,FALSE())),IF(ROW()&gt;2,A40,""))</f>
        <v>REVENUE</v>
      </c>
      <c r="B41" s="309"/>
      <c r="C41" s="310"/>
      <c r="D41" s="314" t="str">
        <f aca="false">IFERROR(VLOOKUP(B41,'[1]detailed model'!$a$6:$C$92,3,FALSE()),"NOT CODED/ERROR")</f>
        <v>NOT CODED/ERROR</v>
      </c>
      <c r="E41" s="316"/>
      <c r="F41" s="312" t="e">
        <f aca="false">VLOOKUP(B41,'[1]detailed model'!a43:C109,3,FALSE())</f>
        <v>#NAME?</v>
      </c>
      <c r="G41" s="0" t="s">
        <v>171</v>
      </c>
    </row>
    <row r="42" customFormat="false" ht="17.35" hidden="false" customHeight="false" outlineLevel="0" collapsed="false">
      <c r="A42" s="317" t="str">
        <f aca="false">IFERROR(TRIM(VLOOKUP(UPPER(D40),table_lookups,2,FALSE())),IF(ROW()&gt;2,A41,""))</f>
        <v>REVENUE</v>
      </c>
      <c r="B42" s="309"/>
      <c r="C42" s="310"/>
      <c r="D42" s="314" t="str">
        <f aca="false">IFERROR(VLOOKUP(B42,'[1]detailed model'!$a$6:$C$92,3,FALSE()),"NOT CODED/ERROR")</f>
        <v>NOT CODED/ERROR</v>
      </c>
      <c r="E42" s="316"/>
      <c r="F42" s="312" t="e">
        <f aca="false">VLOOKUP(B42,'[1]detailed model'!a44:C109,3,FALSE())</f>
        <v>#NAME?</v>
      </c>
      <c r="G42" s="0" t="s">
        <v>182</v>
      </c>
      <c r="H42" s="315"/>
      <c r="I42" s="315"/>
      <c r="J42" s="315"/>
      <c r="K42" s="315"/>
      <c r="L42" s="315"/>
      <c r="M42" s="315"/>
      <c r="N42" s="315"/>
      <c r="O42" s="315"/>
      <c r="P42" s="315"/>
      <c r="Q42" s="315"/>
      <c r="R42" s="315"/>
      <c r="S42" s="315"/>
      <c r="T42" s="315"/>
      <c r="U42" s="315"/>
      <c r="V42" s="315"/>
      <c r="W42" s="315"/>
      <c r="X42" s="315"/>
      <c r="Y42" s="0" t="s">
        <v>176</v>
      </c>
      <c r="Z42" s="0" t="s">
        <v>176</v>
      </c>
      <c r="AA42" s="0" t="s">
        <v>176</v>
      </c>
      <c r="AB42" s="0" t="s">
        <v>176</v>
      </c>
      <c r="AC42" s="0" t="s">
        <v>176</v>
      </c>
      <c r="AD42" s="0" t="s">
        <v>176</v>
      </c>
      <c r="AE42" s="0" t="s">
        <v>176</v>
      </c>
      <c r="AF42" s="0" t="s">
        <v>176</v>
      </c>
      <c r="AG42" s="0" t="s">
        <v>176</v>
      </c>
      <c r="AH42" s="0" t="s">
        <v>176</v>
      </c>
      <c r="AI42" s="0" t="s">
        <v>176</v>
      </c>
      <c r="AJ42" s="0" t="s">
        <v>176</v>
      </c>
    </row>
    <row r="43" customFormat="false" ht="17.35" hidden="false" customHeight="false" outlineLevel="0" collapsed="false">
      <c r="A43" s="317" t="str">
        <f aca="false">IFERROR(TRIM(VLOOKUP(UPPER(D41),table_lookups,2,FALSE())),IF(ROW()&gt;2,A42,""))</f>
        <v>REVENUE</v>
      </c>
      <c r="B43" s="309" t="n">
        <v>220</v>
      </c>
      <c r="C43" s="310"/>
      <c r="D43" s="314" t="str">
        <f aca="false">IFERROR(VLOOKUP(B43,'[1]detailed model'!$a$6:$C$92,3,FALSE()),"NOT CODED/ERROR")</f>
        <v>Move-in/Community Fees</v>
      </c>
      <c r="E43" s="316"/>
      <c r="F43" s="312" t="str">
        <f aca="false">VLOOKUP(B43,'[1]detailed model'!a45:C109,3,FALSE())</f>
        <v>Move-in/Community Fees</v>
      </c>
      <c r="G43" s="0" t="s">
        <v>183</v>
      </c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9" t="n">
        <v>11000</v>
      </c>
      <c r="Z43" s="319" t="n">
        <v>37500</v>
      </c>
      <c r="AA43" s="319" t="n">
        <v>18000</v>
      </c>
      <c r="AB43" s="319" t="n">
        <v>36000</v>
      </c>
      <c r="AC43" s="319" t="n">
        <v>23200</v>
      </c>
      <c r="AD43" s="319" t="n">
        <v>18000</v>
      </c>
      <c r="AE43" s="319" t="n">
        <v>6000</v>
      </c>
      <c r="AF43" s="319" t="n">
        <v>18000</v>
      </c>
      <c r="AG43" s="319" t="n">
        <v>26000</v>
      </c>
      <c r="AH43" s="319" t="n">
        <v>36000</v>
      </c>
      <c r="AI43" s="319" t="n">
        <v>15500</v>
      </c>
      <c r="AJ43" s="319" t="n">
        <v>23000</v>
      </c>
    </row>
    <row r="44" customFormat="false" ht="17.35" hidden="false" customHeight="false" outlineLevel="0" collapsed="false">
      <c r="A44" s="317" t="str">
        <f aca="false">IFERROR(TRIM(VLOOKUP(UPPER(D42),table_lookups,2,FALSE())),IF(ROW()&gt;2,A43,""))</f>
        <v>REVENUE</v>
      </c>
      <c r="B44" s="309" t="n">
        <v>221</v>
      </c>
      <c r="C44" s="310"/>
      <c r="D44" s="314" t="str">
        <f aca="false">IFERROR(VLOOKUP(B44,'[1]detailed model'!$a$6:$C$92,3,FALSE()),"NOT CODED/ERROR")</f>
        <v>Miscellaneous</v>
      </c>
      <c r="E44" s="316"/>
      <c r="F44" s="312" t="str">
        <f aca="false">VLOOKUP(B44,'[1]detailed model'!a46:C109,3,FALSE())</f>
        <v>Miscellaneous</v>
      </c>
      <c r="G44" s="0" t="s">
        <v>184</v>
      </c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5"/>
      <c r="T44" s="315"/>
      <c r="U44" s="315"/>
      <c r="V44" s="315"/>
      <c r="W44" s="315"/>
      <c r="X44" s="315"/>
      <c r="Y44" s="319" t="n">
        <v>0</v>
      </c>
      <c r="Z44" s="319" t="n">
        <v>0</v>
      </c>
      <c r="AA44" s="319" t="n">
        <v>0</v>
      </c>
      <c r="AB44" s="319" t="n">
        <v>0</v>
      </c>
      <c r="AC44" s="319" t="n">
        <v>0</v>
      </c>
      <c r="AD44" s="319" t="n">
        <v>0</v>
      </c>
      <c r="AE44" s="319" t="n">
        <v>0</v>
      </c>
      <c r="AF44" s="319" t="n">
        <v>0</v>
      </c>
      <c r="AG44" s="319" t="n">
        <v>0</v>
      </c>
      <c r="AH44" s="319" t="n">
        <v>-11000</v>
      </c>
      <c r="AI44" s="319" t="n">
        <v>0</v>
      </c>
      <c r="AJ44" s="319" t="n">
        <v>0</v>
      </c>
    </row>
    <row r="45" customFormat="false" ht="17.35" hidden="false" customHeight="false" outlineLevel="0" collapsed="false">
      <c r="A45" s="317" t="str">
        <f aca="false">IFERROR(TRIM(VLOOKUP(UPPER(D43),table_lookups,2,FALSE())),IF(ROW()&gt;2,A44,""))</f>
        <v>REVENUE</v>
      </c>
      <c r="B45" s="309"/>
      <c r="C45" s="310"/>
      <c r="D45" s="314" t="str">
        <f aca="false">IFERROR(VLOOKUP(B45,'[1]detailed model'!$a$6:$C$92,3,FALSE()),"NOT CODED/ERROR")</f>
        <v>NOT CODED/ERROR</v>
      </c>
      <c r="E45" s="316"/>
      <c r="F45" s="312" t="e">
        <f aca="false">VLOOKUP(B45,'[1]detailed model'!a47:C109,3,FALSE())</f>
        <v>#NAME?</v>
      </c>
      <c r="G45" s="0" t="s">
        <v>185</v>
      </c>
      <c r="H45" s="315"/>
      <c r="I45" s="315"/>
      <c r="J45" s="315"/>
      <c r="K45" s="315"/>
      <c r="L45" s="315"/>
      <c r="M45" s="315"/>
      <c r="N45" s="315"/>
      <c r="O45" s="315"/>
      <c r="P45" s="315"/>
      <c r="Q45" s="315"/>
      <c r="R45" s="315"/>
      <c r="S45" s="315"/>
      <c r="T45" s="315"/>
      <c r="U45" s="315"/>
      <c r="V45" s="315"/>
      <c r="W45" s="315"/>
      <c r="X45" s="315"/>
      <c r="Y45" s="319" t="n">
        <v>11000</v>
      </c>
      <c r="Z45" s="319" t="n">
        <v>37500</v>
      </c>
      <c r="AA45" s="319" t="n">
        <v>18000</v>
      </c>
      <c r="AB45" s="319" t="n">
        <v>36000</v>
      </c>
      <c r="AC45" s="319" t="n">
        <v>23200</v>
      </c>
      <c r="AD45" s="319" t="n">
        <v>18000</v>
      </c>
      <c r="AE45" s="319" t="n">
        <v>6000</v>
      </c>
      <c r="AF45" s="319" t="n">
        <v>18000</v>
      </c>
      <c r="AG45" s="319" t="n">
        <v>26000</v>
      </c>
      <c r="AH45" s="319" t="n">
        <v>25000</v>
      </c>
      <c r="AI45" s="319" t="n">
        <v>15500</v>
      </c>
      <c r="AJ45" s="319" t="n">
        <v>23000</v>
      </c>
    </row>
    <row r="46" customFormat="false" ht="17.35" hidden="false" customHeight="false" outlineLevel="0" collapsed="false">
      <c r="A46" s="317" t="str">
        <f aca="false">IFERROR(TRIM(VLOOKUP(UPPER(D44),table_lookups,2,FALSE())),IF(ROW()&gt;2,A45,""))</f>
        <v>REVENUE</v>
      </c>
      <c r="B46" s="309"/>
      <c r="C46" s="310"/>
      <c r="D46" s="314" t="str">
        <f aca="false">IFERROR(VLOOKUP(B46,'[1]detailed model'!$a$6:$C$92,3,FALSE()),"NOT CODED/ERROR")</f>
        <v>NOT CODED/ERROR</v>
      </c>
      <c r="E46" s="316"/>
      <c r="F46" s="312" t="e">
        <f aca="false">VLOOKUP(B46,'[1]detailed model'!a48:C109,3,FALSE())</f>
        <v>#NAME?</v>
      </c>
      <c r="G46" s="0" t="s">
        <v>171</v>
      </c>
    </row>
    <row r="47" customFormat="false" ht="17.35" hidden="false" customHeight="false" outlineLevel="0" collapsed="false">
      <c r="A47" s="317" t="str">
        <f aca="false">IFERROR(TRIM(VLOOKUP(UPPER(D45),table_lookups,2,FALSE())),IF(ROW()&gt;2,A46,""))</f>
        <v>REVENUE</v>
      </c>
      <c r="B47" s="309"/>
      <c r="C47" s="310"/>
      <c r="D47" s="314" t="str">
        <f aca="false">IFERROR(VLOOKUP(B47,'[1]detailed model'!$a$6:$C$92,3,FALSE()),"NOT CODED/ERROR")</f>
        <v>NOT CODED/ERROR</v>
      </c>
      <c r="E47" s="316"/>
      <c r="F47" s="312" t="e">
        <f aca="false">VLOOKUP(B47,'[1]detailed model'!a49:C109,3,FALSE())</f>
        <v>#NAME?</v>
      </c>
      <c r="G47" s="0" t="s">
        <v>186</v>
      </c>
      <c r="H47" s="315"/>
      <c r="I47" s="315"/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  <c r="V47" s="315"/>
      <c r="W47" s="315"/>
      <c r="X47" s="315"/>
      <c r="Y47" s="0" t="s">
        <v>176</v>
      </c>
      <c r="Z47" s="0" t="s">
        <v>176</v>
      </c>
      <c r="AA47" s="0" t="s">
        <v>176</v>
      </c>
      <c r="AB47" s="0" t="s">
        <v>176</v>
      </c>
      <c r="AC47" s="0" t="s">
        <v>176</v>
      </c>
      <c r="AD47" s="0" t="s">
        <v>176</v>
      </c>
      <c r="AE47" s="0" t="s">
        <v>176</v>
      </c>
      <c r="AF47" s="0" t="s">
        <v>176</v>
      </c>
      <c r="AG47" s="0" t="s">
        <v>176</v>
      </c>
      <c r="AH47" s="0" t="s">
        <v>176</v>
      </c>
      <c r="AI47" s="0" t="s">
        <v>176</v>
      </c>
      <c r="AJ47" s="0" t="s">
        <v>176</v>
      </c>
    </row>
    <row r="48" customFormat="false" ht="17.35" hidden="false" customHeight="false" outlineLevel="0" collapsed="false">
      <c r="A48" s="317" t="str">
        <f aca="false">IFERROR(TRIM(VLOOKUP(UPPER(D46),table_lookups,2,FALSE())),IF(ROW()&gt;2,A47,""))</f>
        <v>REVENUE</v>
      </c>
      <c r="B48" s="309" t="n">
        <v>206</v>
      </c>
      <c r="C48" s="310"/>
      <c r="D48" s="314" t="str">
        <f aca="false">IFERROR(VLOOKUP(B48,'[1]detailed model'!$a$6:$C$92,3,FALSE()),"NOT CODED/ERROR")</f>
        <v>Resident Revenue</v>
      </c>
      <c r="E48" s="316"/>
      <c r="F48" s="312" t="str">
        <f aca="false">VLOOKUP(B48,'[1]detailed model'!a50:C110,3,FALSE())</f>
        <v>Resident Revenue</v>
      </c>
      <c r="G48" s="0" t="s">
        <v>187</v>
      </c>
      <c r="H48" s="315"/>
      <c r="I48" s="315"/>
      <c r="J48" s="315"/>
      <c r="K48" s="315"/>
      <c r="L48" s="315"/>
      <c r="M48" s="315"/>
      <c r="N48" s="315"/>
      <c r="O48" s="315"/>
      <c r="P48" s="315"/>
      <c r="Q48" s="315"/>
      <c r="R48" s="315"/>
      <c r="S48" s="315"/>
      <c r="T48" s="315"/>
      <c r="U48" s="315"/>
      <c r="V48" s="315"/>
      <c r="W48" s="315"/>
      <c r="X48" s="315"/>
      <c r="Y48" s="319" t="n">
        <v>-18000</v>
      </c>
      <c r="Z48" s="319" t="n">
        <v>-4367.75</v>
      </c>
      <c r="AA48" s="319" t="n">
        <v>-2000</v>
      </c>
      <c r="AB48" s="319" t="n">
        <v>0</v>
      </c>
      <c r="AC48" s="319" t="n">
        <v>0</v>
      </c>
      <c r="AD48" s="319" t="n">
        <v>2000</v>
      </c>
      <c r="AE48" s="319" t="n">
        <v>0</v>
      </c>
      <c r="AF48" s="319" t="n">
        <v>0</v>
      </c>
      <c r="AG48" s="319" t="n">
        <v>0</v>
      </c>
      <c r="AH48" s="319" t="n">
        <v>-406</v>
      </c>
      <c r="AI48" s="319" t="n">
        <v>-1800</v>
      </c>
      <c r="AJ48" s="319" t="n">
        <v>-2751.55</v>
      </c>
    </row>
    <row r="49" customFormat="false" ht="17.35" hidden="false" customHeight="false" outlineLevel="0" collapsed="false">
      <c r="A49" s="317" t="str">
        <f aca="false">IFERROR(TRIM(VLOOKUP(UPPER(D47),table_lookups,2,FALSE())),IF(ROW()&gt;2,A48,""))</f>
        <v>REVENUE</v>
      </c>
      <c r="B49" s="309" t="n">
        <v>206</v>
      </c>
      <c r="C49" s="310"/>
      <c r="D49" s="314" t="str">
        <f aca="false">IFERROR(VLOOKUP(B49,'[1]detailed model'!$a$6:$C$92,3,FALSE()),"NOT CODED/ERROR")</f>
        <v>Resident Revenue</v>
      </c>
      <c r="E49" s="320"/>
      <c r="F49" s="312" t="str">
        <f aca="false">VLOOKUP(B49,'[1]detailed model'!a51:C111,3,FALSE())</f>
        <v>Resident Revenue</v>
      </c>
      <c r="G49" s="0" t="s">
        <v>188</v>
      </c>
      <c r="H49" s="315"/>
      <c r="I49" s="315"/>
      <c r="J49" s="315"/>
      <c r="K49" s="315"/>
      <c r="L49" s="315"/>
      <c r="M49" s="315"/>
      <c r="N49" s="315"/>
      <c r="O49" s="315"/>
      <c r="P49" s="315"/>
      <c r="Q49" s="315"/>
      <c r="R49" s="315"/>
      <c r="S49" s="315"/>
      <c r="T49" s="315"/>
      <c r="U49" s="315"/>
      <c r="V49" s="315"/>
      <c r="W49" s="315"/>
      <c r="X49" s="315"/>
      <c r="Y49" s="319" t="n">
        <v>0</v>
      </c>
      <c r="Z49" s="319" t="n">
        <v>0</v>
      </c>
      <c r="AA49" s="319" t="n">
        <v>193.01</v>
      </c>
      <c r="AB49" s="319" t="n">
        <v>0</v>
      </c>
      <c r="AC49" s="319" t="n">
        <v>0</v>
      </c>
      <c r="AD49" s="319" t="n">
        <v>888.46</v>
      </c>
      <c r="AE49" s="319" t="n">
        <v>804.39</v>
      </c>
      <c r="AF49" s="319" t="n">
        <v>3118.6</v>
      </c>
      <c r="AG49" s="319" t="n">
        <v>252.32</v>
      </c>
      <c r="AH49" s="319" t="n">
        <v>0</v>
      </c>
      <c r="AI49" s="319" t="n">
        <v>0</v>
      </c>
      <c r="AJ49" s="319" t="n">
        <v>-292.5</v>
      </c>
    </row>
    <row r="50" customFormat="false" ht="17.35" hidden="false" customHeight="false" outlineLevel="0" collapsed="false">
      <c r="A50" s="317" t="str">
        <f aca="false">IFERROR(TRIM(VLOOKUP(UPPER(D48),table_lookups,2,FALSE())),IF(ROW()&gt;2,A49,""))</f>
        <v>REVENUE</v>
      </c>
      <c r="B50" s="309" t="n">
        <v>206</v>
      </c>
      <c r="C50" s="310"/>
      <c r="D50" s="314" t="str">
        <f aca="false">IFERROR(VLOOKUP(B50,'[1]detailed model'!$a$6:$C$92,3,FALSE()),"NOT CODED/ERROR")</f>
        <v>Resident Revenue</v>
      </c>
      <c r="E50" s="316"/>
      <c r="F50" s="312" t="str">
        <f aca="false">VLOOKUP(B50,'[1]detailed model'!a52:C112,3,FALSE())</f>
        <v>Resident Revenue</v>
      </c>
      <c r="G50" s="0" t="s">
        <v>189</v>
      </c>
      <c r="H50" s="315"/>
      <c r="I50" s="315"/>
      <c r="J50" s="315"/>
      <c r="K50" s="315"/>
      <c r="L50" s="315"/>
      <c r="M50" s="315"/>
      <c r="N50" s="315"/>
      <c r="O50" s="315"/>
      <c r="P50" s="315"/>
      <c r="Q50" s="315"/>
      <c r="R50" s="315"/>
      <c r="S50" s="315"/>
      <c r="T50" s="315"/>
      <c r="U50" s="315"/>
      <c r="V50" s="315"/>
      <c r="W50" s="315"/>
      <c r="X50" s="315"/>
      <c r="Y50" s="319" t="n">
        <v>300</v>
      </c>
      <c r="Z50" s="319" t="n">
        <v>300</v>
      </c>
      <c r="AA50" s="319" t="n">
        <v>300</v>
      </c>
      <c r="AB50" s="319" t="n">
        <v>300</v>
      </c>
      <c r="AC50" s="319" t="n">
        <v>300</v>
      </c>
      <c r="AD50" s="319" t="n">
        <v>300</v>
      </c>
      <c r="AE50" s="319" t="n">
        <v>300</v>
      </c>
      <c r="AF50" s="319" t="n">
        <v>300</v>
      </c>
      <c r="AG50" s="319" t="n">
        <v>300</v>
      </c>
      <c r="AH50" s="319" t="n">
        <v>300</v>
      </c>
      <c r="AI50" s="319" t="n">
        <v>300</v>
      </c>
      <c r="AJ50" s="319" t="n">
        <v>300</v>
      </c>
    </row>
    <row r="51" customFormat="false" ht="17.35" hidden="false" customHeight="false" outlineLevel="0" collapsed="false">
      <c r="A51" s="317" t="str">
        <f aca="false">IFERROR(TRIM(VLOOKUP(UPPER(D49),table_lookups,2,FALSE())),IF(ROW()&gt;2,A50,""))</f>
        <v>REVENUE</v>
      </c>
      <c r="B51" s="309" t="n">
        <v>206</v>
      </c>
      <c r="C51" s="310"/>
      <c r="D51" s="314" t="str">
        <f aca="false">IFERROR(VLOOKUP(B51,'[1]detailed model'!$a$6:$C$92,3,FALSE()),"NOT CODED/ERROR")</f>
        <v>Resident Revenue</v>
      </c>
      <c r="E51" s="316"/>
      <c r="F51" s="312" t="str">
        <f aca="false">VLOOKUP(B51,'[1]detailed model'!a53:C113,3,FALSE())</f>
        <v>Resident Revenue</v>
      </c>
      <c r="G51" s="0" t="s">
        <v>190</v>
      </c>
      <c r="H51" s="315"/>
      <c r="I51" s="315"/>
      <c r="J51" s="315"/>
      <c r="K51" s="315"/>
      <c r="L51" s="315"/>
      <c r="M51" s="315"/>
      <c r="N51" s="315"/>
      <c r="O51" s="315"/>
      <c r="P51" s="315"/>
      <c r="Q51" s="315"/>
      <c r="R51" s="315"/>
      <c r="S51" s="315"/>
      <c r="T51" s="315"/>
      <c r="U51" s="315"/>
      <c r="V51" s="315"/>
      <c r="W51" s="315"/>
      <c r="X51" s="315"/>
      <c r="Y51" s="319" t="n">
        <v>0</v>
      </c>
      <c r="Z51" s="319" t="n">
        <v>154</v>
      </c>
      <c r="AA51" s="319" t="n">
        <v>54</v>
      </c>
      <c r="AB51" s="319" t="n">
        <v>0</v>
      </c>
      <c r="AC51" s="319" t="n">
        <v>115</v>
      </c>
      <c r="AD51" s="319" t="n">
        <v>340</v>
      </c>
      <c r="AE51" s="319" t="n">
        <v>875</v>
      </c>
      <c r="AF51" s="319" t="n">
        <v>0</v>
      </c>
      <c r="AG51" s="319" t="n">
        <v>181</v>
      </c>
      <c r="AH51" s="319" t="n">
        <v>344.06</v>
      </c>
      <c r="AI51" s="319" t="n">
        <v>279.15</v>
      </c>
      <c r="AJ51" s="319" t="n">
        <v>163.01</v>
      </c>
    </row>
    <row r="52" customFormat="false" ht="17.35" hidden="false" customHeight="false" outlineLevel="0" collapsed="false">
      <c r="A52" s="317" t="str">
        <f aca="false">IFERROR(TRIM(VLOOKUP(UPPER(D50),table_lookups,2,FALSE())),IF(ROW()&gt;2,A51,""))</f>
        <v>REVENUE</v>
      </c>
      <c r="B52" s="309" t="n">
        <v>206</v>
      </c>
      <c r="C52" s="310"/>
      <c r="D52" s="314" t="str">
        <f aca="false">IFERROR(VLOOKUP(B52,'[1]detailed model'!$a$6:$C$92,3,FALSE()),"NOT CODED/ERROR")</f>
        <v>Resident Revenue</v>
      </c>
      <c r="E52" s="316"/>
      <c r="F52" s="312" t="str">
        <f aca="false">VLOOKUP(B52,'[1]detailed model'!a54:C114,3,FALSE())</f>
        <v>Resident Revenue</v>
      </c>
      <c r="G52" s="0" t="s">
        <v>191</v>
      </c>
      <c r="H52" s="315"/>
      <c r="I52" s="315"/>
      <c r="J52" s="315"/>
      <c r="K52" s="315"/>
      <c r="L52" s="315"/>
      <c r="M52" s="315"/>
      <c r="N52" s="315"/>
      <c r="O52" s="315"/>
      <c r="P52" s="315"/>
      <c r="Q52" s="315"/>
      <c r="R52" s="315"/>
      <c r="S52" s="315"/>
      <c r="T52" s="315"/>
      <c r="U52" s="315"/>
      <c r="V52" s="315"/>
      <c r="W52" s="315"/>
      <c r="X52" s="315"/>
      <c r="Y52" s="319" t="n">
        <v>0</v>
      </c>
      <c r="Z52" s="319" t="n">
        <v>0</v>
      </c>
      <c r="AA52" s="319" t="n">
        <v>55</v>
      </c>
      <c r="AB52" s="319" t="n">
        <v>0</v>
      </c>
      <c r="AC52" s="319" t="n">
        <v>0</v>
      </c>
      <c r="AD52" s="319" t="n">
        <v>0</v>
      </c>
      <c r="AE52" s="319" t="n">
        <v>297</v>
      </c>
      <c r="AF52" s="319" t="n">
        <v>137.5</v>
      </c>
      <c r="AG52" s="319" t="n">
        <v>0</v>
      </c>
      <c r="AH52" s="319" t="n">
        <v>0</v>
      </c>
      <c r="AI52" s="319" t="n">
        <v>50</v>
      </c>
      <c r="AJ52" s="319" t="n">
        <v>0</v>
      </c>
    </row>
    <row r="53" customFormat="false" ht="17.35" hidden="false" customHeight="false" outlineLevel="0" collapsed="false">
      <c r="A53" s="317" t="str">
        <f aca="false">IFERROR(TRIM(VLOOKUP(UPPER(D51),table_lookups,2,FALSE())),IF(ROW()&gt;2,A52,""))</f>
        <v>REVENUE</v>
      </c>
      <c r="B53" s="309" t="n">
        <v>206</v>
      </c>
      <c r="C53" s="310"/>
      <c r="D53" s="314" t="str">
        <f aca="false">IFERROR(VLOOKUP(B53,'[1]detailed model'!$a$6:$C$92,3,FALSE()),"NOT CODED/ERROR")</f>
        <v>Resident Revenue</v>
      </c>
      <c r="E53" s="316"/>
      <c r="F53" s="312" t="e">
        <f aca="false">VLOOKUP(B53,'[1]detailed model'!a55:C115,3,FALSE())</f>
        <v>#NAME?</v>
      </c>
      <c r="G53" s="0" t="s">
        <v>192</v>
      </c>
      <c r="H53" s="315"/>
      <c r="I53" s="315"/>
      <c r="J53" s="315"/>
      <c r="K53" s="315"/>
      <c r="L53" s="315"/>
      <c r="M53" s="315"/>
      <c r="N53" s="315"/>
      <c r="O53" s="315"/>
      <c r="P53" s="315"/>
      <c r="Q53" s="315"/>
      <c r="R53" s="315"/>
      <c r="S53" s="315"/>
      <c r="T53" s="315"/>
      <c r="U53" s="315"/>
      <c r="V53" s="315"/>
      <c r="W53" s="315"/>
      <c r="X53" s="315"/>
      <c r="Y53" s="319" t="n">
        <v>0</v>
      </c>
      <c r="Z53" s="319" t="n">
        <v>456</v>
      </c>
      <c r="AA53" s="319" t="n">
        <v>272</v>
      </c>
      <c r="AB53" s="319" t="n">
        <v>0</v>
      </c>
      <c r="AC53" s="319" t="n">
        <v>720</v>
      </c>
      <c r="AD53" s="319" t="n">
        <v>992</v>
      </c>
      <c r="AE53" s="319" t="n">
        <v>625</v>
      </c>
      <c r="AF53" s="319" t="n">
        <v>1184</v>
      </c>
      <c r="AG53" s="319" t="n">
        <v>832</v>
      </c>
      <c r="AH53" s="319" t="n">
        <v>0</v>
      </c>
      <c r="AI53" s="319" t="n">
        <v>0</v>
      </c>
      <c r="AJ53" s="319" t="n">
        <v>0</v>
      </c>
    </row>
    <row r="54" customFormat="false" ht="17.35" hidden="false" customHeight="false" outlineLevel="0" collapsed="false">
      <c r="A54" s="317" t="str">
        <f aca="false">IFERROR(TRIM(VLOOKUP(UPPER(D52),table_lookups,2,FALSE())),IF(ROW()&gt;2,A53,""))</f>
        <v>REVENUE</v>
      </c>
      <c r="B54" s="309" t="n">
        <v>206</v>
      </c>
      <c r="C54" s="310"/>
      <c r="D54" s="314" t="str">
        <f aca="false">IFERROR(VLOOKUP(B54,'[1]detailed model'!$a$6:$C$92,3,FALSE()),"NOT CODED/ERROR")</f>
        <v>Resident Revenue</v>
      </c>
      <c r="E54" s="316"/>
      <c r="F54" s="312" t="e">
        <f aca="false">VLOOKUP(B54,'[1]detailed model'!a56:C116,3,FALSE())</f>
        <v>#NAME?</v>
      </c>
      <c r="G54" s="0" t="s">
        <v>193</v>
      </c>
      <c r="H54" s="315"/>
      <c r="I54" s="315"/>
      <c r="J54" s="315"/>
      <c r="K54" s="315"/>
      <c r="L54" s="315"/>
      <c r="M54" s="315"/>
      <c r="N54" s="315"/>
      <c r="O54" s="315"/>
      <c r="P54" s="315"/>
      <c r="Q54" s="315"/>
      <c r="R54" s="315"/>
      <c r="S54" s="315"/>
      <c r="T54" s="315"/>
      <c r="U54" s="315"/>
      <c r="V54" s="315"/>
      <c r="W54" s="315"/>
      <c r="X54" s="315"/>
      <c r="Y54" s="319" t="n">
        <v>174.05</v>
      </c>
      <c r="Z54" s="319" t="n">
        <v>210.6</v>
      </c>
      <c r="AA54" s="319" t="n">
        <v>184.8</v>
      </c>
      <c r="AB54" s="319" t="n">
        <v>0</v>
      </c>
      <c r="AC54" s="319" t="n">
        <v>0</v>
      </c>
      <c r="AD54" s="319" t="n">
        <v>51.1</v>
      </c>
      <c r="AE54" s="319" t="n">
        <v>188.37</v>
      </c>
      <c r="AF54" s="319" t="n">
        <v>117</v>
      </c>
      <c r="AG54" s="319" t="n">
        <v>413.25</v>
      </c>
      <c r="AH54" s="319" t="n">
        <v>0</v>
      </c>
      <c r="AI54" s="319" t="n">
        <v>0</v>
      </c>
      <c r="AJ54" s="319" t="n">
        <v>0</v>
      </c>
    </row>
    <row r="55" customFormat="false" ht="17.35" hidden="false" customHeight="false" outlineLevel="0" collapsed="false">
      <c r="A55" s="317" t="str">
        <f aca="false">IFERROR(TRIM(VLOOKUP(UPPER(D53),table_lookups,2,FALSE())),IF(ROW()&gt;2,A54,""))</f>
        <v>REVENUE</v>
      </c>
      <c r="B55" s="309" t="n">
        <v>206</v>
      </c>
      <c r="C55" s="310"/>
      <c r="D55" s="314" t="str">
        <f aca="false">IFERROR(VLOOKUP(B55,'[1]detailed model'!$a$6:$C$92,3,FALSE()),"NOT CODED/ERROR")</f>
        <v>Resident Revenue</v>
      </c>
      <c r="E55" s="316"/>
      <c r="F55" s="312" t="e">
        <f aca="false">VLOOKUP(B55,'[1]detailed model'!a57:C117,3,FALSE())</f>
        <v>#NAME?</v>
      </c>
      <c r="G55" s="0" t="s">
        <v>194</v>
      </c>
      <c r="H55" s="315"/>
      <c r="I55" s="315"/>
      <c r="J55" s="315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5"/>
      <c r="X55" s="315"/>
      <c r="Y55" s="319" t="n">
        <v>0</v>
      </c>
      <c r="Z55" s="319" t="n">
        <v>0</v>
      </c>
      <c r="AA55" s="319" t="n">
        <v>0</v>
      </c>
      <c r="AB55" s="319" t="n">
        <v>0</v>
      </c>
      <c r="AC55" s="319" t="n">
        <v>0</v>
      </c>
      <c r="AD55" s="319" t="n">
        <v>0</v>
      </c>
      <c r="AE55" s="319" t="n">
        <v>0</v>
      </c>
      <c r="AF55" s="319" t="n">
        <v>0</v>
      </c>
      <c r="AG55" s="319" t="n">
        <v>0</v>
      </c>
      <c r="AH55" s="319" t="n">
        <v>453.55</v>
      </c>
      <c r="AI55" s="319" t="n">
        <v>0</v>
      </c>
      <c r="AJ55" s="319" t="n">
        <v>0</v>
      </c>
    </row>
    <row r="56" customFormat="false" ht="17.35" hidden="false" customHeight="false" outlineLevel="0" collapsed="false">
      <c r="A56" s="317" t="str">
        <f aca="false">IFERROR(TRIM(VLOOKUP(UPPER(D54),table_lookups,2,FALSE())),IF(ROW()&gt;2,A55,""))</f>
        <v>REVENUE</v>
      </c>
      <c r="B56" s="309" t="n">
        <v>206</v>
      </c>
      <c r="C56" s="310"/>
      <c r="D56" s="314" t="str">
        <f aca="false">IFERROR(VLOOKUP(B56,'[1]detailed model'!$a$6:$C$92,3,FALSE()),"NOT CODED/ERROR")</f>
        <v>Resident Revenue</v>
      </c>
      <c r="E56" s="316"/>
      <c r="F56" s="312" t="e">
        <f aca="false">VLOOKUP(B56,'[1]detailed model'!a58:C118,3,FALSE())</f>
        <v>#NAME?</v>
      </c>
      <c r="G56" s="0" t="s">
        <v>195</v>
      </c>
      <c r="H56" s="315"/>
      <c r="I56" s="315"/>
      <c r="J56" s="315"/>
      <c r="K56" s="315"/>
      <c r="L56" s="315"/>
      <c r="M56" s="315"/>
      <c r="N56" s="315"/>
      <c r="O56" s="315"/>
      <c r="P56" s="315"/>
      <c r="Q56" s="315"/>
      <c r="R56" s="315"/>
      <c r="S56" s="315"/>
      <c r="T56" s="315"/>
      <c r="U56" s="315"/>
      <c r="V56" s="315"/>
      <c r="W56" s="315"/>
      <c r="X56" s="315"/>
      <c r="Y56" s="319" t="n">
        <v>0</v>
      </c>
      <c r="Z56" s="319" t="n">
        <v>175</v>
      </c>
      <c r="AA56" s="319" t="n">
        <v>700</v>
      </c>
      <c r="AB56" s="319" t="n">
        <v>0</v>
      </c>
      <c r="AC56" s="319" t="n">
        <v>0</v>
      </c>
      <c r="AD56" s="319" t="n">
        <v>0</v>
      </c>
      <c r="AE56" s="319" t="n">
        <v>0</v>
      </c>
      <c r="AF56" s="319" t="n">
        <v>0</v>
      </c>
      <c r="AG56" s="319" t="n">
        <v>525</v>
      </c>
      <c r="AH56" s="319" t="n">
        <v>0</v>
      </c>
      <c r="AI56" s="319" t="n">
        <v>175</v>
      </c>
      <c r="AJ56" s="319" t="n">
        <v>0</v>
      </c>
    </row>
    <row r="57" customFormat="false" ht="17.35" hidden="false" customHeight="false" outlineLevel="0" collapsed="false">
      <c r="A57" s="317" t="str">
        <f aca="false">IFERROR(TRIM(VLOOKUP(UPPER(D55),table_lookups,2,FALSE())),IF(ROW()&gt;2,A56,""))</f>
        <v>REVENUE</v>
      </c>
      <c r="B57" s="309" t="n">
        <v>213</v>
      </c>
      <c r="C57" s="310"/>
      <c r="D57" s="314" t="str">
        <f aca="false">IFERROR(VLOOKUP(B57,'[1]detailed model'!$a$6:$C$92,3,FALSE()),"NOT CODED/ERROR")</f>
        <v>Respite</v>
      </c>
      <c r="E57" s="316"/>
      <c r="F57" s="312" t="str">
        <f aca="false">VLOOKUP(B57,'[1]detailed model'!a59:C119,3,FALSE())</f>
        <v>Respite</v>
      </c>
      <c r="G57" s="0" t="s">
        <v>196</v>
      </c>
      <c r="H57" s="315"/>
      <c r="I57" s="315"/>
      <c r="J57" s="315"/>
      <c r="K57" s="315"/>
      <c r="L57" s="315"/>
      <c r="M57" s="315"/>
      <c r="N57" s="315"/>
      <c r="O57" s="315"/>
      <c r="P57" s="315"/>
      <c r="Q57" s="315"/>
      <c r="R57" s="315"/>
      <c r="S57" s="315"/>
      <c r="T57" s="315"/>
      <c r="U57" s="315"/>
      <c r="V57" s="315"/>
      <c r="W57" s="315"/>
      <c r="X57" s="315"/>
      <c r="Y57" s="319" t="n">
        <v>0</v>
      </c>
      <c r="Z57" s="319" t="n">
        <v>0</v>
      </c>
      <c r="AA57" s="319" t="n">
        <v>0</v>
      </c>
      <c r="AB57" s="319" t="n">
        <v>0</v>
      </c>
      <c r="AC57" s="319" t="n">
        <v>0</v>
      </c>
      <c r="AD57" s="319" t="n">
        <v>0</v>
      </c>
      <c r="AE57" s="319" t="n">
        <v>0</v>
      </c>
      <c r="AF57" s="319" t="n">
        <v>0</v>
      </c>
      <c r="AG57" s="319" t="n">
        <v>0</v>
      </c>
      <c r="AH57" s="319" t="n">
        <v>0</v>
      </c>
      <c r="AI57" s="319" t="n">
        <v>0</v>
      </c>
      <c r="AJ57" s="319" t="n">
        <v>5700</v>
      </c>
    </row>
    <row r="58" customFormat="false" ht="17.35" hidden="false" customHeight="false" outlineLevel="0" collapsed="false">
      <c r="A58" s="317" t="str">
        <f aca="false">IFERROR(TRIM(VLOOKUP(UPPER(D56),table_lookups,2,FALSE())),IF(ROW()&gt;2,A57,""))</f>
        <v>REVENUE</v>
      </c>
      <c r="B58" s="309" t="n">
        <v>221</v>
      </c>
      <c r="C58" s="310"/>
      <c r="D58" s="314" t="str">
        <f aca="false">IFERROR(VLOOKUP(B58,'[1]detailed model'!$a$6:$C$92,3,FALSE()),"NOT CODED/ERROR")</f>
        <v>Miscellaneous</v>
      </c>
      <c r="E58" s="316"/>
      <c r="F58" s="312" t="str">
        <f aca="false">VLOOKUP(B58,'[1]detailed model'!a60:C120,3,FALSE())</f>
        <v>Miscellaneous</v>
      </c>
      <c r="G58" s="0" t="s">
        <v>197</v>
      </c>
      <c r="H58" s="315"/>
      <c r="I58" s="315"/>
      <c r="J58" s="315"/>
      <c r="K58" s="315"/>
      <c r="L58" s="315"/>
      <c r="M58" s="315"/>
      <c r="N58" s="315"/>
      <c r="O58" s="315"/>
      <c r="P58" s="315"/>
      <c r="Q58" s="315"/>
      <c r="R58" s="315"/>
      <c r="S58" s="315"/>
      <c r="T58" s="315"/>
      <c r="U58" s="315"/>
      <c r="V58" s="315"/>
      <c r="W58" s="315"/>
      <c r="X58" s="315"/>
      <c r="Y58" s="319" t="n">
        <v>1516</v>
      </c>
      <c r="Z58" s="319" t="n">
        <v>1540.94</v>
      </c>
      <c r="AA58" s="319" t="n">
        <v>854.5</v>
      </c>
      <c r="AB58" s="319" t="n">
        <v>797</v>
      </c>
      <c r="AC58" s="319" t="n">
        <v>797</v>
      </c>
      <c r="AD58" s="319" t="n">
        <v>0</v>
      </c>
      <c r="AE58" s="319" t="n">
        <v>0</v>
      </c>
      <c r="AF58" s="319" t="n">
        <v>0</v>
      </c>
      <c r="AG58" s="319" t="n">
        <v>0</v>
      </c>
      <c r="AH58" s="319" t="n">
        <v>398.5</v>
      </c>
      <c r="AI58" s="319" t="n">
        <v>2198.5</v>
      </c>
      <c r="AJ58" s="319" t="n">
        <v>0</v>
      </c>
    </row>
    <row r="59" customFormat="false" ht="17.35" hidden="false" customHeight="false" outlineLevel="0" collapsed="false">
      <c r="A59" s="317" t="str">
        <f aca="false">IFERROR(TRIM(VLOOKUP(UPPER(D57),table_lookups,2,FALSE())),IF(ROW()&gt;2,A58,""))</f>
        <v>REVENUE</v>
      </c>
      <c r="B59" s="309"/>
      <c r="C59" s="318"/>
      <c r="D59" s="314" t="str">
        <f aca="false">IFERROR(VLOOKUP(B59,'[1]detailed model'!$a$6:$C$92,3,FALSE()),"NOT CODED/ERROR")</f>
        <v>NOT CODED/ERROR</v>
      </c>
      <c r="E59" s="316"/>
      <c r="F59" s="312" t="e">
        <f aca="false">VLOOKUP(B59,'[1]detailed model'!a61:C121,3,FALSE())</f>
        <v>#NAME?</v>
      </c>
      <c r="G59" s="0" t="s">
        <v>198</v>
      </c>
      <c r="H59" s="315"/>
      <c r="I59" s="315"/>
      <c r="J59" s="315"/>
      <c r="K59" s="315"/>
      <c r="L59" s="315"/>
      <c r="M59" s="315"/>
      <c r="N59" s="315"/>
      <c r="O59" s="315"/>
      <c r="P59" s="315"/>
      <c r="Q59" s="315"/>
      <c r="R59" s="315"/>
      <c r="S59" s="315"/>
      <c r="T59" s="315"/>
      <c r="U59" s="315"/>
      <c r="V59" s="315"/>
      <c r="W59" s="315"/>
      <c r="X59" s="315"/>
      <c r="Y59" s="319" t="n">
        <v>-16009.95</v>
      </c>
      <c r="Z59" s="319" t="n">
        <v>-1531.21</v>
      </c>
      <c r="AA59" s="319" t="n">
        <v>613.31</v>
      </c>
      <c r="AB59" s="319" t="n">
        <v>1097</v>
      </c>
      <c r="AC59" s="319" t="n">
        <v>1932</v>
      </c>
      <c r="AD59" s="319" t="n">
        <v>4571.56</v>
      </c>
      <c r="AE59" s="319" t="n">
        <v>3089.76</v>
      </c>
      <c r="AF59" s="319" t="n">
        <v>4857.1</v>
      </c>
      <c r="AG59" s="319" t="n">
        <v>2503.57</v>
      </c>
      <c r="AH59" s="319" t="n">
        <v>1090.11</v>
      </c>
      <c r="AI59" s="319" t="n">
        <v>1202.65</v>
      </c>
      <c r="AJ59" s="319" t="n">
        <v>3118.96</v>
      </c>
    </row>
    <row r="60" customFormat="false" ht="17.35" hidden="false" customHeight="false" outlineLevel="0" collapsed="false">
      <c r="A60" s="317" t="str">
        <f aca="false">IFERROR(TRIM(VLOOKUP(UPPER(D58),table_lookups,2,FALSE())),IF(ROW()&gt;2,A59,""))</f>
        <v>REVENUE</v>
      </c>
      <c r="B60" s="309"/>
      <c r="C60" s="310"/>
      <c r="D60" s="314" t="str">
        <f aca="false">IFERROR(VLOOKUP(B60,'[1]detailed model'!$a$6:$C$92,3,FALSE()),"NOT CODED/ERROR")</f>
        <v>NOT CODED/ERROR</v>
      </c>
      <c r="E60" s="311"/>
      <c r="F60" s="312" t="e">
        <f aca="false">VLOOKUP(B60,'[1]detailed model'!a62:C122,3,FALSE())</f>
        <v>#NAME?</v>
      </c>
      <c r="G60" s="0" t="s">
        <v>171</v>
      </c>
    </row>
    <row r="61" customFormat="false" ht="17.35" hidden="false" customHeight="false" outlineLevel="0" collapsed="false">
      <c r="A61" s="317" t="str">
        <f aca="false">IFERROR(TRIM(VLOOKUP(UPPER(D59),table_lookups,2,FALSE())),IF(ROW()&gt;2,A60,""))</f>
        <v>REVENUE</v>
      </c>
      <c r="B61" s="309"/>
      <c r="C61" s="310"/>
      <c r="D61" s="314" t="str">
        <f aca="false">IFERROR(VLOOKUP(B61,'[1]detailed model'!$a$6:$C$92,3,FALSE()),"NOT CODED/ERROR")</f>
        <v>NOT CODED/ERROR</v>
      </c>
      <c r="E61" s="311"/>
      <c r="F61" s="312" t="e">
        <f aca="false">VLOOKUP(B61,'[1]detailed model'!a63:C123,3,FALSE())</f>
        <v>#NAME?</v>
      </c>
      <c r="G61" s="0" t="s">
        <v>199</v>
      </c>
      <c r="H61" s="315"/>
      <c r="I61" s="315"/>
      <c r="J61" s="315"/>
      <c r="K61" s="315"/>
      <c r="L61" s="315"/>
      <c r="M61" s="315"/>
      <c r="N61" s="315"/>
      <c r="O61" s="315"/>
      <c r="P61" s="315"/>
      <c r="Q61" s="315"/>
      <c r="R61" s="315"/>
      <c r="S61" s="315"/>
      <c r="T61" s="315"/>
      <c r="U61" s="315"/>
      <c r="V61" s="315"/>
      <c r="W61" s="315"/>
      <c r="X61" s="315"/>
      <c r="Y61" s="319" t="n">
        <v>595269.58</v>
      </c>
      <c r="Z61" s="319" t="n">
        <v>517671.33</v>
      </c>
      <c r="AA61" s="319" t="n">
        <v>562810.36</v>
      </c>
      <c r="AB61" s="319" t="n">
        <v>575850.34</v>
      </c>
      <c r="AC61" s="319" t="n">
        <v>568725.89</v>
      </c>
      <c r="AD61" s="319" t="n">
        <v>583626.32</v>
      </c>
      <c r="AE61" s="319" t="n">
        <v>562388.82</v>
      </c>
      <c r="AF61" s="319" t="n">
        <v>573835.03</v>
      </c>
      <c r="AG61" s="319" t="n">
        <v>594199.18</v>
      </c>
      <c r="AH61" s="319" t="n">
        <v>574582.69</v>
      </c>
      <c r="AI61" s="319" t="n">
        <v>613896.12</v>
      </c>
      <c r="AJ61" s="319" t="n">
        <v>593944.69</v>
      </c>
    </row>
    <row r="62" customFormat="false" ht="17.35" hidden="false" customHeight="false" outlineLevel="0" collapsed="false">
      <c r="A62" s="317"/>
      <c r="B62" s="309"/>
      <c r="C62" s="310"/>
      <c r="D62" s="314"/>
      <c r="E62" s="311"/>
      <c r="F62" s="312"/>
    </row>
    <row r="63" customFormat="false" ht="17.35" hidden="false" customHeight="false" outlineLevel="0" collapsed="false">
      <c r="A63" s="317"/>
      <c r="B63" s="309"/>
      <c r="C63" s="310"/>
      <c r="D63" s="314"/>
      <c r="E63" s="311"/>
      <c r="F63" s="312"/>
    </row>
    <row r="64" customFormat="false" ht="17.35" hidden="false" customHeight="false" outlineLevel="0" collapsed="false">
      <c r="A64" s="317"/>
      <c r="B64" s="309"/>
      <c r="C64" s="310"/>
      <c r="D64" s="310"/>
      <c r="E64" s="311"/>
      <c r="F64" s="312" t="e">
        <f aca="false">VLOOKUP(B64,'[1]detailed model'!a64:C124,3,FALSE())</f>
        <v>#NAME?</v>
      </c>
    </row>
    <row r="65" customFormat="false" ht="17.35" hidden="false" customHeight="false" outlineLevel="0" collapsed="false">
      <c r="A65" s="317"/>
      <c r="B65" s="309"/>
      <c r="C65" s="310"/>
      <c r="D65" s="310"/>
      <c r="E65" s="311"/>
      <c r="F65" s="312" t="e">
        <f aca="false">VLOOKUP(B65,'[1]detailed model'!a65:C125,3,FALSE())</f>
        <v>#NAME?</v>
      </c>
      <c r="G65" s="313" t="s">
        <v>200</v>
      </c>
    </row>
    <row r="66" customFormat="false" ht="17.35" hidden="false" customHeight="false" outlineLevel="0" collapsed="false">
      <c r="A66" s="317" t="s">
        <v>200</v>
      </c>
      <c r="B66" s="309"/>
      <c r="C66" s="310"/>
      <c r="D66" s="314" t="str">
        <f aca="false">IFERROR(VLOOKUP(B66,'[1]detailed model'!$a$6:$C$92,3,FALSE()),"NOT CODED/ERROR")</f>
        <v>NOT CODED/ERROR</v>
      </c>
      <c r="E66" s="311"/>
      <c r="F66" s="312" t="e">
        <f aca="false">VLOOKUP(B66,'[1]detailed model'!a66:C126,3,FALSE())</f>
        <v>#NAME?</v>
      </c>
    </row>
    <row r="67" customFormat="false" ht="17.35" hidden="false" customHeight="false" outlineLevel="0" collapsed="false">
      <c r="A67" s="317" t="str">
        <f aca="false">IFERROR(TRIM(VLOOKUP(UPPER(D65),table_lookups,2,FALSE())),IF(ROW()&gt;2,A66,""))</f>
        <v>EXPENSES</v>
      </c>
      <c r="B67" s="309"/>
      <c r="C67" s="310"/>
      <c r="D67" s="314" t="str">
        <f aca="false">IFERROR(VLOOKUP(B67,'[1]detailed model'!$a$6:$C$92,3,FALSE()),"NOT CODED/ERROR")</f>
        <v>NOT CODED/ERROR</v>
      </c>
      <c r="E67" s="311"/>
      <c r="F67" s="312" t="e">
        <f aca="false">VLOOKUP(B67,'[1]detailed model'!a67:C127,3,FALSE())</f>
        <v>#NAME?</v>
      </c>
      <c r="G67" s="0" t="s">
        <v>201</v>
      </c>
    </row>
    <row r="68" customFormat="false" ht="17.35" hidden="false" customHeight="false" outlineLevel="0" collapsed="false">
      <c r="A68" s="317" t="str">
        <f aca="false">IFERROR(TRIM(VLOOKUP(UPPER(D66),table_lookups,2,FALSE())),IF(ROW()&gt;2,A67,""))</f>
        <v>EXPENSES</v>
      </c>
      <c r="B68" s="309" t="n">
        <v>308</v>
      </c>
      <c r="C68" s="310"/>
      <c r="D68" s="314" t="str">
        <f aca="false">IFERROR(VLOOKUP(B68,'[1]detailed model'!$a$6:$C$92,3,FALSE()),"NOT CODED/ERROR")</f>
        <v>Worker's Compensation</v>
      </c>
      <c r="E68" s="311"/>
      <c r="F68" s="312" t="str">
        <f aca="false">VLOOKUP(B68,'[1]detailed model'!a67:C128,3,FALSE())</f>
        <v>Worker's Compensation</v>
      </c>
      <c r="G68" s="0" t="s">
        <v>202</v>
      </c>
      <c r="H68" s="315"/>
      <c r="I68" s="315"/>
      <c r="J68" s="315"/>
      <c r="K68" s="315"/>
      <c r="L68" s="315"/>
      <c r="M68" s="315"/>
      <c r="N68" s="315"/>
      <c r="O68" s="315"/>
      <c r="P68" s="315"/>
      <c r="Q68" s="315"/>
      <c r="R68" s="315"/>
      <c r="S68" s="315"/>
      <c r="T68" s="315"/>
      <c r="U68" s="315"/>
      <c r="V68" s="315"/>
      <c r="W68" s="315"/>
      <c r="X68" s="315"/>
      <c r="Y68" s="319" t="n">
        <v>76775.08</v>
      </c>
      <c r="Z68" s="319" t="n">
        <v>69999.73</v>
      </c>
      <c r="AA68" s="319" t="n">
        <v>69327.7</v>
      </c>
      <c r="AB68" s="319" t="n">
        <v>81992.15</v>
      </c>
      <c r="AC68" s="319" t="n">
        <v>85996.5</v>
      </c>
      <c r="AD68" s="319" t="n">
        <v>81338.45</v>
      </c>
      <c r="AE68" s="319" t="n">
        <v>78623.87</v>
      </c>
      <c r="AF68" s="319" t="n">
        <v>69464.66</v>
      </c>
      <c r="AG68" s="319" t="n">
        <v>69104.95</v>
      </c>
      <c r="AH68" s="319" t="n">
        <v>65120.17</v>
      </c>
      <c r="AI68" s="319" t="n">
        <v>63979.18</v>
      </c>
      <c r="AJ68" s="319" t="n">
        <v>69998.68</v>
      </c>
    </row>
    <row r="69" customFormat="false" ht="17.35" hidden="false" customHeight="false" outlineLevel="0" collapsed="false">
      <c r="A69" s="317" t="str">
        <f aca="false">IFERROR(TRIM(VLOOKUP(UPPER(D67),table_lookups,2,FALSE())),IF(ROW()&gt;2,A68,""))</f>
        <v>EXPENSES</v>
      </c>
      <c r="B69" s="309" t="n">
        <v>308</v>
      </c>
      <c r="C69" s="310"/>
      <c r="D69" s="314" t="str">
        <f aca="false">IFERROR(VLOOKUP(B69,'[1]detailed model'!$a$6:$C$92,3,FALSE()),"NOT CODED/ERROR")</f>
        <v>Worker's Compensation</v>
      </c>
      <c r="E69" s="311"/>
      <c r="F69" s="312" t="str">
        <f aca="false">VLOOKUP(B69,'[1]detailed model'!a68:C129,3,FALSE())</f>
        <v>Worker's Compensation</v>
      </c>
      <c r="G69" s="0" t="s">
        <v>203</v>
      </c>
      <c r="H69" s="315"/>
      <c r="I69" s="315"/>
      <c r="J69" s="315"/>
      <c r="K69" s="315"/>
      <c r="L69" s="315"/>
      <c r="M69" s="315"/>
      <c r="N69" s="315"/>
      <c r="O69" s="315"/>
      <c r="P69" s="315"/>
      <c r="Q69" s="315"/>
      <c r="R69" s="315"/>
      <c r="S69" s="315"/>
      <c r="T69" s="315"/>
      <c r="U69" s="315"/>
      <c r="V69" s="315"/>
      <c r="W69" s="315"/>
      <c r="X69" s="315"/>
      <c r="Y69" s="319" t="n">
        <v>18685.23</v>
      </c>
      <c r="Z69" s="319" t="n">
        <v>17641.44</v>
      </c>
      <c r="AA69" s="319" t="n">
        <v>16676.26</v>
      </c>
      <c r="AB69" s="319" t="n">
        <v>18283</v>
      </c>
      <c r="AC69" s="319" t="n">
        <v>19484.33</v>
      </c>
      <c r="AD69" s="319" t="n">
        <v>17770.55</v>
      </c>
      <c r="AE69" s="319" t="n">
        <v>18687.81</v>
      </c>
      <c r="AF69" s="319" t="n">
        <v>17471.01</v>
      </c>
      <c r="AG69" s="319" t="n">
        <v>14299.91</v>
      </c>
      <c r="AH69" s="319" t="n">
        <v>14470.58</v>
      </c>
      <c r="AI69" s="319" t="n">
        <v>13745.73</v>
      </c>
      <c r="AJ69" s="319" t="n">
        <v>15380.14</v>
      </c>
    </row>
    <row r="70" customFormat="false" ht="17.35" hidden="false" customHeight="false" outlineLevel="0" collapsed="false">
      <c r="A70" s="317" t="str">
        <f aca="false">IFERROR(TRIM(VLOOKUP(UPPER(D68),table_lookups,2,FALSE())),IF(ROW()&gt;2,A69,""))</f>
        <v>EXPENSES</v>
      </c>
      <c r="B70" s="309" t="n">
        <v>308</v>
      </c>
      <c r="C70" s="310"/>
      <c r="D70" s="314" t="str">
        <f aca="false">IFERROR(VLOOKUP(B70,'[1]detailed model'!$a$6:$C$92,3,FALSE()),"NOT CODED/ERROR")</f>
        <v>Worker's Compensation</v>
      </c>
      <c r="E70" s="311"/>
      <c r="F70" s="312" t="str">
        <f aca="false">VLOOKUP(B70,'[1]detailed model'!a71:C130,3,FALSE())</f>
        <v>Worker's Compensation</v>
      </c>
      <c r="G70" s="0" t="s">
        <v>204</v>
      </c>
      <c r="H70" s="315"/>
      <c r="I70" s="315"/>
      <c r="J70" s="315"/>
      <c r="K70" s="315"/>
      <c r="L70" s="315"/>
      <c r="M70" s="315"/>
      <c r="N70" s="315"/>
      <c r="O70" s="315"/>
      <c r="P70" s="315"/>
      <c r="Q70" s="315"/>
      <c r="R70" s="315"/>
      <c r="S70" s="315"/>
      <c r="T70" s="315"/>
      <c r="U70" s="315"/>
      <c r="V70" s="315"/>
      <c r="W70" s="315"/>
      <c r="X70" s="315"/>
      <c r="Y70" s="319" t="n">
        <v>3229.31</v>
      </c>
      <c r="Z70" s="319" t="n">
        <v>4608.13</v>
      </c>
      <c r="AA70" s="319" t="n">
        <v>2741.97</v>
      </c>
      <c r="AB70" s="319" t="n">
        <v>6805.08</v>
      </c>
      <c r="AC70" s="319" t="n">
        <v>5949.26</v>
      </c>
      <c r="AD70" s="319" t="n">
        <v>5578.47</v>
      </c>
      <c r="AE70" s="319" t="n">
        <v>6370.1</v>
      </c>
      <c r="AF70" s="319" t="n">
        <v>-8520.3</v>
      </c>
      <c r="AG70" s="319" t="n">
        <v>2434.07</v>
      </c>
      <c r="AH70" s="319" t="n">
        <v>2181.57</v>
      </c>
      <c r="AI70" s="319" t="n">
        <v>2477.87</v>
      </c>
      <c r="AJ70" s="319" t="n">
        <v>4561.24</v>
      </c>
    </row>
    <row r="71" customFormat="false" ht="17.35" hidden="false" customHeight="false" outlineLevel="0" collapsed="false">
      <c r="A71" s="317" t="str">
        <f aca="false">IFERROR(TRIM(VLOOKUP(UPPER(D69),table_lookups,2,FALSE())),IF(ROW()&gt;2,A70,""))</f>
        <v>EXPENSES</v>
      </c>
      <c r="B71" s="309" t="n">
        <v>308</v>
      </c>
      <c r="C71" s="310"/>
      <c r="D71" s="314" t="str">
        <f aca="false">IFERROR(VLOOKUP(B71,'[1]detailed model'!$a$6:$C$92,3,FALSE()),"NOT CODED/ERROR")</f>
        <v>Worker's Compensation</v>
      </c>
      <c r="E71" s="311"/>
      <c r="F71" s="312" t="str">
        <f aca="false">VLOOKUP(B71,'[1]detailed model'!a72:C131,3,FALSE())</f>
        <v>Worker's Compensation</v>
      </c>
      <c r="G71" s="0" t="s">
        <v>205</v>
      </c>
      <c r="H71" s="315"/>
      <c r="I71" s="315"/>
      <c r="J71" s="315"/>
      <c r="K71" s="315"/>
      <c r="L71" s="315"/>
      <c r="M71" s="315"/>
      <c r="N71" s="315"/>
      <c r="O71" s="315"/>
      <c r="P71" s="315"/>
      <c r="Q71" s="315"/>
      <c r="R71" s="315"/>
      <c r="S71" s="315"/>
      <c r="T71" s="315"/>
      <c r="U71" s="315"/>
      <c r="V71" s="315"/>
      <c r="W71" s="315"/>
      <c r="X71" s="315"/>
      <c r="Y71" s="319" t="n">
        <v>12619.74</v>
      </c>
      <c r="Z71" s="319" t="n">
        <v>14451.35</v>
      </c>
      <c r="AA71" s="319" t="n">
        <v>13235.91</v>
      </c>
      <c r="AB71" s="319" t="n">
        <v>10770.12</v>
      </c>
      <c r="AC71" s="319" t="n">
        <v>12782.46</v>
      </c>
      <c r="AD71" s="319" t="n">
        <v>6772.09</v>
      </c>
      <c r="AE71" s="319" t="n">
        <v>6273.79</v>
      </c>
      <c r="AF71" s="319" t="n">
        <v>5603.59</v>
      </c>
      <c r="AG71" s="319" t="n">
        <v>5394.33</v>
      </c>
      <c r="AH71" s="319" t="n">
        <v>8061.57</v>
      </c>
      <c r="AI71" s="319" t="n">
        <v>6418.56</v>
      </c>
      <c r="AJ71" s="319" t="n">
        <v>7924.51</v>
      </c>
    </row>
    <row r="72" customFormat="false" ht="17.35" hidden="false" customHeight="false" outlineLevel="0" collapsed="false">
      <c r="A72" s="317" t="str">
        <f aca="false">IFERROR(TRIM(VLOOKUP(UPPER(D70),table_lookups,2,FALSE())),IF(ROW()&gt;2,A71,""))</f>
        <v>EXPENSES</v>
      </c>
      <c r="B72" s="309" t="n">
        <v>308</v>
      </c>
      <c r="C72" s="310"/>
      <c r="D72" s="314" t="str">
        <f aca="false">IFERROR(VLOOKUP(B72,'[1]detailed model'!$a$6:$C$92,3,FALSE()),"NOT CODED/ERROR")</f>
        <v>Worker's Compensation</v>
      </c>
      <c r="E72" s="311"/>
      <c r="F72" s="312" t="str">
        <f aca="false">VLOOKUP(B72,'[1]detailed model'!a73:C132,3,FALSE())</f>
        <v>Worker's Compensation</v>
      </c>
      <c r="G72" s="0" t="s">
        <v>206</v>
      </c>
      <c r="H72" s="315"/>
      <c r="I72" s="315"/>
      <c r="J72" s="315"/>
      <c r="K72" s="315"/>
      <c r="L72" s="315"/>
      <c r="M72" s="315"/>
      <c r="N72" s="315"/>
      <c r="O72" s="315"/>
      <c r="P72" s="315"/>
      <c r="Q72" s="315"/>
      <c r="R72" s="315"/>
      <c r="S72" s="315"/>
      <c r="T72" s="315"/>
      <c r="U72" s="315"/>
      <c r="V72" s="315"/>
      <c r="W72" s="315"/>
      <c r="X72" s="315"/>
      <c r="Y72" s="319" t="n">
        <v>4115.52</v>
      </c>
      <c r="Z72" s="319" t="n">
        <v>3247.73</v>
      </c>
      <c r="AA72" s="319" t="n">
        <v>3504</v>
      </c>
      <c r="AB72" s="319" t="n">
        <v>1424.36</v>
      </c>
      <c r="AC72" s="319" t="n">
        <v>2959.95</v>
      </c>
      <c r="AD72" s="319" t="n">
        <v>1968.83</v>
      </c>
      <c r="AE72" s="319" t="n">
        <v>2435.97</v>
      </c>
      <c r="AF72" s="319" t="n">
        <v>1436.03</v>
      </c>
      <c r="AG72" s="319" t="n">
        <v>1819.37</v>
      </c>
      <c r="AH72" s="319" t="n">
        <v>3585.48</v>
      </c>
      <c r="AI72" s="319" t="n">
        <v>3645.37</v>
      </c>
      <c r="AJ72" s="319" t="n">
        <v>2141.68</v>
      </c>
    </row>
    <row r="73" customFormat="false" ht="17.35" hidden="false" customHeight="false" outlineLevel="0" collapsed="false">
      <c r="A73" s="317" t="str">
        <f aca="false">IFERROR(TRIM(VLOOKUP(UPPER(D71),table_lookups,2,FALSE())),IF(ROW()&gt;2,A72,""))</f>
        <v>EXPENSES</v>
      </c>
      <c r="B73" s="309" t="n">
        <v>308</v>
      </c>
      <c r="C73" s="310"/>
      <c r="D73" s="314" t="str">
        <f aca="false">IFERROR(VLOOKUP(B73,'[1]detailed model'!$a$6:$C$92,3,FALSE()),"NOT CODED/ERROR")</f>
        <v>Worker's Compensation</v>
      </c>
      <c r="E73" s="311"/>
      <c r="F73" s="312" t="str">
        <f aca="false">VLOOKUP(B73,'[1]detailed model'!a74:C133,3,FALSE())</f>
        <v>Worker's Compensation</v>
      </c>
      <c r="G73" s="0" t="s">
        <v>207</v>
      </c>
      <c r="H73" s="315"/>
      <c r="I73" s="315"/>
      <c r="J73" s="315"/>
      <c r="K73" s="315"/>
      <c r="L73" s="315"/>
      <c r="M73" s="315"/>
      <c r="N73" s="315"/>
      <c r="O73" s="315"/>
      <c r="P73" s="315"/>
      <c r="Q73" s="315"/>
      <c r="R73" s="315"/>
      <c r="S73" s="315"/>
      <c r="T73" s="315"/>
      <c r="U73" s="315"/>
      <c r="V73" s="315"/>
      <c r="W73" s="315"/>
      <c r="X73" s="315"/>
      <c r="Y73" s="319" t="n">
        <v>5487.99</v>
      </c>
      <c r="Z73" s="319" t="n">
        <v>4137.14</v>
      </c>
      <c r="AA73" s="319" t="n">
        <v>3461.65</v>
      </c>
      <c r="AB73" s="319" t="n">
        <v>1519.76</v>
      </c>
      <c r="AC73" s="319" t="n">
        <v>3596.72</v>
      </c>
      <c r="AD73" s="319" t="n">
        <v>2870.66</v>
      </c>
      <c r="AE73" s="319" t="n">
        <v>0</v>
      </c>
      <c r="AF73" s="319" t="n">
        <v>3134.5</v>
      </c>
      <c r="AG73" s="319" t="n">
        <v>0</v>
      </c>
      <c r="AH73" s="319" t="n">
        <v>0</v>
      </c>
      <c r="AI73" s="319" t="n">
        <v>0</v>
      </c>
      <c r="AJ73" s="319" t="n">
        <v>0</v>
      </c>
    </row>
    <row r="74" customFormat="false" ht="17.35" hidden="false" customHeight="false" outlineLevel="0" collapsed="false">
      <c r="A74" s="317" t="str">
        <f aca="false">IFERROR(TRIM(VLOOKUP(UPPER(D72),table_lookups,2,FALSE())),IF(ROW()&gt;2,A73,""))</f>
        <v>EXPENSES</v>
      </c>
      <c r="B74" s="309" t="n">
        <v>308</v>
      </c>
      <c r="C74" s="310"/>
      <c r="D74" s="314" t="str">
        <f aca="false">IFERROR(VLOOKUP(B74,'[1]detailed model'!$a$6:$C$92,3,FALSE()),"NOT CODED/ERROR")</f>
        <v>Worker's Compensation</v>
      </c>
      <c r="E74" s="311"/>
      <c r="F74" s="312" t="str">
        <f aca="false">VLOOKUP(B74,'[1]detailed model'!a75:C134,3,FALSE())</f>
        <v>Worker's Compensation</v>
      </c>
      <c r="G74" s="0" t="s">
        <v>208</v>
      </c>
      <c r="H74" s="315"/>
      <c r="I74" s="315"/>
      <c r="J74" s="315"/>
      <c r="K74" s="315"/>
      <c r="L74" s="315"/>
      <c r="M74" s="315"/>
      <c r="N74" s="315"/>
      <c r="O74" s="315"/>
      <c r="P74" s="315"/>
      <c r="Q74" s="315"/>
      <c r="R74" s="315"/>
      <c r="S74" s="315"/>
      <c r="T74" s="315"/>
      <c r="U74" s="315"/>
      <c r="V74" s="315"/>
      <c r="W74" s="315"/>
      <c r="X74" s="315"/>
      <c r="Y74" s="319" t="n">
        <v>2203.86</v>
      </c>
      <c r="Z74" s="319" t="n">
        <v>1491.42</v>
      </c>
      <c r="AA74" s="319" t="n">
        <v>1965.92</v>
      </c>
      <c r="AB74" s="319" t="n">
        <v>426.76</v>
      </c>
      <c r="AC74" s="319" t="n">
        <v>0</v>
      </c>
      <c r="AD74" s="319" t="n">
        <v>330</v>
      </c>
      <c r="AE74" s="319" t="n">
        <v>280</v>
      </c>
      <c r="AF74" s="319" t="n">
        <v>636.89</v>
      </c>
      <c r="AG74" s="319" t="n">
        <v>871.64</v>
      </c>
      <c r="AH74" s="319" t="n">
        <v>104.58</v>
      </c>
      <c r="AI74" s="319" t="n">
        <v>365.66</v>
      </c>
      <c r="AJ74" s="319" t="n">
        <v>1687.11</v>
      </c>
    </row>
    <row r="75" customFormat="false" ht="17.35" hidden="false" customHeight="false" outlineLevel="0" collapsed="false">
      <c r="A75" s="317" t="str">
        <f aca="false">IFERROR(TRIM(VLOOKUP(UPPER(D73),table_lookups,2,FALSE())),IF(ROW()&gt;2,A74,""))</f>
        <v>EXPENSES</v>
      </c>
      <c r="B75" s="309" t="n">
        <v>308</v>
      </c>
      <c r="C75" s="310"/>
      <c r="D75" s="314" t="str">
        <f aca="false">IFERROR(VLOOKUP(B75,'[1]detailed model'!$a$6:$C$92,3,FALSE()),"NOT CODED/ERROR")</f>
        <v>Worker's Compensation</v>
      </c>
      <c r="E75" s="311"/>
      <c r="F75" s="312" t="str">
        <f aca="false">VLOOKUP(B75,'[1]detailed model'!a76:C135,3,FALSE())</f>
        <v>Worker's Compensation</v>
      </c>
      <c r="G75" s="0" t="s">
        <v>209</v>
      </c>
      <c r="H75" s="315"/>
      <c r="I75" s="315"/>
      <c r="J75" s="315"/>
      <c r="K75" s="315"/>
      <c r="L75" s="315"/>
      <c r="M75" s="315"/>
      <c r="N75" s="315"/>
      <c r="O75" s="315"/>
      <c r="P75" s="315"/>
      <c r="Q75" s="315"/>
      <c r="R75" s="315"/>
      <c r="S75" s="315"/>
      <c r="T75" s="315"/>
      <c r="U75" s="315"/>
      <c r="V75" s="315"/>
      <c r="W75" s="315"/>
      <c r="X75" s="315"/>
      <c r="Y75" s="319" t="n">
        <v>10840.54</v>
      </c>
      <c r="Z75" s="319" t="n">
        <v>35418.43</v>
      </c>
      <c r="AA75" s="319" t="n">
        <v>14667.9</v>
      </c>
      <c r="AB75" s="319" t="n">
        <v>-1528.1</v>
      </c>
      <c r="AC75" s="319" t="n">
        <v>0</v>
      </c>
      <c r="AD75" s="319" t="n">
        <v>0</v>
      </c>
      <c r="AE75" s="319" t="n">
        <v>1850</v>
      </c>
      <c r="AF75" s="319" t="n">
        <v>2300</v>
      </c>
      <c r="AG75" s="319" t="n">
        <v>3000</v>
      </c>
      <c r="AH75" s="319" t="n">
        <v>6676.31</v>
      </c>
      <c r="AI75" s="319" t="n">
        <v>0</v>
      </c>
      <c r="AJ75" s="319" t="n">
        <v>3359.67</v>
      </c>
    </row>
    <row r="76" customFormat="false" ht="17.35" hidden="false" customHeight="false" outlineLevel="0" collapsed="false">
      <c r="A76" s="317" t="str">
        <f aca="false">IFERROR(TRIM(VLOOKUP(UPPER(D74),table_lookups,2,FALSE())),IF(ROW()&gt;2,A75,""))</f>
        <v>EXPENSES</v>
      </c>
      <c r="B76" s="309" t="n">
        <v>308</v>
      </c>
      <c r="C76" s="310"/>
      <c r="D76" s="314" t="str">
        <f aca="false">IFERROR(VLOOKUP(B76,'[1]detailed model'!$a$6:$C$92,3,FALSE()),"NOT CODED/ERROR")</f>
        <v>Worker's Compensation</v>
      </c>
      <c r="E76" s="311"/>
      <c r="F76" s="312" t="str">
        <f aca="false">VLOOKUP(B76,'[1]detailed model'!a77:C136,3,FALSE())</f>
        <v>Worker's Compensation</v>
      </c>
      <c r="G76" s="0" t="s">
        <v>210</v>
      </c>
      <c r="H76" s="315"/>
      <c r="I76" s="315"/>
      <c r="J76" s="315"/>
      <c r="K76" s="315"/>
      <c r="L76" s="315"/>
      <c r="M76" s="315"/>
      <c r="N76" s="315"/>
      <c r="O76" s="315"/>
      <c r="P76" s="315"/>
      <c r="Q76" s="315"/>
      <c r="R76" s="315"/>
      <c r="S76" s="315"/>
      <c r="T76" s="315"/>
      <c r="U76" s="315"/>
      <c r="V76" s="315"/>
      <c r="W76" s="315"/>
      <c r="X76" s="315"/>
      <c r="Y76" s="319" t="n">
        <v>1943.08</v>
      </c>
      <c r="Z76" s="319" t="n">
        <v>2949.85</v>
      </c>
      <c r="AA76" s="319" t="n">
        <v>1782.2</v>
      </c>
      <c r="AB76" s="319" t="n">
        <v>1675.9</v>
      </c>
      <c r="AC76" s="319" t="n">
        <v>460.46</v>
      </c>
      <c r="AD76" s="319" t="n">
        <v>1601.37</v>
      </c>
      <c r="AE76" s="319" t="n">
        <v>4402.62</v>
      </c>
      <c r="AF76" s="319" t="n">
        <v>1563.88</v>
      </c>
      <c r="AG76" s="319" t="n">
        <v>974.48</v>
      </c>
      <c r="AH76" s="319" t="n">
        <v>1908.36</v>
      </c>
      <c r="AI76" s="319" t="n">
        <v>474.62</v>
      </c>
      <c r="AJ76" s="319" t="n">
        <v>1489.63</v>
      </c>
    </row>
    <row r="77" customFormat="false" ht="17.35" hidden="false" customHeight="false" outlineLevel="0" collapsed="false">
      <c r="A77" s="317" t="str">
        <f aca="false">IFERROR(TRIM(VLOOKUP(UPPER(D75),table_lookups,2,FALSE())),IF(ROW()&gt;2,A76,""))</f>
        <v>EXPENSES</v>
      </c>
      <c r="B77" s="309" t="n">
        <v>308</v>
      </c>
      <c r="C77" s="310"/>
      <c r="D77" s="314" t="str">
        <f aca="false">IFERROR(VLOOKUP(B77,'[1]detailed model'!$a$6:$C$92,3,FALSE()),"NOT CODED/ERROR")</f>
        <v>Worker's Compensation</v>
      </c>
      <c r="E77" s="311"/>
      <c r="F77" s="312" t="str">
        <f aca="false">VLOOKUP(B77,'[1]detailed model'!a78:C137,3,FALSE())</f>
        <v>Worker's Compensation</v>
      </c>
      <c r="G77" s="0" t="s">
        <v>211</v>
      </c>
      <c r="H77" s="315"/>
      <c r="I77" s="315"/>
      <c r="J77" s="315"/>
      <c r="K77" s="315"/>
      <c r="L77" s="315"/>
      <c r="M77" s="315"/>
      <c r="N77" s="315"/>
      <c r="O77" s="315"/>
      <c r="P77" s="315"/>
      <c r="Q77" s="315"/>
      <c r="R77" s="315"/>
      <c r="S77" s="315"/>
      <c r="T77" s="315"/>
      <c r="U77" s="315"/>
      <c r="V77" s="315"/>
      <c r="W77" s="315"/>
      <c r="X77" s="315"/>
      <c r="Y77" s="319" t="n">
        <v>0</v>
      </c>
      <c r="Z77" s="319" t="n">
        <v>776.66</v>
      </c>
      <c r="AA77" s="319" t="n">
        <v>308.33</v>
      </c>
      <c r="AB77" s="319" t="n">
        <v>1343.48</v>
      </c>
      <c r="AC77" s="319" t="n">
        <v>1097.35</v>
      </c>
      <c r="AD77" s="319" t="n">
        <v>388.33</v>
      </c>
      <c r="AE77" s="319" t="n">
        <v>1076.96</v>
      </c>
      <c r="AF77" s="319" t="n">
        <v>388.33</v>
      </c>
      <c r="AG77" s="319" t="n">
        <v>388</v>
      </c>
      <c r="AH77" s="319" t="n">
        <v>0.33</v>
      </c>
      <c r="AI77" s="319" t="n">
        <v>784.43</v>
      </c>
      <c r="AJ77" s="319" t="n">
        <v>396.1</v>
      </c>
    </row>
    <row r="78" customFormat="false" ht="17.35" hidden="false" customHeight="false" outlineLevel="0" collapsed="false">
      <c r="A78" s="317" t="str">
        <f aca="false">IFERROR(TRIM(VLOOKUP(UPPER(D76),table_lookups,2,FALSE())),IF(ROW()&gt;2,A77,""))</f>
        <v>EXPENSES</v>
      </c>
      <c r="B78" s="309"/>
      <c r="C78" s="310"/>
      <c r="D78" s="314" t="str">
        <f aca="false">IFERROR(VLOOKUP(B78,'[1]detailed model'!$a$6:$C$92,3,FALSE()),"NOT CODED/ERROR")</f>
        <v>NOT CODED/ERROR</v>
      </c>
      <c r="E78" s="311"/>
      <c r="F78" s="312" t="e">
        <f aca="false">VLOOKUP(B78,'[1]detailed model'!a79:C138,3,FALSE())</f>
        <v>#NAME?</v>
      </c>
      <c r="G78" s="0" t="s">
        <v>212</v>
      </c>
      <c r="H78" s="315"/>
      <c r="I78" s="315"/>
      <c r="J78" s="315"/>
      <c r="K78" s="315"/>
      <c r="L78" s="315"/>
      <c r="M78" s="315"/>
      <c r="N78" s="315"/>
      <c r="O78" s="315"/>
      <c r="P78" s="315"/>
      <c r="Q78" s="315"/>
      <c r="R78" s="315"/>
      <c r="S78" s="315"/>
      <c r="T78" s="315"/>
      <c r="U78" s="315"/>
      <c r="V78" s="315"/>
      <c r="W78" s="315"/>
      <c r="X78" s="315"/>
      <c r="Y78" s="319" t="n">
        <v>135900.35</v>
      </c>
      <c r="Z78" s="319" t="n">
        <v>154721.88</v>
      </c>
      <c r="AA78" s="319" t="n">
        <v>127671.84</v>
      </c>
      <c r="AB78" s="319" t="n">
        <v>122712.51</v>
      </c>
      <c r="AC78" s="319" t="n">
        <v>132327.03</v>
      </c>
      <c r="AD78" s="319" t="n">
        <v>118618.75</v>
      </c>
      <c r="AE78" s="319" t="n">
        <v>120001.12</v>
      </c>
      <c r="AF78" s="319" t="n">
        <v>93478.59</v>
      </c>
      <c r="AG78" s="319" t="n">
        <v>98286.75</v>
      </c>
      <c r="AH78" s="319" t="n">
        <v>102108.95</v>
      </c>
      <c r="AI78" s="319" t="n">
        <v>91891.42</v>
      </c>
      <c r="AJ78" s="319" t="n">
        <v>106938.76</v>
      </c>
    </row>
    <row r="79" customFormat="false" ht="17.35" hidden="false" customHeight="false" outlineLevel="0" collapsed="false">
      <c r="A79" s="317" t="str">
        <f aca="false">IFERROR(TRIM(VLOOKUP(UPPER(D77),table_lookups,2,FALSE())),IF(ROW()&gt;2,A78,""))</f>
        <v>EXPENSES</v>
      </c>
      <c r="B79" s="309"/>
      <c r="C79" s="310"/>
      <c r="D79" s="314" t="str">
        <f aca="false">IFERROR(VLOOKUP(B79,'[1]detailed model'!$a$6:$C$92,3,FALSE()),"NOT CODED/ERROR")</f>
        <v>NOT CODED/ERROR</v>
      </c>
      <c r="E79" s="311"/>
      <c r="F79" s="312" t="e">
        <f aca="false">VLOOKUP(B79,'[1]detailed model'!a80:C139,3,FALSE())</f>
        <v>#NAME?</v>
      </c>
      <c r="G79" s="0" t="s">
        <v>171</v>
      </c>
    </row>
    <row r="80" customFormat="false" ht="17.35" hidden="false" customHeight="false" outlineLevel="0" collapsed="false">
      <c r="A80" s="317" t="str">
        <f aca="false">IFERROR(TRIM(VLOOKUP(UPPER(D78),table_lookups,2,FALSE())),IF(ROW()&gt;2,A79,""))</f>
        <v>EXPENSES</v>
      </c>
      <c r="B80" s="309"/>
      <c r="C80" s="310"/>
      <c r="D80" s="314" t="str">
        <f aca="false">IFERROR(VLOOKUP(B80,'[1]detailed model'!$a$6:$C$92,3,FALSE()),"NOT CODED/ERROR")</f>
        <v>NOT CODED/ERROR</v>
      </c>
      <c r="E80" s="311"/>
      <c r="F80" s="312" t="e">
        <f aca="false">VLOOKUP(B80,'[1]detailed model'!a81:C140,3,FALSE())</f>
        <v>#NAME?</v>
      </c>
      <c r="G80" s="0" t="s">
        <v>213</v>
      </c>
      <c r="H80" s="315"/>
      <c r="I80" s="315"/>
      <c r="J80" s="315"/>
      <c r="K80" s="315"/>
      <c r="L80" s="315"/>
      <c r="M80" s="315"/>
      <c r="N80" s="315"/>
      <c r="O80" s="315"/>
      <c r="P80" s="315"/>
      <c r="Q80" s="315"/>
      <c r="R80" s="315"/>
      <c r="S80" s="315"/>
      <c r="T80" s="315"/>
      <c r="U80" s="315"/>
      <c r="V80" s="315"/>
      <c r="W80" s="315"/>
      <c r="X80" s="315"/>
      <c r="Y80" s="0" t="s">
        <v>176</v>
      </c>
      <c r="Z80" s="0" t="s">
        <v>176</v>
      </c>
      <c r="AA80" s="0" t="s">
        <v>176</v>
      </c>
      <c r="AB80" s="0" t="s">
        <v>176</v>
      </c>
      <c r="AC80" s="0" t="s">
        <v>176</v>
      </c>
      <c r="AD80" s="0" t="s">
        <v>176</v>
      </c>
      <c r="AE80" s="0" t="s">
        <v>176</v>
      </c>
      <c r="AF80" s="0" t="s">
        <v>176</v>
      </c>
      <c r="AG80" s="0" t="s">
        <v>176</v>
      </c>
      <c r="AH80" s="0" t="s">
        <v>176</v>
      </c>
      <c r="AI80" s="0" t="s">
        <v>176</v>
      </c>
      <c r="AJ80" s="0" t="s">
        <v>176</v>
      </c>
    </row>
    <row r="81" customFormat="false" ht="17.35" hidden="false" customHeight="false" outlineLevel="0" collapsed="false">
      <c r="A81" s="317" t="str">
        <f aca="false">IFERROR(TRIM(VLOOKUP(UPPER(D79),table_lookups,2,FALSE())),IF(ROW()&gt;2,A80,""))</f>
        <v>EXPENSES</v>
      </c>
      <c r="B81" s="309" t="n">
        <v>309</v>
      </c>
      <c r="C81" s="310"/>
      <c r="D81" s="314" t="str">
        <f aca="false">IFERROR(VLOOKUP(B81,'[1]detailed model'!$a$6:$C$92,3,FALSE()),"NOT CODED/ERROR")</f>
        <v>Employee Benefits</v>
      </c>
      <c r="E81" s="311"/>
      <c r="F81" s="312" t="e">
        <f aca="false">VLOOKUP(B81,'[1]detailed model'!a82:C141,3,FALSE())</f>
        <v>#NAME?</v>
      </c>
      <c r="G81" s="0" t="s">
        <v>214</v>
      </c>
      <c r="H81" s="315"/>
      <c r="I81" s="315"/>
      <c r="J81" s="315"/>
      <c r="K81" s="315"/>
      <c r="L81" s="315"/>
      <c r="M81" s="315"/>
      <c r="N81" s="315"/>
      <c r="O81" s="315"/>
      <c r="P81" s="315"/>
      <c r="Q81" s="315"/>
      <c r="R81" s="315"/>
      <c r="S81" s="315"/>
      <c r="T81" s="315"/>
      <c r="U81" s="315"/>
      <c r="V81" s="315"/>
      <c r="W81" s="315"/>
      <c r="X81" s="315"/>
      <c r="Y81" s="319" t="n">
        <v>82677.39</v>
      </c>
      <c r="Z81" s="319" t="n">
        <v>79810.73</v>
      </c>
      <c r="AA81" s="319" t="n">
        <v>84925.88</v>
      </c>
      <c r="AB81" s="319" t="n">
        <v>84375.26</v>
      </c>
      <c r="AC81" s="319" t="n">
        <v>89793.8</v>
      </c>
      <c r="AD81" s="319" t="n">
        <v>84442.67</v>
      </c>
      <c r="AE81" s="319" t="n">
        <v>88550.91</v>
      </c>
      <c r="AF81" s="319" t="n">
        <v>99523.84</v>
      </c>
      <c r="AG81" s="319" t="n">
        <v>93256.38</v>
      </c>
      <c r="AH81" s="319" t="n">
        <v>91371.85</v>
      </c>
      <c r="AI81" s="319" t="n">
        <v>86629.69</v>
      </c>
      <c r="AJ81" s="319" t="n">
        <v>85134.34</v>
      </c>
    </row>
    <row r="82" customFormat="false" ht="17.35" hidden="false" customHeight="false" outlineLevel="0" collapsed="false">
      <c r="A82" s="317" t="str">
        <f aca="false">IFERROR(TRIM(VLOOKUP(UPPER(D80),table_lookups,2,FALSE())),IF(ROW()&gt;2,A81,""))</f>
        <v>EXPENSES</v>
      </c>
      <c r="B82" s="309" t="n">
        <v>309</v>
      </c>
      <c r="C82" s="310"/>
      <c r="D82" s="314" t="str">
        <f aca="false">IFERROR(VLOOKUP(B82,'[1]detailed model'!$a$6:$C$92,3,FALSE()),"NOT CODED/ERROR")</f>
        <v>Employee Benefits</v>
      </c>
      <c r="E82" s="311"/>
      <c r="F82" s="312" t="e">
        <f aca="false">VLOOKUP(B82,'[1]detailed model'!a83:C142,3,FALSE())</f>
        <v>#NAME?</v>
      </c>
      <c r="G82" s="0" t="s">
        <v>215</v>
      </c>
      <c r="H82" s="315"/>
      <c r="I82" s="315"/>
      <c r="J82" s="315"/>
      <c r="K82" s="315"/>
      <c r="L82" s="315"/>
      <c r="M82" s="315"/>
      <c r="N82" s="315"/>
      <c r="O82" s="315"/>
      <c r="P82" s="315"/>
      <c r="Q82" s="315"/>
      <c r="R82" s="315"/>
      <c r="S82" s="315"/>
      <c r="T82" s="315"/>
      <c r="U82" s="315"/>
      <c r="V82" s="315"/>
      <c r="W82" s="315"/>
      <c r="X82" s="315"/>
      <c r="Y82" s="319" t="n">
        <v>17713.27</v>
      </c>
      <c r="Z82" s="319" t="n">
        <v>18582.56</v>
      </c>
      <c r="AA82" s="319" t="n">
        <v>17887.25</v>
      </c>
      <c r="AB82" s="319" t="n">
        <v>18069.53</v>
      </c>
      <c r="AC82" s="319" t="n">
        <v>19795.62</v>
      </c>
      <c r="AD82" s="319" t="n">
        <v>19888.02</v>
      </c>
      <c r="AE82" s="319" t="n">
        <v>22307.86</v>
      </c>
      <c r="AF82" s="319" t="n">
        <v>26702.61</v>
      </c>
      <c r="AG82" s="319" t="n">
        <v>19443.33</v>
      </c>
      <c r="AH82" s="319" t="n">
        <v>19158.17</v>
      </c>
      <c r="AI82" s="319" t="n">
        <v>17999.93</v>
      </c>
      <c r="AJ82" s="319" t="n">
        <v>18461.31</v>
      </c>
    </row>
    <row r="83" customFormat="false" ht="17.35" hidden="false" customHeight="false" outlineLevel="0" collapsed="false">
      <c r="A83" s="317" t="str">
        <f aca="false">IFERROR(TRIM(VLOOKUP(UPPER(D81),table_lookups,2,FALSE())),IF(ROW()&gt;2,A82,""))</f>
        <v>EXPENSES</v>
      </c>
      <c r="B83" s="309" t="n">
        <v>309</v>
      </c>
      <c r="C83" s="310"/>
      <c r="D83" s="314" t="str">
        <f aca="false">IFERROR(VLOOKUP(B83,'[1]detailed model'!$a$6:$C$92,3,FALSE()),"NOT CODED/ERROR")</f>
        <v>Employee Benefits</v>
      </c>
      <c r="E83" s="311"/>
      <c r="F83" s="312" t="e">
        <f aca="false">VLOOKUP(B83,'[1]detailed model'!a84:C143,3,FALSE())</f>
        <v>#NAME?</v>
      </c>
      <c r="G83" s="0" t="s">
        <v>216</v>
      </c>
      <c r="H83" s="315"/>
      <c r="I83" s="315"/>
      <c r="J83" s="315"/>
      <c r="K83" s="315"/>
      <c r="L83" s="315"/>
      <c r="M83" s="315"/>
      <c r="N83" s="315"/>
      <c r="O83" s="315"/>
      <c r="P83" s="315"/>
      <c r="Q83" s="315"/>
      <c r="R83" s="315"/>
      <c r="S83" s="315"/>
      <c r="T83" s="315"/>
      <c r="U83" s="315"/>
      <c r="V83" s="315"/>
      <c r="W83" s="315"/>
      <c r="X83" s="315"/>
      <c r="Y83" s="319" t="n">
        <v>2793.3</v>
      </c>
      <c r="Z83" s="319" t="n">
        <v>5060.22</v>
      </c>
      <c r="AA83" s="319" t="n">
        <v>4731.62</v>
      </c>
      <c r="AB83" s="319" t="n">
        <v>6758.47</v>
      </c>
      <c r="AC83" s="319" t="n">
        <v>4350.73</v>
      </c>
      <c r="AD83" s="319" t="n">
        <v>7455.16</v>
      </c>
      <c r="AE83" s="319" t="n">
        <v>8894.48</v>
      </c>
      <c r="AF83" s="319" t="n">
        <v>20903.68</v>
      </c>
      <c r="AG83" s="319" t="n">
        <v>4174.84</v>
      </c>
      <c r="AH83" s="319" t="n">
        <v>4871.05</v>
      </c>
      <c r="AI83" s="319" t="n">
        <v>3579.92</v>
      </c>
      <c r="AJ83" s="319" t="n">
        <v>8003.63</v>
      </c>
    </row>
    <row r="84" customFormat="false" ht="17.35" hidden="false" customHeight="false" outlineLevel="0" collapsed="false">
      <c r="A84" s="317" t="str">
        <f aca="false">IFERROR(TRIM(VLOOKUP(UPPER(D82),table_lookups,2,FALSE())),IF(ROW()&gt;2,A83,""))</f>
        <v>EXPENSES</v>
      </c>
      <c r="B84" s="309" t="n">
        <v>309</v>
      </c>
      <c r="C84" s="310"/>
      <c r="D84" s="314" t="str">
        <f aca="false">IFERROR(VLOOKUP(B84,'[1]detailed model'!$a$6:$C$92,3,FALSE()),"NOT CODED/ERROR")</f>
        <v>Employee Benefits</v>
      </c>
      <c r="E84" s="311"/>
      <c r="F84" s="312" t="e">
        <f aca="false">VLOOKUP(B84,'[1]detailed model'!a85:C144,3,FALSE())</f>
        <v>#NAME?</v>
      </c>
      <c r="G84" s="0" t="s">
        <v>217</v>
      </c>
      <c r="H84" s="315"/>
      <c r="I84" s="315"/>
      <c r="J84" s="315"/>
      <c r="K84" s="315"/>
      <c r="L84" s="315"/>
      <c r="M84" s="315"/>
      <c r="N84" s="315"/>
      <c r="O84" s="315"/>
      <c r="P84" s="315"/>
      <c r="Q84" s="315"/>
      <c r="R84" s="315"/>
      <c r="S84" s="315"/>
      <c r="T84" s="315"/>
      <c r="U84" s="315"/>
      <c r="V84" s="315"/>
      <c r="W84" s="315"/>
      <c r="X84" s="315"/>
      <c r="Y84" s="319" t="n">
        <v>7920.14</v>
      </c>
      <c r="Z84" s="319" t="n">
        <v>8341.14</v>
      </c>
      <c r="AA84" s="319" t="n">
        <v>6888.37</v>
      </c>
      <c r="AB84" s="319" t="n">
        <v>7897.26</v>
      </c>
      <c r="AC84" s="319" t="n">
        <v>9892.34</v>
      </c>
      <c r="AD84" s="319" t="n">
        <v>8609.92</v>
      </c>
      <c r="AE84" s="319" t="n">
        <v>11426.62</v>
      </c>
      <c r="AF84" s="319" t="n">
        <v>7999.43</v>
      </c>
      <c r="AG84" s="319" t="n">
        <v>6308.27</v>
      </c>
      <c r="AH84" s="319" t="n">
        <v>6966.74</v>
      </c>
      <c r="AI84" s="319" t="n">
        <v>5659.2</v>
      </c>
      <c r="AJ84" s="319" t="n">
        <v>6550.87</v>
      </c>
    </row>
    <row r="85" customFormat="false" ht="17.35" hidden="false" customHeight="false" outlineLevel="0" collapsed="false">
      <c r="A85" s="317" t="str">
        <f aca="false">IFERROR(TRIM(VLOOKUP(UPPER(D83),table_lookups,2,FALSE())),IF(ROW()&gt;2,A84,""))</f>
        <v>EXPENSES</v>
      </c>
      <c r="B85" s="309" t="n">
        <v>309</v>
      </c>
      <c r="C85" s="310"/>
      <c r="D85" s="314" t="str">
        <f aca="false">IFERROR(VLOOKUP(B85,'[1]detailed model'!$a$6:$C$92,3,FALSE()),"NOT CODED/ERROR")</f>
        <v>Employee Benefits</v>
      </c>
      <c r="E85" s="311"/>
      <c r="F85" s="312" t="e">
        <f aca="false">VLOOKUP(B85,'[1]detailed model'!a86:C145,3,FALSE())</f>
        <v>#NAME?</v>
      </c>
      <c r="G85" s="0" t="s">
        <v>218</v>
      </c>
      <c r="H85" s="315"/>
      <c r="I85" s="315"/>
      <c r="J85" s="315"/>
      <c r="K85" s="315"/>
      <c r="L85" s="315"/>
      <c r="M85" s="315"/>
      <c r="N85" s="315"/>
      <c r="O85" s="315"/>
      <c r="P85" s="315"/>
      <c r="Q85" s="315"/>
      <c r="R85" s="315"/>
      <c r="S85" s="315"/>
      <c r="T85" s="315"/>
      <c r="U85" s="315"/>
      <c r="V85" s="315"/>
      <c r="W85" s="315"/>
      <c r="X85" s="315"/>
      <c r="Y85" s="319" t="n">
        <v>2937.09</v>
      </c>
      <c r="Z85" s="319" t="n">
        <v>5287.08</v>
      </c>
      <c r="AA85" s="319" t="n">
        <v>3500.87</v>
      </c>
      <c r="AB85" s="319" t="n">
        <v>4257.36</v>
      </c>
      <c r="AC85" s="319" t="n">
        <v>4753.83</v>
      </c>
      <c r="AD85" s="319" t="n">
        <v>4260.92</v>
      </c>
      <c r="AE85" s="319" t="n">
        <v>5293.36</v>
      </c>
      <c r="AF85" s="319" t="n">
        <v>4819.84</v>
      </c>
      <c r="AG85" s="319" t="n">
        <v>3691.97</v>
      </c>
      <c r="AH85" s="319" t="n">
        <v>3261.29</v>
      </c>
      <c r="AI85" s="319" t="n">
        <v>3728.84</v>
      </c>
      <c r="AJ85" s="319" t="n">
        <v>4274.98</v>
      </c>
    </row>
    <row r="86" customFormat="false" ht="17.35" hidden="false" customHeight="false" outlineLevel="0" collapsed="false">
      <c r="A86" s="317" t="str">
        <f aca="false">IFERROR(TRIM(VLOOKUP(UPPER(D84),table_lookups,2,FALSE())),IF(ROW()&gt;2,A85,""))</f>
        <v>EXPENSES</v>
      </c>
      <c r="B86" s="309" t="n">
        <v>309</v>
      </c>
      <c r="C86" s="310"/>
      <c r="D86" s="314" t="str">
        <f aca="false">IFERROR(VLOOKUP(B86,'[1]detailed model'!$a$6:$C$92,3,FALSE()),"NOT CODED/ERROR")</f>
        <v>Employee Benefits</v>
      </c>
      <c r="E86" s="311"/>
      <c r="F86" s="312" t="e">
        <f aca="false">VLOOKUP(B86,'[1]detailed model'!a87:C146,3,FALSE())</f>
        <v>#NAME?</v>
      </c>
      <c r="G86" s="0" t="s">
        <v>219</v>
      </c>
      <c r="H86" s="315"/>
      <c r="I86" s="315"/>
      <c r="J86" s="315"/>
      <c r="K86" s="315"/>
      <c r="L86" s="315"/>
      <c r="M86" s="315"/>
      <c r="N86" s="315"/>
      <c r="O86" s="315"/>
      <c r="P86" s="315"/>
      <c r="Q86" s="315"/>
      <c r="R86" s="315"/>
      <c r="S86" s="315"/>
      <c r="T86" s="315"/>
      <c r="U86" s="315"/>
      <c r="V86" s="315"/>
      <c r="W86" s="315"/>
      <c r="X86" s="315"/>
      <c r="Y86" s="319" t="n">
        <v>1266.4</v>
      </c>
      <c r="Z86" s="319" t="n">
        <v>2870.59</v>
      </c>
      <c r="AA86" s="319" t="n">
        <v>0</v>
      </c>
      <c r="AB86" s="319" t="n">
        <v>0</v>
      </c>
      <c r="AC86" s="319" t="n">
        <v>506.6</v>
      </c>
      <c r="AD86" s="319" t="n">
        <v>253.31</v>
      </c>
      <c r="AE86" s="319" t="n">
        <v>0</v>
      </c>
      <c r="AF86" s="319" t="n">
        <v>13385.17</v>
      </c>
      <c r="AG86" s="319" t="n">
        <v>0</v>
      </c>
      <c r="AH86" s="319" t="n">
        <v>0</v>
      </c>
      <c r="AI86" s="319" t="n">
        <v>0</v>
      </c>
      <c r="AJ86" s="319" t="n">
        <v>0</v>
      </c>
    </row>
    <row r="87" customFormat="false" ht="17.35" hidden="false" customHeight="false" outlineLevel="0" collapsed="false">
      <c r="A87" s="317" t="str">
        <f aca="false">IFERROR(TRIM(VLOOKUP(UPPER(D85),table_lookups,2,FALSE())),IF(ROW()&gt;2,A86,""))</f>
        <v>EXPENSES</v>
      </c>
      <c r="B87" s="309" t="n">
        <v>309</v>
      </c>
      <c r="C87" s="310"/>
      <c r="D87" s="314" t="str">
        <f aca="false">IFERROR(VLOOKUP(B87,'[1]detailed model'!$a$6:$C$92,3,FALSE()),"NOT CODED/ERROR")</f>
        <v>Employee Benefits</v>
      </c>
      <c r="E87" s="311"/>
      <c r="F87" s="312" t="e">
        <f aca="false">VLOOKUP(B87,'[1]detailed model'!a88:C147,3,FALSE())</f>
        <v>#NAME?</v>
      </c>
      <c r="G87" s="0" t="s">
        <v>220</v>
      </c>
      <c r="H87" s="315"/>
      <c r="I87" s="315"/>
      <c r="J87" s="315"/>
      <c r="K87" s="315"/>
      <c r="L87" s="315"/>
      <c r="M87" s="315"/>
      <c r="N87" s="315"/>
      <c r="O87" s="315"/>
      <c r="P87" s="315"/>
      <c r="Q87" s="315"/>
      <c r="R87" s="315"/>
      <c r="S87" s="315"/>
      <c r="T87" s="315"/>
      <c r="U87" s="315"/>
      <c r="V87" s="315"/>
      <c r="W87" s="315"/>
      <c r="X87" s="315"/>
      <c r="Y87" s="319" t="n">
        <v>39.09</v>
      </c>
      <c r="Z87" s="319" t="n">
        <v>176</v>
      </c>
      <c r="AA87" s="319" t="n">
        <v>671.95</v>
      </c>
      <c r="AB87" s="319" t="n">
        <v>272.52</v>
      </c>
      <c r="AC87" s="319" t="n">
        <v>96.82</v>
      </c>
      <c r="AD87" s="319" t="n">
        <v>3033.28</v>
      </c>
      <c r="AE87" s="319" t="n">
        <v>648.89</v>
      </c>
      <c r="AF87" s="319" t="n">
        <v>1328.07</v>
      </c>
      <c r="AG87" s="319" t="n">
        <v>1149.04</v>
      </c>
      <c r="AH87" s="319" t="n">
        <v>122.76</v>
      </c>
      <c r="AI87" s="319" t="n">
        <v>80.44</v>
      </c>
      <c r="AJ87" s="319" t="n">
        <v>485.32</v>
      </c>
    </row>
    <row r="88" customFormat="false" ht="17.35" hidden="false" customHeight="false" outlineLevel="0" collapsed="false">
      <c r="A88" s="317" t="str">
        <f aca="false">IFERROR(TRIM(VLOOKUP(UPPER(D86),table_lookups,2,FALSE())),IF(ROW()&gt;2,A87,""))</f>
        <v>EXPENSES</v>
      </c>
      <c r="B88" s="309" t="n">
        <v>309</v>
      </c>
      <c r="C88" s="310"/>
      <c r="D88" s="314" t="str">
        <f aca="false">IFERROR(VLOOKUP(B88,'[1]detailed model'!$a$6:$C$92,3,FALSE()),"NOT CODED/ERROR")</f>
        <v>Employee Benefits</v>
      </c>
      <c r="E88" s="311"/>
      <c r="F88" s="312" t="e">
        <f aca="false">VLOOKUP(B88,'[1]detailed model'!a89:C148,3,FALSE())</f>
        <v>#NAME?</v>
      </c>
      <c r="G88" s="0" t="s">
        <v>221</v>
      </c>
      <c r="H88" s="315"/>
      <c r="I88" s="315"/>
      <c r="J88" s="315"/>
      <c r="K88" s="315"/>
      <c r="L88" s="315"/>
      <c r="M88" s="315"/>
      <c r="N88" s="315"/>
      <c r="O88" s="315"/>
      <c r="P88" s="315"/>
      <c r="Q88" s="315"/>
      <c r="R88" s="315"/>
      <c r="S88" s="315"/>
      <c r="T88" s="315"/>
      <c r="U88" s="315"/>
      <c r="V88" s="315"/>
      <c r="W88" s="315"/>
      <c r="X88" s="315"/>
      <c r="Y88" s="319" t="n">
        <v>-1556.83</v>
      </c>
      <c r="Z88" s="319" t="n">
        <v>1929.92</v>
      </c>
      <c r="AA88" s="319" t="n">
        <v>3491.69</v>
      </c>
      <c r="AB88" s="319" t="n">
        <v>1720.13</v>
      </c>
      <c r="AC88" s="319" t="n">
        <v>0</v>
      </c>
      <c r="AD88" s="319" t="n">
        <v>0</v>
      </c>
      <c r="AE88" s="319" t="n">
        <v>0</v>
      </c>
      <c r="AF88" s="319" t="n">
        <v>978.94</v>
      </c>
      <c r="AG88" s="319" t="n">
        <v>0</v>
      </c>
      <c r="AH88" s="319" t="n">
        <v>586.45</v>
      </c>
      <c r="AI88" s="319" t="n">
        <v>0</v>
      </c>
      <c r="AJ88" s="319" t="n">
        <v>1681.65</v>
      </c>
    </row>
    <row r="89" customFormat="false" ht="17.35" hidden="false" customHeight="false" outlineLevel="0" collapsed="false">
      <c r="A89" s="317" t="str">
        <f aca="false">IFERROR(TRIM(VLOOKUP(UPPER(D87),table_lookups,2,FALSE())),IF(ROW()&gt;2,A88,""))</f>
        <v>EXPENSES</v>
      </c>
      <c r="B89" s="309" t="n">
        <v>309</v>
      </c>
      <c r="C89" s="310"/>
      <c r="D89" s="314" t="str">
        <f aca="false">IFERROR(VLOOKUP(B89,'[1]detailed model'!$a$6:$C$92,3,FALSE()),"NOT CODED/ERROR")</f>
        <v>Employee Benefits</v>
      </c>
      <c r="E89" s="311"/>
      <c r="F89" s="312" t="e">
        <f aca="false">VLOOKUP(B89,'[1]detailed model'!a90:C149,3,FALSE())</f>
        <v>#NAME?</v>
      </c>
      <c r="G89" s="0" t="s">
        <v>222</v>
      </c>
      <c r="H89" s="315"/>
      <c r="I89" s="315"/>
      <c r="J89" s="315"/>
      <c r="K89" s="315"/>
      <c r="L89" s="315"/>
      <c r="M89" s="315"/>
      <c r="N89" s="315"/>
      <c r="O89" s="315"/>
      <c r="P89" s="315"/>
      <c r="Q89" s="315"/>
      <c r="R89" s="315"/>
      <c r="S89" s="315"/>
      <c r="T89" s="315"/>
      <c r="U89" s="315"/>
      <c r="V89" s="315"/>
      <c r="W89" s="315"/>
      <c r="X89" s="315"/>
      <c r="Y89" s="319" t="n">
        <v>2978.53</v>
      </c>
      <c r="Z89" s="319" t="n">
        <v>2950.65</v>
      </c>
      <c r="AA89" s="319" t="n">
        <v>1782.05</v>
      </c>
      <c r="AB89" s="319" t="n">
        <v>1691.82</v>
      </c>
      <c r="AC89" s="319" t="n">
        <v>415.02</v>
      </c>
      <c r="AD89" s="319" t="n">
        <v>1109.81</v>
      </c>
      <c r="AE89" s="319" t="n">
        <v>3036.7</v>
      </c>
      <c r="AF89" s="319" t="n">
        <v>1625.01</v>
      </c>
      <c r="AG89" s="319" t="n">
        <v>392.16</v>
      </c>
      <c r="AH89" s="319" t="n">
        <v>948.9</v>
      </c>
      <c r="AI89" s="319" t="n">
        <v>1594.55</v>
      </c>
      <c r="AJ89" s="319" t="n">
        <v>873.01</v>
      </c>
    </row>
    <row r="90" customFormat="false" ht="17.35" hidden="false" customHeight="false" outlineLevel="0" collapsed="false">
      <c r="A90" s="317" t="str">
        <f aca="false">IFERROR(TRIM(VLOOKUP(UPPER(D88),table_lookups,2,FALSE())),IF(ROW()&gt;2,A89,""))</f>
        <v>EXPENSES</v>
      </c>
      <c r="B90" s="309"/>
      <c r="C90" s="310"/>
      <c r="D90" s="314" t="str">
        <f aca="false">IFERROR(VLOOKUP(B90,'[1]detailed model'!$a$6:$C$92,3,FALSE()),"NOT CODED/ERROR")</f>
        <v>NOT CODED/ERROR</v>
      </c>
      <c r="E90" s="311"/>
      <c r="F90" s="312" t="e">
        <f aca="false">VLOOKUP(B90,'[1]detailed model'!a91:C150,3,FALSE())</f>
        <v>#NAME?</v>
      </c>
      <c r="G90" s="0" t="s">
        <v>223</v>
      </c>
      <c r="H90" s="315"/>
      <c r="I90" s="315"/>
      <c r="J90" s="315"/>
      <c r="K90" s="315"/>
      <c r="L90" s="315"/>
      <c r="M90" s="315"/>
      <c r="N90" s="315"/>
      <c r="O90" s="315"/>
      <c r="P90" s="315"/>
      <c r="Q90" s="315"/>
      <c r="R90" s="315"/>
      <c r="S90" s="315"/>
      <c r="T90" s="315"/>
      <c r="U90" s="315"/>
      <c r="V90" s="315"/>
      <c r="W90" s="315"/>
      <c r="X90" s="315"/>
      <c r="Y90" s="319" t="n">
        <v>116768.38</v>
      </c>
      <c r="Z90" s="319" t="n">
        <v>125008.89</v>
      </c>
      <c r="AA90" s="319" t="n">
        <v>123879.68</v>
      </c>
      <c r="AB90" s="319" t="n">
        <v>125042.35</v>
      </c>
      <c r="AC90" s="319" t="n">
        <v>129604.76</v>
      </c>
      <c r="AD90" s="319" t="n">
        <v>129053.09</v>
      </c>
      <c r="AE90" s="319" t="n">
        <v>140158.82</v>
      </c>
      <c r="AF90" s="319" t="n">
        <v>177266.59</v>
      </c>
      <c r="AG90" s="319" t="n">
        <v>128415.99</v>
      </c>
      <c r="AH90" s="319" t="n">
        <v>127287.21</v>
      </c>
      <c r="AI90" s="319" t="n">
        <v>119272.57</v>
      </c>
      <c r="AJ90" s="319" t="n">
        <v>125465.11</v>
      </c>
    </row>
    <row r="91" customFormat="false" ht="17.35" hidden="false" customHeight="false" outlineLevel="0" collapsed="false">
      <c r="A91" s="317" t="str">
        <f aca="false">IFERROR(TRIM(VLOOKUP(UPPER(D89),table_lookups,2,FALSE())),IF(ROW()&gt;2,A90,""))</f>
        <v>EXPENSES</v>
      </c>
      <c r="B91" s="309"/>
      <c r="C91" s="310"/>
      <c r="D91" s="314" t="str">
        <f aca="false">IFERROR(VLOOKUP(B91,'[1]detailed model'!$a$6:$C$92,3,FALSE()),"NOT CODED/ERROR")</f>
        <v>NOT CODED/ERROR</v>
      </c>
      <c r="E91" s="311"/>
      <c r="F91" s="312" t="e">
        <f aca="false">VLOOKUP(B91,'[1]detailed model'!a92:C151,3,FALSE())</f>
        <v>#NAME?</v>
      </c>
      <c r="G91" s="0" t="s">
        <v>171</v>
      </c>
    </row>
    <row r="92" customFormat="false" ht="17.35" hidden="false" customHeight="false" outlineLevel="0" collapsed="false">
      <c r="A92" s="317" t="str">
        <f aca="false">IFERROR(TRIM(VLOOKUP(UPPER(D90),table_lookups,2,FALSE())),IF(ROW()&gt;2,A91,""))</f>
        <v>EXPENSES</v>
      </c>
      <c r="B92" s="309"/>
      <c r="C92" s="310"/>
      <c r="D92" s="314" t="str">
        <f aca="false">IFERROR(VLOOKUP(B92,'[1]detailed model'!$a$6:$C$92,3,FALSE()),"NOT CODED/ERROR")</f>
        <v>NOT CODED/ERROR</v>
      </c>
      <c r="E92" s="311"/>
      <c r="F92" s="312" t="e">
        <f aca="false">VLOOKUP(B92,'[1]detailed model'!a93:C152,3,FALSE())</f>
        <v>#NAME?</v>
      </c>
      <c r="G92" s="0" t="s">
        <v>224</v>
      </c>
      <c r="H92" s="315"/>
      <c r="I92" s="315"/>
      <c r="J92" s="315"/>
      <c r="K92" s="315"/>
      <c r="L92" s="315"/>
      <c r="M92" s="315"/>
      <c r="N92" s="315"/>
      <c r="O92" s="315"/>
      <c r="P92" s="315"/>
      <c r="Q92" s="315"/>
      <c r="R92" s="315"/>
      <c r="S92" s="315"/>
      <c r="T92" s="315"/>
      <c r="U92" s="315"/>
      <c r="V92" s="315"/>
      <c r="W92" s="315"/>
      <c r="X92" s="315"/>
      <c r="Y92" s="0" t="s">
        <v>176</v>
      </c>
      <c r="Z92" s="0" t="s">
        <v>176</v>
      </c>
      <c r="AA92" s="0" t="s">
        <v>176</v>
      </c>
      <c r="AB92" s="0" t="s">
        <v>176</v>
      </c>
      <c r="AC92" s="0" t="s">
        <v>176</v>
      </c>
      <c r="AD92" s="0" t="s">
        <v>176</v>
      </c>
      <c r="AE92" s="0" t="s">
        <v>176</v>
      </c>
      <c r="AF92" s="0" t="s">
        <v>176</v>
      </c>
      <c r="AG92" s="0" t="s">
        <v>176</v>
      </c>
      <c r="AH92" s="0" t="s">
        <v>176</v>
      </c>
      <c r="AI92" s="0" t="s">
        <v>176</v>
      </c>
      <c r="AJ92" s="0" t="s">
        <v>176</v>
      </c>
    </row>
    <row r="93" customFormat="false" ht="17.35" hidden="false" customHeight="false" outlineLevel="0" collapsed="false">
      <c r="A93" s="317" t="str">
        <f aca="false">IFERROR(TRIM(VLOOKUP(UPPER(D91),table_lookups,2,FALSE())),IF(ROW()&gt;2,A92,""))</f>
        <v>EXPENSES</v>
      </c>
      <c r="B93" s="309" t="n">
        <v>307</v>
      </c>
      <c r="C93" s="310"/>
      <c r="D93" s="314" t="str">
        <f aca="false">IFERROR(VLOOKUP(B93,'[1]detailed model'!$a$6:$C$92,3,FALSE()),"NOT CODED/ERROR")</f>
        <v>Marketing</v>
      </c>
      <c r="E93" s="311"/>
      <c r="F93" s="312" t="e">
        <f aca="false">VLOOKUP(B93,'[1]detailed model'!a93:C153,3,FALSE())</f>
        <v>#NAME?</v>
      </c>
      <c r="G93" s="0" t="s">
        <v>225</v>
      </c>
      <c r="H93" s="315"/>
      <c r="I93" s="315"/>
      <c r="J93" s="315"/>
      <c r="K93" s="315"/>
      <c r="L93" s="315"/>
      <c r="M93" s="315"/>
      <c r="N93" s="315"/>
      <c r="O93" s="315"/>
      <c r="P93" s="315"/>
      <c r="Q93" s="315"/>
      <c r="R93" s="315"/>
      <c r="S93" s="315"/>
      <c r="T93" s="315"/>
      <c r="U93" s="315"/>
      <c r="V93" s="315"/>
      <c r="W93" s="315"/>
      <c r="X93" s="315"/>
      <c r="Y93" s="319" t="n">
        <v>6715.35</v>
      </c>
      <c r="Z93" s="319" t="n">
        <v>7085.25</v>
      </c>
      <c r="AA93" s="319" t="n">
        <v>8878.1</v>
      </c>
      <c r="AB93" s="319" t="n">
        <v>7050.15</v>
      </c>
      <c r="AC93" s="319" t="n">
        <v>6893.64</v>
      </c>
      <c r="AD93" s="319" t="n">
        <v>7558.3</v>
      </c>
      <c r="AE93" s="319" t="n">
        <v>6847.75</v>
      </c>
      <c r="AF93" s="319" t="n">
        <v>9164.32</v>
      </c>
      <c r="AG93" s="319" t="n">
        <v>7304.76</v>
      </c>
      <c r="AH93" s="319" t="n">
        <v>7653.78</v>
      </c>
      <c r="AI93" s="319" t="n">
        <v>7696.42</v>
      </c>
      <c r="AJ93" s="319" t="n">
        <v>7709.4</v>
      </c>
    </row>
    <row r="94" customFormat="false" ht="17.35" hidden="false" customHeight="false" outlineLevel="0" collapsed="false">
      <c r="A94" s="317" t="str">
        <f aca="false">IFERROR(TRIM(VLOOKUP(UPPER(D92),table_lookups,2,FALSE())),IF(ROW()&gt;2,A93,""))</f>
        <v>EXPENSES</v>
      </c>
      <c r="B94" s="309" t="n">
        <v>307</v>
      </c>
      <c r="C94" s="310"/>
      <c r="D94" s="314" t="str">
        <f aca="false">IFERROR(VLOOKUP(B94,'[1]detailed model'!$a$6:$C$92,3,FALSE()),"NOT CODED/ERROR")</f>
        <v>Marketing</v>
      </c>
      <c r="E94" s="311"/>
      <c r="F94" s="312" t="e">
        <f aca="false">VLOOKUP(B94,'[1]detailed model'!a93:C154,3,FALSE())</f>
        <v>#NAME?</v>
      </c>
      <c r="G94" s="0" t="s">
        <v>226</v>
      </c>
      <c r="H94" s="315"/>
      <c r="I94" s="315"/>
      <c r="J94" s="315"/>
      <c r="K94" s="315"/>
      <c r="L94" s="315"/>
      <c r="M94" s="315"/>
      <c r="N94" s="315"/>
      <c r="O94" s="315"/>
      <c r="P94" s="315"/>
      <c r="Q94" s="315"/>
      <c r="R94" s="315"/>
      <c r="S94" s="315"/>
      <c r="T94" s="315"/>
      <c r="U94" s="315"/>
      <c r="V94" s="315"/>
      <c r="W94" s="315"/>
      <c r="X94" s="315"/>
      <c r="Y94" s="319" t="n">
        <v>2134.12</v>
      </c>
      <c r="Z94" s="319" t="n">
        <v>1510.4</v>
      </c>
      <c r="AA94" s="319" t="n">
        <v>1936.89</v>
      </c>
      <c r="AB94" s="319" t="n">
        <v>1120.13</v>
      </c>
      <c r="AC94" s="319" t="n">
        <v>1928.54</v>
      </c>
      <c r="AD94" s="319" t="n">
        <v>1082.56</v>
      </c>
      <c r="AE94" s="319" t="n">
        <v>960.1</v>
      </c>
      <c r="AF94" s="319" t="n">
        <v>1290.21</v>
      </c>
      <c r="AG94" s="319" t="n">
        <v>1478.34</v>
      </c>
      <c r="AH94" s="319" t="n">
        <v>1833.38</v>
      </c>
      <c r="AI94" s="319" t="n">
        <v>1794.42</v>
      </c>
      <c r="AJ94" s="319" t="n">
        <v>1192.91</v>
      </c>
    </row>
    <row r="95" customFormat="false" ht="17.35" hidden="false" customHeight="false" outlineLevel="0" collapsed="false">
      <c r="A95" s="317" t="str">
        <f aca="false">IFERROR(TRIM(VLOOKUP(UPPER(D93),table_lookups,2,FALSE())),IF(ROW()&gt;2,A94,""))</f>
        <v>EXPENSES</v>
      </c>
      <c r="B95" s="309" t="n">
        <v>307</v>
      </c>
      <c r="C95" s="310"/>
      <c r="D95" s="314" t="str">
        <f aca="false">IFERROR(VLOOKUP(B95,'[1]detailed model'!$a$6:$C$92,3,FALSE()),"NOT CODED/ERROR")</f>
        <v>Marketing</v>
      </c>
      <c r="E95" s="311"/>
      <c r="F95" s="312" t="e">
        <f aca="false">VLOOKUP(B95,'[1]detailed model'!a94:C155,3,FALSE())</f>
        <v>#NAME?</v>
      </c>
      <c r="G95" s="0" t="s">
        <v>227</v>
      </c>
      <c r="H95" s="315"/>
      <c r="I95" s="315"/>
      <c r="J95" s="315"/>
      <c r="K95" s="315"/>
      <c r="L95" s="315"/>
      <c r="M95" s="315"/>
      <c r="N95" s="315"/>
      <c r="O95" s="315"/>
      <c r="P95" s="315"/>
      <c r="Q95" s="315"/>
      <c r="R95" s="315"/>
      <c r="S95" s="315"/>
      <c r="T95" s="315"/>
      <c r="U95" s="315"/>
      <c r="V95" s="315"/>
      <c r="W95" s="315"/>
      <c r="X95" s="315"/>
      <c r="Y95" s="319" t="n">
        <v>757.14</v>
      </c>
      <c r="Z95" s="319" t="n">
        <v>812.22</v>
      </c>
      <c r="AA95" s="319" t="n">
        <v>544.34</v>
      </c>
      <c r="AB95" s="319" t="n">
        <v>819.43</v>
      </c>
      <c r="AC95" s="319" t="n">
        <v>546.12</v>
      </c>
      <c r="AD95" s="319" t="n">
        <v>857.23</v>
      </c>
      <c r="AE95" s="319" t="n">
        <v>813.26</v>
      </c>
      <c r="AF95" s="319" t="n">
        <v>579.17</v>
      </c>
      <c r="AG95" s="319" t="n">
        <v>494.91</v>
      </c>
      <c r="AH95" s="319" t="n">
        <v>485.23</v>
      </c>
      <c r="AI95" s="319" t="n">
        <v>497.08</v>
      </c>
      <c r="AJ95" s="319" t="n">
        <v>881.5</v>
      </c>
    </row>
    <row r="96" customFormat="false" ht="17.35" hidden="false" customHeight="false" outlineLevel="0" collapsed="false">
      <c r="A96" s="317" t="str">
        <f aca="false">IFERROR(TRIM(VLOOKUP(UPPER(D94),table_lookups,2,FALSE())),IF(ROW()&gt;2,A95,""))</f>
        <v>EXPENSES</v>
      </c>
      <c r="B96" s="309" t="n">
        <v>307</v>
      </c>
      <c r="C96" s="310"/>
      <c r="D96" s="314" t="str">
        <f aca="false">IFERROR(VLOOKUP(B96,'[1]detailed model'!$a$6:$C$92,3,FALSE()),"NOT CODED/ERROR")</f>
        <v>Marketing</v>
      </c>
      <c r="E96" s="311"/>
      <c r="F96" s="312" t="e">
        <f aca="false">VLOOKUP(B96,'[1]detailed model'!a95:C156,3,FALSE())</f>
        <v>#NAME?</v>
      </c>
      <c r="G96" s="0" t="s">
        <v>228</v>
      </c>
      <c r="H96" s="315"/>
      <c r="I96" s="315"/>
      <c r="J96" s="315"/>
      <c r="K96" s="315"/>
      <c r="L96" s="315"/>
      <c r="M96" s="315"/>
      <c r="N96" s="315"/>
      <c r="O96" s="315"/>
      <c r="P96" s="315"/>
      <c r="Q96" s="315"/>
      <c r="R96" s="315"/>
      <c r="S96" s="315"/>
      <c r="T96" s="315"/>
      <c r="U96" s="315"/>
      <c r="V96" s="315"/>
      <c r="W96" s="315"/>
      <c r="X96" s="315"/>
      <c r="Y96" s="319" t="n">
        <v>808.56</v>
      </c>
      <c r="Z96" s="319" t="n">
        <v>894.03</v>
      </c>
      <c r="AA96" s="319" t="n">
        <v>989.02</v>
      </c>
      <c r="AB96" s="319" t="n">
        <v>792.35</v>
      </c>
      <c r="AC96" s="319" t="n">
        <v>896.19</v>
      </c>
      <c r="AD96" s="319" t="n">
        <v>831.94</v>
      </c>
      <c r="AE96" s="319" t="n">
        <v>669.72</v>
      </c>
      <c r="AF96" s="319" t="n">
        <v>1060.8</v>
      </c>
      <c r="AG96" s="319" t="n">
        <v>850.54</v>
      </c>
      <c r="AH96" s="319" t="n">
        <v>773.78</v>
      </c>
      <c r="AI96" s="319" t="n">
        <v>741.04</v>
      </c>
      <c r="AJ96" s="319" t="n">
        <v>844.83</v>
      </c>
    </row>
    <row r="97" customFormat="false" ht="17.35" hidden="false" customHeight="false" outlineLevel="0" collapsed="false">
      <c r="A97" s="317" t="str">
        <f aca="false">IFERROR(TRIM(VLOOKUP(UPPER(D95),table_lookups,2,FALSE())),IF(ROW()&gt;2,A96,""))</f>
        <v>EXPENSES</v>
      </c>
      <c r="B97" s="309" t="n">
        <v>307</v>
      </c>
      <c r="C97" s="310"/>
      <c r="D97" s="314" t="str">
        <f aca="false">IFERROR(VLOOKUP(B97,'[1]detailed model'!$a$6:$C$92,3,FALSE()),"NOT CODED/ERROR")</f>
        <v>Marketing</v>
      </c>
      <c r="E97" s="311"/>
      <c r="F97" s="312" t="e">
        <f aca="false">VLOOKUP(B97,'[1]detailed model'!a96:C157,3,FALSE())</f>
        <v>#NAME?</v>
      </c>
      <c r="G97" s="0" t="s">
        <v>229</v>
      </c>
      <c r="H97" s="315"/>
      <c r="I97" s="315"/>
      <c r="J97" s="315"/>
      <c r="K97" s="315"/>
      <c r="L97" s="315"/>
      <c r="M97" s="315"/>
      <c r="N97" s="315"/>
      <c r="O97" s="315"/>
      <c r="P97" s="315"/>
      <c r="Q97" s="315"/>
      <c r="R97" s="315"/>
      <c r="S97" s="315"/>
      <c r="T97" s="315"/>
      <c r="U97" s="315"/>
      <c r="V97" s="315"/>
      <c r="W97" s="315"/>
      <c r="X97" s="315"/>
      <c r="Y97" s="319" t="n">
        <v>4900</v>
      </c>
      <c r="Z97" s="319" t="n">
        <v>8550</v>
      </c>
      <c r="AA97" s="319" t="n">
        <v>2150</v>
      </c>
      <c r="AB97" s="319" t="n">
        <v>8180</v>
      </c>
      <c r="AC97" s="319" t="n">
        <v>8700</v>
      </c>
      <c r="AD97" s="319" t="n">
        <v>4150</v>
      </c>
      <c r="AE97" s="319" t="n">
        <v>1000</v>
      </c>
      <c r="AF97" s="319" t="n">
        <v>4766</v>
      </c>
      <c r="AG97" s="319" t="n">
        <v>8146</v>
      </c>
      <c r="AH97" s="319" t="n">
        <v>8147</v>
      </c>
      <c r="AI97" s="319" t="n">
        <v>2100</v>
      </c>
      <c r="AJ97" s="319" t="n">
        <v>6161</v>
      </c>
    </row>
    <row r="98" customFormat="false" ht="17.35" hidden="false" customHeight="false" outlineLevel="0" collapsed="false">
      <c r="A98" s="317" t="str">
        <f aca="false">IFERROR(TRIM(VLOOKUP(UPPER(D96),table_lookups,2,FALSE())),IF(ROW()&gt;2,A97,""))</f>
        <v>EXPENSES</v>
      </c>
      <c r="B98" s="309" t="n">
        <v>307</v>
      </c>
      <c r="C98" s="310"/>
      <c r="D98" s="314" t="str">
        <f aca="false">IFERROR(VLOOKUP(B98,'[1]detailed model'!$a$6:$C$92,3,FALSE()),"NOT CODED/ERROR")</f>
        <v>Marketing</v>
      </c>
      <c r="E98" s="311"/>
      <c r="F98" s="312" t="e">
        <f aca="false">VLOOKUP(B98,'[1]detailed model'!a97:C158,3,FALSE())</f>
        <v>#NAME?</v>
      </c>
      <c r="G98" s="0" t="s">
        <v>230</v>
      </c>
      <c r="H98" s="315"/>
      <c r="I98" s="315"/>
      <c r="J98" s="315"/>
      <c r="K98" s="315"/>
      <c r="L98" s="315"/>
      <c r="M98" s="315"/>
      <c r="N98" s="315"/>
      <c r="O98" s="315"/>
      <c r="P98" s="315"/>
      <c r="Q98" s="315"/>
      <c r="R98" s="315"/>
      <c r="S98" s="315"/>
      <c r="T98" s="315"/>
      <c r="U98" s="315"/>
      <c r="V98" s="315"/>
      <c r="W98" s="315"/>
      <c r="X98" s="315"/>
      <c r="Y98" s="319" t="n">
        <v>55</v>
      </c>
      <c r="Z98" s="319" t="n">
        <v>55</v>
      </c>
      <c r="AA98" s="319" t="n">
        <v>55</v>
      </c>
      <c r="AB98" s="319" t="n">
        <v>55</v>
      </c>
      <c r="AC98" s="319" t="n">
        <v>55</v>
      </c>
      <c r="AD98" s="319" t="n">
        <v>55</v>
      </c>
      <c r="AE98" s="319" t="n">
        <v>55</v>
      </c>
      <c r="AF98" s="319" t="n">
        <v>55</v>
      </c>
      <c r="AG98" s="319" t="n">
        <v>0</v>
      </c>
      <c r="AH98" s="319" t="n">
        <v>55</v>
      </c>
      <c r="AI98" s="319" t="n">
        <v>0</v>
      </c>
      <c r="AJ98" s="319" t="n">
        <v>0</v>
      </c>
    </row>
    <row r="99" customFormat="false" ht="17.35" hidden="false" customHeight="false" outlineLevel="0" collapsed="false">
      <c r="A99" s="317" t="str">
        <f aca="false">IFERROR(TRIM(VLOOKUP(UPPER(D97),table_lookups,2,FALSE())),IF(ROW()&gt;2,A98,""))</f>
        <v>EXPENSES</v>
      </c>
      <c r="B99" s="309" t="n">
        <v>307</v>
      </c>
      <c r="C99" s="310"/>
      <c r="D99" s="314" t="str">
        <f aca="false">IFERROR(VLOOKUP(B99,'[1]detailed model'!$a$6:$C$92,3,FALSE()),"NOT CODED/ERROR")</f>
        <v>Marketing</v>
      </c>
      <c r="E99" s="311"/>
      <c r="F99" s="312" t="e">
        <f aca="false">VLOOKUP(B99,'[1]detailed model'!a98:C159,3,FALSE())</f>
        <v>#NAME?</v>
      </c>
      <c r="G99" s="0" t="s">
        <v>231</v>
      </c>
      <c r="H99" s="315"/>
      <c r="I99" s="315"/>
      <c r="J99" s="315"/>
      <c r="K99" s="315"/>
      <c r="L99" s="315"/>
      <c r="M99" s="315"/>
      <c r="N99" s="315"/>
      <c r="O99" s="315"/>
      <c r="P99" s="315"/>
      <c r="Q99" s="315"/>
      <c r="R99" s="315"/>
      <c r="S99" s="315"/>
      <c r="T99" s="315"/>
      <c r="U99" s="315"/>
      <c r="V99" s="315"/>
      <c r="W99" s="315"/>
      <c r="X99" s="315"/>
      <c r="Y99" s="319" t="n">
        <v>800</v>
      </c>
      <c r="Z99" s="319" t="n">
        <v>800</v>
      </c>
      <c r="AA99" s="319" t="n">
        <v>800</v>
      </c>
      <c r="AB99" s="319" t="n">
        <v>800</v>
      </c>
      <c r="AC99" s="319" t="n">
        <v>550</v>
      </c>
      <c r="AD99" s="319" t="n">
        <v>550</v>
      </c>
      <c r="AE99" s="319" t="n">
        <v>550</v>
      </c>
      <c r="AF99" s="319" t="n">
        <v>550</v>
      </c>
      <c r="AG99" s="319" t="n">
        <v>550</v>
      </c>
      <c r="AH99" s="319" t="n">
        <v>550</v>
      </c>
      <c r="AI99" s="319" t="n">
        <v>0</v>
      </c>
      <c r="AJ99" s="319" t="n">
        <v>0</v>
      </c>
    </row>
    <row r="100" customFormat="false" ht="17.35" hidden="false" customHeight="false" outlineLevel="0" collapsed="false">
      <c r="A100" s="317" t="str">
        <f aca="false">IFERROR(TRIM(VLOOKUP(UPPER(D98),table_lookups,2,FALSE())),IF(ROW()&gt;2,A99,""))</f>
        <v>EXPENSES</v>
      </c>
      <c r="B100" s="309" t="n">
        <v>307</v>
      </c>
      <c r="C100" s="310"/>
      <c r="D100" s="314" t="str">
        <f aca="false">IFERROR(VLOOKUP(B100,'[1]detailed model'!$a$6:$C$92,3,FALSE()),"NOT CODED/ERROR")</f>
        <v>Marketing</v>
      </c>
      <c r="E100" s="311"/>
      <c r="F100" s="312" t="e">
        <f aca="false">VLOOKUP(B100,'[1]detailed model'!a99:C160,3,FALSE())</f>
        <v>#NAME?</v>
      </c>
      <c r="G100" s="0" t="s">
        <v>232</v>
      </c>
      <c r="H100" s="315"/>
      <c r="I100" s="315"/>
      <c r="J100" s="315"/>
      <c r="K100" s="315"/>
      <c r="L100" s="315"/>
      <c r="M100" s="315"/>
      <c r="N100" s="315"/>
      <c r="O100" s="315"/>
      <c r="P100" s="315"/>
      <c r="Q100" s="315"/>
      <c r="R100" s="315"/>
      <c r="S100" s="315"/>
      <c r="T100" s="315"/>
      <c r="U100" s="315"/>
      <c r="V100" s="315"/>
      <c r="W100" s="315"/>
      <c r="X100" s="315"/>
      <c r="Y100" s="319" t="n">
        <v>0</v>
      </c>
      <c r="Z100" s="319" t="n">
        <v>0</v>
      </c>
      <c r="AA100" s="319" t="n">
        <v>6</v>
      </c>
      <c r="AB100" s="319" t="n">
        <v>31</v>
      </c>
      <c r="AC100" s="319" t="n">
        <v>6</v>
      </c>
      <c r="AD100" s="319" t="n">
        <v>6</v>
      </c>
      <c r="AE100" s="319" t="n">
        <v>6</v>
      </c>
      <c r="AF100" s="319" t="n">
        <v>6</v>
      </c>
      <c r="AG100" s="319" t="n">
        <v>6</v>
      </c>
      <c r="AH100" s="319" t="n">
        <v>6</v>
      </c>
      <c r="AI100" s="319" t="n">
        <v>0</v>
      </c>
      <c r="AJ100" s="319" t="n">
        <v>0</v>
      </c>
    </row>
    <row r="101" customFormat="false" ht="17.35" hidden="false" customHeight="false" outlineLevel="0" collapsed="false">
      <c r="A101" s="317" t="str">
        <f aca="false">IFERROR(TRIM(VLOOKUP(UPPER(D99),table_lookups,2,FALSE())),IF(ROW()&gt;2,A100,""))</f>
        <v>EXPENSES</v>
      </c>
      <c r="B101" s="309" t="n">
        <v>307</v>
      </c>
      <c r="C101" s="310"/>
      <c r="D101" s="314" t="str">
        <f aca="false">IFERROR(VLOOKUP(B101,'[1]detailed model'!$a$6:$C$92,3,FALSE()),"NOT CODED/ERROR")</f>
        <v>Marketing</v>
      </c>
      <c r="E101" s="311"/>
      <c r="F101" s="312" t="e">
        <f aca="false">VLOOKUP(B101,'[1]detailed model'!a100:C161,3,FALSE())</f>
        <v>#NAME?</v>
      </c>
      <c r="G101" s="0" t="s">
        <v>233</v>
      </c>
      <c r="H101" s="315"/>
      <c r="I101" s="315"/>
      <c r="J101" s="315"/>
      <c r="K101" s="315"/>
      <c r="L101" s="315"/>
      <c r="M101" s="315"/>
      <c r="N101" s="315"/>
      <c r="O101" s="315"/>
      <c r="P101" s="315"/>
      <c r="Q101" s="315"/>
      <c r="R101" s="315"/>
      <c r="S101" s="315"/>
      <c r="T101" s="315"/>
      <c r="U101" s="315"/>
      <c r="V101" s="315"/>
      <c r="W101" s="315"/>
      <c r="X101" s="315"/>
      <c r="Y101" s="319" t="n">
        <v>1431.13</v>
      </c>
      <c r="Z101" s="319" t="n">
        <v>1425</v>
      </c>
      <c r="AA101" s="319" t="n">
        <v>1425</v>
      </c>
      <c r="AB101" s="319" t="n">
        <v>1699.95</v>
      </c>
      <c r="AC101" s="319" t="n">
        <v>1633.33</v>
      </c>
      <c r="AD101" s="319" t="n">
        <v>1633.33</v>
      </c>
      <c r="AE101" s="319" t="n">
        <v>1633.33</v>
      </c>
      <c r="AF101" s="319" t="n">
        <v>1313.33</v>
      </c>
      <c r="AG101" s="319" t="n">
        <v>1648.33</v>
      </c>
      <c r="AH101" s="319" t="n">
        <v>1483.33</v>
      </c>
      <c r="AI101" s="319" t="n">
        <v>1799.33</v>
      </c>
      <c r="AJ101" s="319" t="n">
        <v>3964.33</v>
      </c>
    </row>
    <row r="102" customFormat="false" ht="17.35" hidden="false" customHeight="false" outlineLevel="0" collapsed="false">
      <c r="A102" s="317" t="str">
        <f aca="false">IFERROR(TRIM(VLOOKUP(UPPER(D100),table_lookups,2,FALSE())),IF(ROW()&gt;2,A101,""))</f>
        <v>EXPENSES</v>
      </c>
      <c r="B102" s="309" t="n">
        <v>307</v>
      </c>
      <c r="C102" s="310"/>
      <c r="D102" s="314" t="str">
        <f aca="false">IFERROR(VLOOKUP(B102,'[1]detailed model'!$a$6:$C$92,3,FALSE()),"NOT CODED/ERROR")</f>
        <v>Marketing</v>
      </c>
      <c r="E102" s="311"/>
      <c r="F102" s="312" t="e">
        <f aca="false">VLOOKUP(B102,'[1]detailed model'!a101:C162,3,FALSE())</f>
        <v>#NAME?</v>
      </c>
      <c r="G102" s="0" t="s">
        <v>234</v>
      </c>
      <c r="H102" s="315"/>
      <c r="I102" s="315"/>
      <c r="J102" s="315"/>
      <c r="K102" s="315"/>
      <c r="L102" s="315"/>
      <c r="M102" s="315"/>
      <c r="N102" s="315"/>
      <c r="O102" s="315"/>
      <c r="P102" s="315"/>
      <c r="Q102" s="315"/>
      <c r="R102" s="315"/>
      <c r="S102" s="315"/>
      <c r="T102" s="315"/>
      <c r="U102" s="315"/>
      <c r="V102" s="315"/>
      <c r="W102" s="315"/>
      <c r="X102" s="315"/>
      <c r="Y102" s="319" t="n">
        <v>27270.25</v>
      </c>
      <c r="Z102" s="319" t="n">
        <v>10940.25</v>
      </c>
      <c r="AA102" s="319" t="n">
        <v>20667.72</v>
      </c>
      <c r="AB102" s="319" t="n">
        <v>4856</v>
      </c>
      <c r="AC102" s="319" t="n">
        <v>7612.5</v>
      </c>
      <c r="AD102" s="319" t="n">
        <v>6542.5</v>
      </c>
      <c r="AE102" s="319" t="n">
        <v>9270.3</v>
      </c>
      <c r="AF102" s="319" t="n">
        <v>12139.15</v>
      </c>
      <c r="AG102" s="319" t="n">
        <v>6431.25</v>
      </c>
      <c r="AH102" s="319" t="n">
        <v>27557</v>
      </c>
      <c r="AI102" s="319" t="n">
        <v>0</v>
      </c>
      <c r="AJ102" s="319" t="n">
        <v>350</v>
      </c>
    </row>
    <row r="103" customFormat="false" ht="17.35" hidden="false" customHeight="false" outlineLevel="0" collapsed="false">
      <c r="A103" s="317" t="str">
        <f aca="false">IFERROR(TRIM(VLOOKUP(UPPER(D101),table_lookups,2,FALSE())),IF(ROW()&gt;2,A102,""))</f>
        <v>EXPENSES</v>
      </c>
      <c r="B103" s="309" t="n">
        <v>307</v>
      </c>
      <c r="C103" s="310"/>
      <c r="D103" s="314" t="str">
        <f aca="false">IFERROR(VLOOKUP(B103,'[1]detailed model'!$a$6:$C$92,3,FALSE()),"NOT CODED/ERROR")</f>
        <v>Marketing</v>
      </c>
      <c r="E103" s="311"/>
      <c r="F103" s="312" t="e">
        <f aca="false">VLOOKUP(B103,'[1]detailed model'!a102:C163,3,FALSE())</f>
        <v>#NAME?</v>
      </c>
      <c r="G103" s="0" t="s">
        <v>235</v>
      </c>
      <c r="H103" s="315"/>
      <c r="I103" s="315"/>
      <c r="J103" s="315"/>
      <c r="K103" s="315"/>
      <c r="L103" s="315"/>
      <c r="M103" s="315"/>
      <c r="N103" s="315"/>
      <c r="O103" s="315"/>
      <c r="P103" s="315"/>
      <c r="Q103" s="315"/>
      <c r="R103" s="315"/>
      <c r="S103" s="315"/>
      <c r="T103" s="315"/>
      <c r="U103" s="315"/>
      <c r="V103" s="315"/>
      <c r="W103" s="315"/>
      <c r="X103" s="315"/>
      <c r="Y103" s="319" t="n">
        <v>0</v>
      </c>
      <c r="Z103" s="319" t="n">
        <v>279.24</v>
      </c>
      <c r="AA103" s="319" t="n">
        <v>0</v>
      </c>
      <c r="AB103" s="319" t="n">
        <v>240.9</v>
      </c>
      <c r="AC103" s="319" t="n">
        <v>1066.15</v>
      </c>
      <c r="AD103" s="319" t="n">
        <v>546.46</v>
      </c>
      <c r="AE103" s="319" t="n">
        <v>37.21</v>
      </c>
      <c r="AF103" s="319" t="n">
        <v>711.48</v>
      </c>
      <c r="AG103" s="319" t="n">
        <v>457.08</v>
      </c>
      <c r="AH103" s="319" t="n">
        <v>351.97</v>
      </c>
      <c r="AI103" s="319" t="n">
        <v>42</v>
      </c>
      <c r="AJ103" s="319" t="n">
        <v>159.91</v>
      </c>
    </row>
    <row r="104" customFormat="false" ht="17.35" hidden="false" customHeight="false" outlineLevel="0" collapsed="false">
      <c r="A104" s="317" t="str">
        <f aca="false">IFERROR(TRIM(VLOOKUP(UPPER(D102),table_lookups,2,FALSE())),IF(ROW()&gt;2,A103,""))</f>
        <v>EXPENSES</v>
      </c>
      <c r="B104" s="309" t="n">
        <v>307</v>
      </c>
      <c r="C104" s="310"/>
      <c r="D104" s="314" t="str">
        <f aca="false">IFERROR(VLOOKUP(B104,'[1]detailed model'!$a$6:$C$92,3,FALSE()),"NOT CODED/ERROR")</f>
        <v>Marketing</v>
      </c>
      <c r="E104" s="311"/>
      <c r="F104" s="312" t="e">
        <f aca="false">VLOOKUP(B104,'[1]detailed model'!a103:C164,3,FALSE())</f>
        <v>#NAME?</v>
      </c>
      <c r="G104" s="0" t="s">
        <v>236</v>
      </c>
      <c r="H104" s="315"/>
      <c r="I104" s="315"/>
      <c r="J104" s="315"/>
      <c r="K104" s="315"/>
      <c r="L104" s="315"/>
      <c r="M104" s="315"/>
      <c r="N104" s="315"/>
      <c r="O104" s="315"/>
      <c r="P104" s="315"/>
      <c r="Q104" s="315"/>
      <c r="R104" s="315"/>
      <c r="S104" s="315"/>
      <c r="T104" s="315"/>
      <c r="U104" s="315"/>
      <c r="V104" s="315"/>
      <c r="W104" s="315"/>
      <c r="X104" s="315"/>
      <c r="Y104" s="319" t="n">
        <v>90</v>
      </c>
      <c r="Z104" s="319" t="n">
        <v>150</v>
      </c>
      <c r="AA104" s="319" t="n">
        <v>90</v>
      </c>
      <c r="AB104" s="319" t="n">
        <v>0</v>
      </c>
      <c r="AC104" s="319" t="n">
        <v>187.5</v>
      </c>
      <c r="AD104" s="319" t="n">
        <v>220</v>
      </c>
      <c r="AE104" s="319" t="n">
        <v>96</v>
      </c>
      <c r="AF104" s="319" t="n">
        <v>52.5</v>
      </c>
      <c r="AG104" s="319" t="n">
        <v>29</v>
      </c>
      <c r="AH104" s="319" t="n">
        <v>0</v>
      </c>
      <c r="AI104" s="319" t="n">
        <v>62</v>
      </c>
      <c r="AJ104" s="319" t="n">
        <v>81</v>
      </c>
    </row>
    <row r="105" customFormat="false" ht="17.35" hidden="false" customHeight="false" outlineLevel="0" collapsed="false">
      <c r="A105" s="317" t="str">
        <f aca="false">IFERROR(TRIM(VLOOKUP(UPPER(D103),table_lookups,2,FALSE())),IF(ROW()&gt;2,A104,""))</f>
        <v>EXPENSES</v>
      </c>
      <c r="B105" s="309" t="n">
        <v>307</v>
      </c>
      <c r="C105" s="310"/>
      <c r="D105" s="314" t="str">
        <f aca="false">IFERROR(VLOOKUP(B105,'[1]detailed model'!$a$6:$C$92,3,FALSE()),"NOT CODED/ERROR")</f>
        <v>Marketing</v>
      </c>
      <c r="E105" s="311"/>
      <c r="F105" s="312" t="e">
        <f aca="false">VLOOKUP(B105,'[1]detailed model'!a104:C165,3,FALSE())</f>
        <v>#NAME?</v>
      </c>
      <c r="G105" s="0" t="s">
        <v>237</v>
      </c>
      <c r="H105" s="315"/>
      <c r="I105" s="315"/>
      <c r="J105" s="315"/>
      <c r="K105" s="315"/>
      <c r="L105" s="315"/>
      <c r="M105" s="315"/>
      <c r="N105" s="315"/>
      <c r="O105" s="315"/>
      <c r="P105" s="315"/>
      <c r="Q105" s="315"/>
      <c r="R105" s="315"/>
      <c r="S105" s="315"/>
      <c r="T105" s="315"/>
      <c r="U105" s="315"/>
      <c r="V105" s="315"/>
      <c r="W105" s="315"/>
      <c r="X105" s="315"/>
      <c r="Y105" s="319" t="n">
        <v>0</v>
      </c>
      <c r="Z105" s="319" t="n">
        <v>2000</v>
      </c>
      <c r="AA105" s="319" t="n">
        <v>0</v>
      </c>
      <c r="AB105" s="319" t="n">
        <v>0</v>
      </c>
      <c r="AC105" s="319" t="n">
        <v>5000</v>
      </c>
      <c r="AD105" s="319" t="n">
        <v>0</v>
      </c>
      <c r="AE105" s="319" t="n">
        <v>0</v>
      </c>
      <c r="AF105" s="319" t="n">
        <v>0</v>
      </c>
      <c r="AG105" s="319" t="n">
        <v>0</v>
      </c>
      <c r="AH105" s="319" t="n">
        <v>0</v>
      </c>
      <c r="AI105" s="319" t="n">
        <v>0</v>
      </c>
      <c r="AJ105" s="319" t="n">
        <v>0</v>
      </c>
    </row>
    <row r="106" customFormat="false" ht="17.35" hidden="false" customHeight="false" outlineLevel="0" collapsed="false">
      <c r="A106" s="317" t="str">
        <f aca="false">IFERROR(TRIM(VLOOKUP(UPPER(D104),table_lookups,2,FALSE())),IF(ROW()&gt;2,A105,""))</f>
        <v>EXPENSES</v>
      </c>
      <c r="B106" s="309" t="n">
        <v>307</v>
      </c>
      <c r="C106" s="310"/>
      <c r="D106" s="314" t="str">
        <f aca="false">IFERROR(VLOOKUP(B106,'[1]detailed model'!$a$6:$C$92,3,FALSE()),"NOT CODED/ERROR")</f>
        <v>Marketing</v>
      </c>
      <c r="E106" s="311"/>
      <c r="F106" s="312" t="e">
        <f aca="false">VLOOKUP(B106,'[1]detailed model'!a105:C166,3,FALSE())</f>
        <v>#NAME?</v>
      </c>
      <c r="G106" s="0" t="s">
        <v>238</v>
      </c>
      <c r="H106" s="315"/>
      <c r="I106" s="315"/>
      <c r="J106" s="315"/>
      <c r="K106" s="315"/>
      <c r="L106" s="315"/>
      <c r="M106" s="315"/>
      <c r="N106" s="315"/>
      <c r="O106" s="315"/>
      <c r="P106" s="315"/>
      <c r="Q106" s="315"/>
      <c r="R106" s="315"/>
      <c r="S106" s="315"/>
      <c r="T106" s="315"/>
      <c r="U106" s="315"/>
      <c r="V106" s="315"/>
      <c r="W106" s="315"/>
      <c r="X106" s="315"/>
      <c r="Y106" s="319" t="n">
        <v>0</v>
      </c>
      <c r="Z106" s="319" t="n">
        <v>42.3</v>
      </c>
      <c r="AA106" s="319" t="n">
        <v>0</v>
      </c>
      <c r="AB106" s="319" t="n">
        <v>0</v>
      </c>
      <c r="AC106" s="319" t="n">
        <v>0</v>
      </c>
      <c r="AD106" s="319" t="n">
        <v>353</v>
      </c>
      <c r="AE106" s="319" t="n">
        <v>507.99</v>
      </c>
      <c r="AF106" s="319" t="n">
        <v>270</v>
      </c>
      <c r="AG106" s="319" t="n">
        <v>0</v>
      </c>
      <c r="AH106" s="319" t="n">
        <v>0</v>
      </c>
      <c r="AI106" s="319" t="n">
        <v>0</v>
      </c>
      <c r="AJ106" s="319" t="n">
        <v>0</v>
      </c>
    </row>
    <row r="107" customFormat="false" ht="17.35" hidden="false" customHeight="false" outlineLevel="0" collapsed="false">
      <c r="A107" s="317" t="str">
        <f aca="false">IFERROR(TRIM(VLOOKUP(UPPER(D105),table_lookups,2,FALSE())),IF(ROW()&gt;2,A106,""))</f>
        <v>EXPENSES</v>
      </c>
      <c r="B107" s="309" t="n">
        <v>307</v>
      </c>
      <c r="C107" s="310"/>
      <c r="D107" s="314" t="str">
        <f aca="false">IFERROR(VLOOKUP(B107,'[1]detailed model'!$a$6:$C$92,3,FALSE()),"NOT CODED/ERROR")</f>
        <v>Marketing</v>
      </c>
      <c r="E107" s="311"/>
      <c r="F107" s="312" t="e">
        <f aca="false">VLOOKUP(B107,'[1]detailed model'!a106:C167,3,FALSE())</f>
        <v>#NAME?</v>
      </c>
      <c r="G107" s="0" t="s">
        <v>239</v>
      </c>
      <c r="H107" s="315"/>
      <c r="I107" s="315"/>
      <c r="J107" s="315"/>
      <c r="K107" s="315"/>
      <c r="L107" s="315"/>
      <c r="M107" s="315"/>
      <c r="N107" s="315"/>
      <c r="O107" s="315"/>
      <c r="P107" s="315"/>
      <c r="Q107" s="315"/>
      <c r="R107" s="315"/>
      <c r="S107" s="315"/>
      <c r="T107" s="315"/>
      <c r="U107" s="315"/>
      <c r="V107" s="315"/>
      <c r="W107" s="315"/>
      <c r="X107" s="315"/>
      <c r="Y107" s="319" t="n">
        <v>0</v>
      </c>
      <c r="Z107" s="319" t="n">
        <v>0</v>
      </c>
      <c r="AA107" s="319" t="n">
        <v>233.76</v>
      </c>
      <c r="AB107" s="319" t="n">
        <v>0</v>
      </c>
      <c r="AC107" s="319" t="n">
        <v>0</v>
      </c>
      <c r="AD107" s="319" t="n">
        <v>0</v>
      </c>
      <c r="AE107" s="319" t="n">
        <v>0</v>
      </c>
      <c r="AF107" s="319" t="n">
        <v>0</v>
      </c>
      <c r="AG107" s="319" t="n">
        <v>0</v>
      </c>
      <c r="AH107" s="319" t="n">
        <v>0</v>
      </c>
      <c r="AI107" s="319" t="n">
        <v>0</v>
      </c>
      <c r="AJ107" s="319" t="n">
        <v>0</v>
      </c>
    </row>
    <row r="108" customFormat="false" ht="17.35" hidden="false" customHeight="false" outlineLevel="0" collapsed="false">
      <c r="A108" s="317" t="str">
        <f aca="false">IFERROR(TRIM(VLOOKUP(UPPER(D106),table_lookups,2,FALSE())),IF(ROW()&gt;2,A107,""))</f>
        <v>EXPENSES</v>
      </c>
      <c r="B108" s="309" t="n">
        <v>307</v>
      </c>
      <c r="C108" s="310"/>
      <c r="D108" s="314" t="str">
        <f aca="false">IFERROR(VLOOKUP(B108,'[1]detailed model'!$a$6:$C$92,3,FALSE()),"NOT CODED/ERROR")</f>
        <v>Marketing</v>
      </c>
      <c r="E108" s="311"/>
      <c r="F108" s="312" t="e">
        <f aca="false">VLOOKUP(B108,'[1]detailed model'!a107:C168,3,FALSE())</f>
        <v>#NAME?</v>
      </c>
      <c r="G108" s="0" t="s">
        <v>240</v>
      </c>
      <c r="H108" s="315"/>
      <c r="I108" s="315"/>
      <c r="J108" s="315"/>
      <c r="K108" s="315"/>
      <c r="L108" s="315"/>
      <c r="M108" s="315"/>
      <c r="N108" s="315"/>
      <c r="O108" s="315"/>
      <c r="P108" s="315"/>
      <c r="Q108" s="315"/>
      <c r="R108" s="315"/>
      <c r="S108" s="315"/>
      <c r="T108" s="315"/>
      <c r="U108" s="315"/>
      <c r="V108" s="315"/>
      <c r="W108" s="315"/>
      <c r="X108" s="315"/>
      <c r="Y108" s="319" t="n">
        <v>4100</v>
      </c>
      <c r="Z108" s="319" t="n">
        <v>4100</v>
      </c>
      <c r="AA108" s="319" t="n">
        <v>4100</v>
      </c>
      <c r="AB108" s="319" t="n">
        <v>4100</v>
      </c>
      <c r="AC108" s="319" t="n">
        <v>4100</v>
      </c>
      <c r="AD108" s="319" t="n">
        <v>4100</v>
      </c>
      <c r="AE108" s="319" t="n">
        <v>4100</v>
      </c>
      <c r="AF108" s="319" t="n">
        <v>4100</v>
      </c>
      <c r="AG108" s="319" t="n">
        <v>4100</v>
      </c>
      <c r="AH108" s="319" t="n">
        <v>4100</v>
      </c>
      <c r="AI108" s="319" t="n">
        <v>4100</v>
      </c>
      <c r="AJ108" s="319" t="n">
        <v>4100</v>
      </c>
    </row>
    <row r="109" customFormat="false" ht="17.35" hidden="false" customHeight="false" outlineLevel="0" collapsed="false">
      <c r="A109" s="317" t="str">
        <f aca="false">IFERROR(TRIM(VLOOKUP(UPPER(D107),table_lookups,2,FALSE())),IF(ROW()&gt;2,A108,""))</f>
        <v>EXPENSES</v>
      </c>
      <c r="B109" s="309"/>
      <c r="C109" s="310"/>
      <c r="D109" s="314" t="str">
        <f aca="false">IFERROR(VLOOKUP(B109,'[1]detailed model'!$a$6:$C$92,3,FALSE()),"NOT CODED/ERROR")</f>
        <v>NOT CODED/ERROR</v>
      </c>
      <c r="E109" s="311"/>
      <c r="F109" s="312" t="e">
        <f aca="false">VLOOKUP(B109,'[1]detailed model'!a108:C169,3,FALSE())</f>
        <v>#NAME?</v>
      </c>
      <c r="G109" s="0" t="s">
        <v>241</v>
      </c>
      <c r="H109" s="315"/>
      <c r="I109" s="315"/>
      <c r="J109" s="315"/>
      <c r="K109" s="315"/>
      <c r="L109" s="315"/>
      <c r="M109" s="315"/>
      <c r="N109" s="315"/>
      <c r="O109" s="315"/>
      <c r="P109" s="315"/>
      <c r="Q109" s="315"/>
      <c r="R109" s="315"/>
      <c r="S109" s="315"/>
      <c r="T109" s="315"/>
      <c r="U109" s="315"/>
      <c r="V109" s="315"/>
      <c r="W109" s="315"/>
      <c r="X109" s="315"/>
      <c r="Y109" s="319" t="n">
        <v>49061.55</v>
      </c>
      <c r="Z109" s="319" t="n">
        <v>38643.69</v>
      </c>
      <c r="AA109" s="319" t="n">
        <v>41875.83</v>
      </c>
      <c r="AB109" s="319" t="n">
        <v>29744.91</v>
      </c>
      <c r="AC109" s="319" t="n">
        <v>39174.97</v>
      </c>
      <c r="AD109" s="319" t="n">
        <v>28486.32</v>
      </c>
      <c r="AE109" s="319" t="n">
        <v>26546.66</v>
      </c>
      <c r="AF109" s="319" t="n">
        <v>36057.96</v>
      </c>
      <c r="AG109" s="319" t="n">
        <v>31496.21</v>
      </c>
      <c r="AH109" s="319" t="n">
        <v>52996.47</v>
      </c>
      <c r="AI109" s="319" t="n">
        <v>18832.29</v>
      </c>
      <c r="AJ109" s="319" t="n">
        <v>25444.88</v>
      </c>
    </row>
    <row r="110" customFormat="false" ht="17.35" hidden="false" customHeight="false" outlineLevel="0" collapsed="false">
      <c r="A110" s="317" t="str">
        <f aca="false">IFERROR(TRIM(VLOOKUP(UPPER(D108),table_lookups,2,FALSE())),IF(ROW()&gt;2,A109,""))</f>
        <v>EXPENSES</v>
      </c>
      <c r="B110" s="309"/>
      <c r="C110" s="310"/>
      <c r="D110" s="314" t="str">
        <f aca="false">IFERROR(VLOOKUP(B110,'[1]detailed model'!$a$6:$C$92,3,FALSE()),"NOT CODED/ERROR")</f>
        <v>NOT CODED/ERROR</v>
      </c>
      <c r="E110" s="311"/>
      <c r="F110" s="312" t="e">
        <f aca="false">VLOOKUP(B110,'[1]detailed model'!a109:C170,3,FALSE())</f>
        <v>#NAME?</v>
      </c>
      <c r="G110" s="0" t="s">
        <v>171</v>
      </c>
    </row>
    <row r="111" customFormat="false" ht="17.35" hidden="false" customHeight="false" outlineLevel="0" collapsed="false">
      <c r="A111" s="317" t="str">
        <f aca="false">IFERROR(TRIM(VLOOKUP(UPPER(D109),table_lookups,2,FALSE())),IF(ROW()&gt;2,A110,""))</f>
        <v>EXPENSES</v>
      </c>
      <c r="B111" s="309"/>
      <c r="C111" s="310"/>
      <c r="D111" s="314" t="str">
        <f aca="false">IFERROR(VLOOKUP(B111,'[1]detailed model'!$a$6:$C$92,3,FALSE()),"NOT CODED/ERROR")</f>
        <v>NOT CODED/ERROR</v>
      </c>
      <c r="E111" s="311"/>
      <c r="F111" s="312" t="e">
        <f aca="false">VLOOKUP(B111,'[1]detailed model'!a110:C171,3,FALSE())</f>
        <v>#NAME?</v>
      </c>
      <c r="G111" s="0" t="s">
        <v>242</v>
      </c>
      <c r="H111" s="315"/>
      <c r="I111" s="315"/>
      <c r="J111" s="315"/>
      <c r="K111" s="315"/>
      <c r="L111" s="315"/>
      <c r="M111" s="315"/>
      <c r="N111" s="315"/>
      <c r="O111" s="315"/>
      <c r="P111" s="315"/>
      <c r="Q111" s="315"/>
      <c r="R111" s="315"/>
      <c r="S111" s="315"/>
      <c r="T111" s="315"/>
      <c r="U111" s="315"/>
      <c r="V111" s="315"/>
      <c r="W111" s="315"/>
      <c r="X111" s="315"/>
      <c r="Y111" s="0" t="s">
        <v>176</v>
      </c>
      <c r="Z111" s="0" t="s">
        <v>176</v>
      </c>
      <c r="AA111" s="0" t="s">
        <v>176</v>
      </c>
      <c r="AB111" s="0" t="s">
        <v>176</v>
      </c>
      <c r="AC111" s="0" t="s">
        <v>176</v>
      </c>
      <c r="AD111" s="0" t="s">
        <v>176</v>
      </c>
      <c r="AE111" s="0" t="s">
        <v>176</v>
      </c>
      <c r="AF111" s="0" t="s">
        <v>176</v>
      </c>
      <c r="AG111" s="0" t="s">
        <v>176</v>
      </c>
      <c r="AH111" s="0" t="s">
        <v>176</v>
      </c>
      <c r="AI111" s="0" t="s">
        <v>176</v>
      </c>
      <c r="AJ111" s="0" t="s">
        <v>176</v>
      </c>
    </row>
    <row r="112" customFormat="false" ht="17.35" hidden="false" customHeight="false" outlineLevel="0" collapsed="false">
      <c r="A112" s="308" t="str">
        <f aca="false">IFERROR(TRIM(VLOOKUP(UPPER(D110),table_lookups,2,FALSE())),IF(ROW()&gt;2,A111,""))</f>
        <v>EXPENSES</v>
      </c>
      <c r="B112" s="309" t="n">
        <v>314</v>
      </c>
      <c r="C112" s="310"/>
      <c r="D112" s="314" t="str">
        <f aca="false">IFERROR(VLOOKUP(B112,'[1]detailed model'!$a$6:$C$92,3,FALSE()),"NOT CODED/ERROR")</f>
        <v>Utilities</v>
      </c>
      <c r="E112" s="311"/>
      <c r="F112" s="312" t="e">
        <f aca="false">VLOOKUP(B112,'[1]detailed model'!a110:C172,3,FALSE())</f>
        <v>#NAME?</v>
      </c>
      <c r="G112" s="0" t="s">
        <v>243</v>
      </c>
      <c r="H112" s="315"/>
      <c r="I112" s="315"/>
      <c r="J112" s="315"/>
      <c r="K112" s="315"/>
      <c r="L112" s="315"/>
      <c r="M112" s="315"/>
      <c r="N112" s="315"/>
      <c r="O112" s="315"/>
      <c r="P112" s="315"/>
      <c r="Q112" s="315"/>
      <c r="R112" s="315"/>
      <c r="S112" s="315"/>
      <c r="T112" s="315"/>
      <c r="U112" s="315"/>
      <c r="V112" s="315"/>
      <c r="W112" s="315"/>
      <c r="X112" s="315"/>
      <c r="Y112" s="319" t="n">
        <v>270.18</v>
      </c>
      <c r="Z112" s="319" t="n">
        <v>278.7</v>
      </c>
      <c r="AA112" s="319" t="n">
        <v>291.69</v>
      </c>
      <c r="AB112" s="319" t="n">
        <v>285.15</v>
      </c>
      <c r="AC112" s="319" t="n">
        <v>289.9</v>
      </c>
      <c r="AD112" s="319" t="n">
        <v>304.42</v>
      </c>
      <c r="AE112" s="319" t="n">
        <v>296.06</v>
      </c>
      <c r="AF112" s="319" t="n">
        <v>316.74</v>
      </c>
      <c r="AG112" s="319" t="n">
        <v>311.99</v>
      </c>
      <c r="AH112" s="319" t="n">
        <v>333.41</v>
      </c>
      <c r="AI112" s="319" t="n">
        <v>322.66</v>
      </c>
      <c r="AJ112" s="319" t="n">
        <v>330.69</v>
      </c>
    </row>
    <row r="113" customFormat="false" ht="17.35" hidden="false" customHeight="false" outlineLevel="0" collapsed="false">
      <c r="A113" s="308" t="str">
        <f aca="false">IFERROR(TRIM(VLOOKUP(UPPER(D111),table_lookups,2,FALSE())),IF(ROW()&gt;2,A112,""))</f>
        <v>EXPENSES</v>
      </c>
      <c r="B113" s="309" t="n">
        <v>314</v>
      </c>
      <c r="C113" s="310"/>
      <c r="D113" s="314" t="str">
        <f aca="false">IFERROR(VLOOKUP(B113,'[1]detailed model'!$a$6:$C$92,3,FALSE()),"NOT CODED/ERROR")</f>
        <v>Utilities</v>
      </c>
      <c r="E113" s="311"/>
      <c r="F113" s="312" t="e">
        <f aca="false">VLOOKUP(B113,'[1]detailed model'!a110:C173,3,FALSE())</f>
        <v>#NAME?</v>
      </c>
      <c r="G113" s="0" t="s">
        <v>244</v>
      </c>
      <c r="H113" s="315"/>
      <c r="I113" s="315"/>
      <c r="J113" s="315"/>
      <c r="K113" s="315"/>
      <c r="L113" s="315"/>
      <c r="M113" s="315"/>
      <c r="N113" s="315"/>
      <c r="O113" s="315"/>
      <c r="P113" s="315"/>
      <c r="Q113" s="315"/>
      <c r="R113" s="315"/>
      <c r="S113" s="315"/>
      <c r="T113" s="315"/>
      <c r="U113" s="315"/>
      <c r="V113" s="315"/>
      <c r="W113" s="315"/>
      <c r="X113" s="315"/>
      <c r="Y113" s="319" t="n">
        <v>9990.78</v>
      </c>
      <c r="Z113" s="319" t="n">
        <v>10057.25</v>
      </c>
      <c r="AA113" s="319" t="n">
        <v>13159.05</v>
      </c>
      <c r="AB113" s="319" t="n">
        <v>12617.54</v>
      </c>
      <c r="AC113" s="319" t="n">
        <v>11577.47</v>
      </c>
      <c r="AD113" s="319" t="n">
        <v>8602.34</v>
      </c>
      <c r="AE113" s="319" t="n">
        <v>9293.24</v>
      </c>
      <c r="AF113" s="319" t="n">
        <v>12231.47</v>
      </c>
      <c r="AG113" s="319" t="n">
        <v>10924.75</v>
      </c>
      <c r="AH113" s="319" t="n">
        <v>15246.43</v>
      </c>
      <c r="AI113" s="319" t="n">
        <v>7257.6</v>
      </c>
      <c r="AJ113" s="319" t="n">
        <v>10561.66</v>
      </c>
    </row>
    <row r="114" customFormat="false" ht="17.35" hidden="false" customHeight="false" outlineLevel="0" collapsed="false">
      <c r="A114" s="308" t="str">
        <f aca="false">IFERROR(TRIM(VLOOKUP(UPPER(D112),table_lookups,2,FALSE())),IF(ROW()&gt;2,A113,""))</f>
        <v>EXPENSES</v>
      </c>
      <c r="B114" s="309" t="n">
        <v>314</v>
      </c>
      <c r="C114" s="310"/>
      <c r="D114" s="314" t="str">
        <f aca="false">IFERROR(VLOOKUP(B114,'[1]detailed model'!$a$6:$C$92,3,FALSE()),"NOT CODED/ERROR")</f>
        <v>Utilities</v>
      </c>
      <c r="E114" s="311"/>
      <c r="F114" s="312" t="e">
        <f aca="false">VLOOKUP(B114,'[1]detailed model'!a110:C174,3,FALSE())</f>
        <v>#NAME?</v>
      </c>
      <c r="G114" s="0" t="s">
        <v>245</v>
      </c>
      <c r="H114" s="315"/>
      <c r="I114" s="315"/>
      <c r="J114" s="315"/>
      <c r="K114" s="315"/>
      <c r="L114" s="315"/>
      <c r="M114" s="315"/>
      <c r="N114" s="315"/>
      <c r="O114" s="315"/>
      <c r="P114" s="315"/>
      <c r="Q114" s="315"/>
      <c r="R114" s="315"/>
      <c r="S114" s="315"/>
      <c r="T114" s="315"/>
      <c r="U114" s="315"/>
      <c r="V114" s="315"/>
      <c r="W114" s="315"/>
      <c r="X114" s="315"/>
      <c r="Y114" s="319" t="n">
        <v>1081.69</v>
      </c>
      <c r="Z114" s="319" t="n">
        <v>767.19</v>
      </c>
      <c r="AA114" s="319" t="n">
        <v>671.56</v>
      </c>
      <c r="AB114" s="319" t="n">
        <v>1090.12</v>
      </c>
      <c r="AC114" s="319" t="n">
        <v>1081.18</v>
      </c>
      <c r="AD114" s="319" t="n">
        <v>1720.03</v>
      </c>
      <c r="AE114" s="319" t="n">
        <v>2318.82</v>
      </c>
      <c r="AF114" s="319" t="n">
        <v>2877.01</v>
      </c>
      <c r="AG114" s="319" t="n">
        <v>3007.55</v>
      </c>
      <c r="AH114" s="319" t="n">
        <v>3954.65</v>
      </c>
      <c r="AI114" s="319" t="n">
        <v>287.7</v>
      </c>
      <c r="AJ114" s="319" t="n">
        <v>1630.6</v>
      </c>
    </row>
    <row r="115" customFormat="false" ht="17.35" hidden="false" customHeight="false" outlineLevel="0" collapsed="false">
      <c r="A115" s="308" t="str">
        <f aca="false">IFERROR(TRIM(VLOOKUP(UPPER(D113),table_lookups,2,FALSE())),IF(ROW()&gt;2,A114,""))</f>
        <v>EXPENSES</v>
      </c>
      <c r="B115" s="309" t="n">
        <v>314</v>
      </c>
      <c r="C115" s="310"/>
      <c r="D115" s="314" t="str">
        <f aca="false">IFERROR(VLOOKUP(B115,'[1]detailed model'!$a$6:$C$92,3,FALSE()),"NOT CODED/ERROR")</f>
        <v>Utilities</v>
      </c>
      <c r="E115" s="311"/>
      <c r="F115" s="312" t="e">
        <f aca="false">VLOOKUP(B115,'[1]detailed model'!a110:C175,3,FALSE())</f>
        <v>#NAME?</v>
      </c>
      <c r="G115" s="0" t="s">
        <v>246</v>
      </c>
      <c r="H115" s="315"/>
      <c r="I115" s="315"/>
      <c r="J115" s="315"/>
      <c r="K115" s="315"/>
      <c r="L115" s="315"/>
      <c r="M115" s="315"/>
      <c r="N115" s="315"/>
      <c r="O115" s="315"/>
      <c r="P115" s="315"/>
      <c r="Q115" s="315"/>
      <c r="R115" s="315"/>
      <c r="S115" s="315"/>
      <c r="T115" s="315"/>
      <c r="U115" s="315"/>
      <c r="V115" s="315"/>
      <c r="W115" s="315"/>
      <c r="X115" s="315"/>
      <c r="Y115" s="319" t="n">
        <v>2060.24</v>
      </c>
      <c r="Z115" s="319" t="n">
        <v>2197.58</v>
      </c>
      <c r="AA115" s="319" t="n">
        <v>2128.91</v>
      </c>
      <c r="AB115" s="319" t="n">
        <v>2128.91</v>
      </c>
      <c r="AC115" s="319" t="n">
        <v>2128.91</v>
      </c>
      <c r="AD115" s="319" t="n">
        <v>2128.91</v>
      </c>
      <c r="AE115" s="319" t="n">
        <v>2199.87</v>
      </c>
      <c r="AF115" s="319" t="n">
        <v>2057.95</v>
      </c>
      <c r="AG115" s="319" t="n">
        <v>2128.91</v>
      </c>
      <c r="AH115" s="319" t="n">
        <v>2128.91</v>
      </c>
      <c r="AI115" s="319" t="n">
        <v>2060.24</v>
      </c>
      <c r="AJ115" s="319" t="n">
        <v>2128.91</v>
      </c>
    </row>
    <row r="116" customFormat="false" ht="17.35" hidden="false" customHeight="false" outlineLevel="0" collapsed="false">
      <c r="A116" s="308" t="str">
        <f aca="false">IFERROR(TRIM(VLOOKUP(UPPER(D114),table_lookups,2,FALSE())),IF(ROW()&gt;2,A115,""))</f>
        <v>EXPENSES</v>
      </c>
      <c r="B116" s="309" t="n">
        <v>314</v>
      </c>
      <c r="C116" s="310"/>
      <c r="D116" s="314" t="str">
        <f aca="false">IFERROR(VLOOKUP(B116,'[1]detailed model'!$a$6:$C$92,3,FALSE()),"NOT CODED/ERROR")</f>
        <v>Utilities</v>
      </c>
      <c r="E116" s="311"/>
      <c r="F116" s="312" t="e">
        <f aca="false">VLOOKUP(B116,'[1]detailed model'!a110:C176,3,FALSE())</f>
        <v>#NAME?</v>
      </c>
      <c r="G116" s="0" t="s">
        <v>247</v>
      </c>
      <c r="H116" s="315"/>
      <c r="I116" s="315"/>
      <c r="J116" s="315"/>
      <c r="K116" s="315"/>
      <c r="L116" s="315"/>
      <c r="M116" s="315"/>
      <c r="N116" s="315"/>
      <c r="O116" s="315"/>
      <c r="P116" s="315"/>
      <c r="Q116" s="315"/>
      <c r="R116" s="315"/>
      <c r="S116" s="315"/>
      <c r="T116" s="315"/>
      <c r="U116" s="315"/>
      <c r="V116" s="315"/>
      <c r="W116" s="315"/>
      <c r="X116" s="315"/>
      <c r="Y116" s="319" t="n">
        <v>8760.07</v>
      </c>
      <c r="Z116" s="319" t="n">
        <v>10657.15</v>
      </c>
      <c r="AA116" s="319" t="n">
        <v>5540.01</v>
      </c>
      <c r="AB116" s="319" t="n">
        <v>6655.92</v>
      </c>
      <c r="AC116" s="319" t="n">
        <v>6830.55</v>
      </c>
      <c r="AD116" s="319" t="n">
        <v>8173.36</v>
      </c>
      <c r="AE116" s="319" t="n">
        <v>8540.09</v>
      </c>
      <c r="AF116" s="319" t="n">
        <v>6258.09</v>
      </c>
      <c r="AG116" s="319" t="n">
        <v>6612.22</v>
      </c>
      <c r="AH116" s="319" t="n">
        <v>6908.47</v>
      </c>
      <c r="AI116" s="319" t="n">
        <v>10121.23</v>
      </c>
      <c r="AJ116" s="319" t="n">
        <v>7887.91</v>
      </c>
    </row>
    <row r="117" customFormat="false" ht="17.35" hidden="false" customHeight="false" outlineLevel="0" collapsed="false">
      <c r="A117" s="308" t="str">
        <f aca="false">IFERROR(TRIM(VLOOKUP(UPPER(D115),table_lookups,2,FALSE())),IF(ROW()&gt;2,A116,""))</f>
        <v>EXPENSES</v>
      </c>
      <c r="B117" s="309"/>
      <c r="C117" s="310"/>
      <c r="D117" s="314" t="str">
        <f aca="false">IFERROR(VLOOKUP(B117,'[1]detailed model'!$a$6:$C$92,3,FALSE()),"NOT CODED/ERROR")</f>
        <v>NOT CODED/ERROR</v>
      </c>
      <c r="E117" s="311"/>
      <c r="F117" s="312" t="e">
        <f aca="false">VLOOKUP(B117,'[1]detailed model'!a110:C177,3,FALSE())</f>
        <v>#NAME?</v>
      </c>
      <c r="G117" s="0" t="s">
        <v>248</v>
      </c>
      <c r="H117" s="315"/>
      <c r="I117" s="315"/>
      <c r="J117" s="315"/>
      <c r="K117" s="315"/>
      <c r="L117" s="315"/>
      <c r="M117" s="315"/>
      <c r="N117" s="315"/>
      <c r="O117" s="315"/>
      <c r="P117" s="315"/>
      <c r="Q117" s="315"/>
      <c r="R117" s="315"/>
      <c r="S117" s="315"/>
      <c r="T117" s="315"/>
      <c r="U117" s="315"/>
      <c r="V117" s="315"/>
      <c r="W117" s="315"/>
      <c r="X117" s="315"/>
      <c r="Y117" s="319" t="n">
        <v>22162.96</v>
      </c>
      <c r="Z117" s="319" t="n">
        <v>23957.87</v>
      </c>
      <c r="AA117" s="319" t="n">
        <v>21791.22</v>
      </c>
      <c r="AB117" s="319" t="n">
        <v>22777.64</v>
      </c>
      <c r="AC117" s="319" t="n">
        <v>21908.01</v>
      </c>
      <c r="AD117" s="319" t="n">
        <v>20929.06</v>
      </c>
      <c r="AE117" s="319" t="n">
        <v>22648.08</v>
      </c>
      <c r="AF117" s="319" t="n">
        <v>23741.26</v>
      </c>
      <c r="AG117" s="319" t="n">
        <v>22985.42</v>
      </c>
      <c r="AH117" s="319" t="n">
        <v>28571.87</v>
      </c>
      <c r="AI117" s="319" t="n">
        <v>20049.43</v>
      </c>
      <c r="AJ117" s="319" t="n">
        <v>22539.77</v>
      </c>
    </row>
    <row r="118" customFormat="false" ht="17.35" hidden="false" customHeight="false" outlineLevel="0" collapsed="false">
      <c r="A118" s="308" t="str">
        <f aca="false">IFERROR(TRIM(VLOOKUP(UPPER(D116),table_lookups,2,FALSE())),IF(ROW()&gt;2,A117,""))</f>
        <v>EXPENSES</v>
      </c>
      <c r="B118" s="309"/>
      <c r="C118" s="310"/>
      <c r="D118" s="314" t="str">
        <f aca="false">IFERROR(VLOOKUP(B118,'[1]detailed model'!$a$6:$C$92,3,FALSE()),"NOT CODED/ERROR")</f>
        <v>NOT CODED/ERROR</v>
      </c>
      <c r="E118" s="311"/>
      <c r="F118" s="312" t="e">
        <f aca="false">VLOOKUP(B118,'[1]detailed model'!a110:C178,3,FALSE())</f>
        <v>#NAME?</v>
      </c>
      <c r="G118" s="0" t="s">
        <v>171</v>
      </c>
    </row>
    <row r="119" customFormat="false" ht="17.35" hidden="false" customHeight="false" outlineLevel="0" collapsed="false">
      <c r="A119" s="308" t="str">
        <f aca="false">IFERROR(TRIM(VLOOKUP(UPPER(D117),table_lookups,2,FALSE())),IF(ROW()&gt;2,A118,""))</f>
        <v>EXPENSES</v>
      </c>
      <c r="B119" s="309"/>
      <c r="C119" s="310"/>
      <c r="D119" s="314" t="str">
        <f aca="false">IFERROR(VLOOKUP(B119,'[1]detailed model'!$a$6:$C$92,3,FALSE()),"NOT CODED/ERROR")</f>
        <v>NOT CODED/ERROR</v>
      </c>
      <c r="E119" s="311"/>
      <c r="F119" s="312" t="e">
        <f aca="false">VLOOKUP(B119,'[1]detailed model'!a110:C179,3,FALSE())</f>
        <v>#NAME?</v>
      </c>
      <c r="G119" s="0" t="s">
        <v>249</v>
      </c>
      <c r="H119" s="315"/>
      <c r="I119" s="315"/>
      <c r="J119" s="315"/>
      <c r="K119" s="315"/>
      <c r="L119" s="315"/>
      <c r="M119" s="315"/>
      <c r="N119" s="315"/>
      <c r="O119" s="315"/>
      <c r="P119" s="315"/>
      <c r="Q119" s="315"/>
      <c r="R119" s="315"/>
      <c r="S119" s="315"/>
      <c r="T119" s="315"/>
      <c r="U119" s="315"/>
      <c r="V119" s="315"/>
      <c r="W119" s="315"/>
      <c r="X119" s="315"/>
      <c r="Y119" s="0" t="s">
        <v>176</v>
      </c>
      <c r="Z119" s="0" t="s">
        <v>176</v>
      </c>
      <c r="AA119" s="0" t="s">
        <v>176</v>
      </c>
      <c r="AB119" s="0" t="s">
        <v>176</v>
      </c>
      <c r="AC119" s="0" t="s">
        <v>176</v>
      </c>
      <c r="AD119" s="0" t="s">
        <v>176</v>
      </c>
      <c r="AE119" s="0" t="s">
        <v>176</v>
      </c>
      <c r="AF119" s="0" t="s">
        <v>176</v>
      </c>
      <c r="AG119" s="0" t="s">
        <v>176</v>
      </c>
      <c r="AH119" s="0" t="s">
        <v>176</v>
      </c>
      <c r="AI119" s="0" t="s">
        <v>176</v>
      </c>
      <c r="AJ119" s="0" t="s">
        <v>176</v>
      </c>
    </row>
    <row r="120" customFormat="false" ht="17.35" hidden="false" customHeight="false" outlineLevel="0" collapsed="false">
      <c r="A120" s="308" t="str">
        <f aca="false">IFERROR(TRIM(VLOOKUP(UPPER(D118),table_lookups,2,FALSE())),IF(ROW()&gt;2,A119,""))</f>
        <v>EXPENSES</v>
      </c>
      <c r="B120" s="309" t="n">
        <v>302</v>
      </c>
      <c r="C120" s="310"/>
      <c r="D120" s="314" t="str">
        <f aca="false">IFERROR(VLOOKUP(B120,'[1]detailed model'!$a$6:$C$92,3,FALSE()),"NOT CODED/ERROR")</f>
        <v>Dietary</v>
      </c>
      <c r="E120" s="311"/>
      <c r="F120" s="312" t="e">
        <f aca="false">VLOOKUP(B120,'[1]detailed model'!a110:C180,3,FALSE())</f>
        <v>#NAME?</v>
      </c>
      <c r="G120" s="0" t="s">
        <v>250</v>
      </c>
      <c r="H120" s="315"/>
      <c r="I120" s="315"/>
      <c r="J120" s="315"/>
      <c r="K120" s="315"/>
      <c r="L120" s="315"/>
      <c r="M120" s="315"/>
      <c r="N120" s="315"/>
      <c r="O120" s="315"/>
      <c r="P120" s="315"/>
      <c r="Q120" s="315"/>
      <c r="R120" s="315"/>
      <c r="S120" s="315"/>
      <c r="T120" s="315"/>
      <c r="U120" s="315"/>
      <c r="V120" s="315"/>
      <c r="W120" s="315"/>
      <c r="X120" s="315"/>
      <c r="Y120" s="319" t="n">
        <v>24770.79</v>
      </c>
      <c r="Z120" s="319" t="n">
        <v>24930.91</v>
      </c>
      <c r="AA120" s="319" t="n">
        <v>23801.65</v>
      </c>
      <c r="AB120" s="319" t="n">
        <v>23540.53</v>
      </c>
      <c r="AC120" s="319" t="n">
        <v>27943.77</v>
      </c>
      <c r="AD120" s="319" t="n">
        <v>27616.37</v>
      </c>
      <c r="AE120" s="319" t="n">
        <v>27212.75</v>
      </c>
      <c r="AF120" s="319" t="n">
        <v>31458.95</v>
      </c>
      <c r="AG120" s="319" t="n">
        <v>30417.03</v>
      </c>
      <c r="AH120" s="319" t="n">
        <v>30375.89</v>
      </c>
      <c r="AI120" s="319" t="n">
        <v>29402.58</v>
      </c>
      <c r="AJ120" s="319" t="n">
        <v>31419.78</v>
      </c>
    </row>
    <row r="121" customFormat="false" ht="17.35" hidden="false" customHeight="false" outlineLevel="0" collapsed="false">
      <c r="A121" s="308" t="str">
        <f aca="false">IFERROR(TRIM(VLOOKUP(UPPER(D119),table_lookups,2,FALSE())),IF(ROW()&gt;2,A120,""))</f>
        <v>EXPENSES</v>
      </c>
      <c r="B121" s="309" t="n">
        <v>302</v>
      </c>
      <c r="C121" s="310"/>
      <c r="D121" s="314" t="str">
        <f aca="false">IFERROR(VLOOKUP(B121,'[1]detailed model'!$a$6:$C$92,3,FALSE()),"NOT CODED/ERROR")</f>
        <v>Dietary</v>
      </c>
      <c r="E121" s="311"/>
      <c r="F121" s="312" t="e">
        <f aca="false">VLOOKUP(B121,'[1]detailed model'!a110:C181,3,FALSE())</f>
        <v>#NAME?</v>
      </c>
      <c r="G121" s="0" t="s">
        <v>251</v>
      </c>
      <c r="H121" s="315"/>
      <c r="I121" s="315"/>
      <c r="J121" s="315"/>
      <c r="K121" s="315"/>
      <c r="L121" s="315"/>
      <c r="M121" s="315"/>
      <c r="N121" s="315"/>
      <c r="O121" s="315"/>
      <c r="P121" s="315"/>
      <c r="Q121" s="315"/>
      <c r="R121" s="315"/>
      <c r="S121" s="315"/>
      <c r="T121" s="315"/>
      <c r="U121" s="315"/>
      <c r="V121" s="315"/>
      <c r="W121" s="315"/>
      <c r="X121" s="315"/>
      <c r="Y121" s="319" t="n">
        <v>4951.25</v>
      </c>
      <c r="Z121" s="319" t="n">
        <v>5039.54</v>
      </c>
      <c r="AA121" s="319" t="n">
        <v>5026.36</v>
      </c>
      <c r="AB121" s="319" t="n">
        <v>4513.16</v>
      </c>
      <c r="AC121" s="319" t="n">
        <v>5662.3</v>
      </c>
      <c r="AD121" s="319" t="n">
        <v>5489.92</v>
      </c>
      <c r="AE121" s="319" t="n">
        <v>6007.3</v>
      </c>
      <c r="AF121" s="319" t="n">
        <v>7029.94</v>
      </c>
      <c r="AG121" s="319" t="n">
        <v>6517.29</v>
      </c>
      <c r="AH121" s="319" t="n">
        <v>6371.82</v>
      </c>
      <c r="AI121" s="319" t="n">
        <v>6704.34</v>
      </c>
      <c r="AJ121" s="319" t="n">
        <v>8494</v>
      </c>
    </row>
    <row r="122" customFormat="false" ht="17.35" hidden="false" customHeight="false" outlineLevel="0" collapsed="false">
      <c r="A122" s="308" t="str">
        <f aca="false">IFERROR(TRIM(VLOOKUP(UPPER(D120),table_lookups,2,FALSE())),IF(ROW()&gt;2,A121,""))</f>
        <v>EXPENSES</v>
      </c>
      <c r="B122" s="309" t="n">
        <v>302</v>
      </c>
      <c r="C122" s="310"/>
      <c r="D122" s="314" t="str">
        <f aca="false">IFERROR(VLOOKUP(B122,'[1]detailed model'!$a$6:$C$92,3,FALSE()),"NOT CODED/ERROR")</f>
        <v>Dietary</v>
      </c>
      <c r="E122" s="311"/>
      <c r="F122" s="312" t="e">
        <f aca="false">VLOOKUP(B122,'[1]detailed model'!a110:C182,3,FALSE())</f>
        <v>#NAME?</v>
      </c>
      <c r="G122" s="0" t="s">
        <v>252</v>
      </c>
      <c r="H122" s="315"/>
      <c r="I122" s="315"/>
      <c r="J122" s="315"/>
      <c r="K122" s="315"/>
      <c r="L122" s="315"/>
      <c r="M122" s="315"/>
      <c r="N122" s="315"/>
      <c r="O122" s="315"/>
      <c r="P122" s="315"/>
      <c r="Q122" s="315"/>
      <c r="R122" s="315"/>
      <c r="S122" s="315"/>
      <c r="T122" s="315"/>
      <c r="U122" s="315"/>
      <c r="V122" s="315"/>
      <c r="W122" s="315"/>
      <c r="X122" s="315"/>
      <c r="Y122" s="319" t="n">
        <v>1695.8</v>
      </c>
      <c r="Z122" s="319" t="n">
        <v>2440.25</v>
      </c>
      <c r="AA122" s="319" t="n">
        <v>1235.28</v>
      </c>
      <c r="AB122" s="319" t="n">
        <v>2397.01</v>
      </c>
      <c r="AC122" s="319" t="n">
        <v>1367.14</v>
      </c>
      <c r="AD122" s="319" t="n">
        <v>2565.19</v>
      </c>
      <c r="AE122" s="319" t="n">
        <v>2731.86</v>
      </c>
      <c r="AF122" s="319" t="n">
        <v>2739.82</v>
      </c>
      <c r="AG122" s="319" t="n">
        <v>1539.34</v>
      </c>
      <c r="AH122" s="319" t="n">
        <v>1333.2</v>
      </c>
      <c r="AI122" s="319" t="n">
        <v>1338.77</v>
      </c>
      <c r="AJ122" s="319" t="n">
        <v>2495.46</v>
      </c>
    </row>
    <row r="123" customFormat="false" ht="17.35" hidden="false" customHeight="false" outlineLevel="0" collapsed="false">
      <c r="A123" s="308" t="str">
        <f aca="false">IFERROR(TRIM(VLOOKUP(UPPER(D121),table_lookups,2,FALSE())),IF(ROW()&gt;2,A122,""))</f>
        <v>EXPENSES</v>
      </c>
      <c r="B123" s="309" t="n">
        <v>302</v>
      </c>
      <c r="C123" s="310"/>
      <c r="D123" s="314" t="str">
        <f aca="false">IFERROR(VLOOKUP(B123,'[1]detailed model'!$a$6:$C$92,3,FALSE()),"NOT CODED/ERROR")</f>
        <v>Dietary</v>
      </c>
      <c r="E123" s="311"/>
      <c r="F123" s="312" t="e">
        <f aca="false">VLOOKUP(B123,'[1]detailed model'!a110:C183,3,FALSE())</f>
        <v>#NAME?</v>
      </c>
      <c r="G123" s="0" t="s">
        <v>253</v>
      </c>
      <c r="H123" s="315"/>
      <c r="I123" s="315"/>
      <c r="J123" s="315"/>
      <c r="K123" s="315"/>
      <c r="L123" s="315"/>
      <c r="M123" s="315"/>
      <c r="N123" s="315"/>
      <c r="O123" s="315"/>
      <c r="P123" s="315"/>
      <c r="Q123" s="315"/>
      <c r="R123" s="315"/>
      <c r="S123" s="315"/>
      <c r="T123" s="315"/>
      <c r="U123" s="315"/>
      <c r="V123" s="315"/>
      <c r="W123" s="315"/>
      <c r="X123" s="315"/>
      <c r="Y123" s="319" t="n">
        <v>1877.25</v>
      </c>
      <c r="Z123" s="319" t="n">
        <v>2061.59</v>
      </c>
      <c r="AA123" s="319" t="n">
        <v>2399.56</v>
      </c>
      <c r="AB123" s="319" t="n">
        <v>1364.48</v>
      </c>
      <c r="AC123" s="319" t="n">
        <v>2797.44</v>
      </c>
      <c r="AD123" s="319" t="n">
        <v>1484.88</v>
      </c>
      <c r="AE123" s="319" t="n">
        <v>1732.69</v>
      </c>
      <c r="AF123" s="319" t="n">
        <v>1480.95</v>
      </c>
      <c r="AG123" s="319" t="n">
        <v>1583.79</v>
      </c>
      <c r="AH123" s="319" t="n">
        <v>3386.92</v>
      </c>
      <c r="AI123" s="319" t="n">
        <v>5093.99</v>
      </c>
      <c r="AJ123" s="319" t="n">
        <v>9106.15</v>
      </c>
    </row>
    <row r="124" customFormat="false" ht="17.35" hidden="false" customHeight="false" outlineLevel="0" collapsed="false">
      <c r="A124" s="308" t="str">
        <f aca="false">IFERROR(TRIM(VLOOKUP(UPPER(D122),table_lookups,2,FALSE())),IF(ROW()&gt;2,A123,""))</f>
        <v>EXPENSES</v>
      </c>
      <c r="B124" s="309" t="n">
        <v>302</v>
      </c>
      <c r="C124" s="310"/>
      <c r="D124" s="314" t="str">
        <f aca="false">IFERROR(VLOOKUP(B124,'[1]detailed model'!$a$6:$C$92,3,FALSE()),"NOT CODED/ERROR")</f>
        <v>Dietary</v>
      </c>
      <c r="E124" s="311"/>
      <c r="F124" s="312" t="e">
        <f aca="false">VLOOKUP(B124,'[1]detailed model'!a110:C184,3,FALSE())</f>
        <v>#NAME?</v>
      </c>
      <c r="G124" s="0" t="s">
        <v>254</v>
      </c>
      <c r="H124" s="315"/>
      <c r="I124" s="315"/>
      <c r="J124" s="315"/>
      <c r="K124" s="315"/>
      <c r="L124" s="315"/>
      <c r="M124" s="315"/>
      <c r="N124" s="315"/>
      <c r="O124" s="315"/>
      <c r="P124" s="315"/>
      <c r="Q124" s="315"/>
      <c r="R124" s="315"/>
      <c r="S124" s="315"/>
      <c r="T124" s="315"/>
      <c r="U124" s="315"/>
      <c r="V124" s="315"/>
      <c r="W124" s="315"/>
      <c r="X124" s="315"/>
      <c r="Y124" s="319" t="n">
        <v>0</v>
      </c>
      <c r="Z124" s="319" t="n">
        <v>0</v>
      </c>
      <c r="AA124" s="319" t="n">
        <v>112.2</v>
      </c>
      <c r="AB124" s="319" t="n">
        <v>31.68</v>
      </c>
      <c r="AC124" s="319" t="n">
        <v>116.6</v>
      </c>
      <c r="AD124" s="319" t="n">
        <v>54</v>
      </c>
      <c r="AE124" s="319" t="n">
        <v>30.8</v>
      </c>
      <c r="AF124" s="319" t="n">
        <v>0</v>
      </c>
      <c r="AG124" s="319" t="n">
        <v>0</v>
      </c>
      <c r="AH124" s="319" t="n">
        <v>386.64</v>
      </c>
      <c r="AI124" s="319" t="n">
        <v>472.54</v>
      </c>
      <c r="AJ124" s="319" t="n">
        <v>475.95</v>
      </c>
    </row>
    <row r="125" customFormat="false" ht="17.35" hidden="false" customHeight="false" outlineLevel="0" collapsed="false">
      <c r="A125" s="308" t="str">
        <f aca="false">IFERROR(TRIM(VLOOKUP(UPPER(D123),table_lookups,2,FALSE())),IF(ROW()&gt;2,A124,""))</f>
        <v>EXPENSES</v>
      </c>
      <c r="B125" s="309" t="n">
        <v>302</v>
      </c>
      <c r="C125" s="310"/>
      <c r="D125" s="314" t="str">
        <f aca="false">IFERROR(VLOOKUP(B125,'[1]detailed model'!$a$6:$C$92,3,FALSE()),"NOT CODED/ERROR")</f>
        <v>Dietary</v>
      </c>
      <c r="E125" s="311"/>
      <c r="F125" s="312" t="e">
        <f aca="false">VLOOKUP(B125,'[1]detailed model'!a110:C185,3,FALSE())</f>
        <v>#NAME?</v>
      </c>
      <c r="G125" s="0" t="s">
        <v>255</v>
      </c>
      <c r="H125" s="315"/>
      <c r="I125" s="315"/>
      <c r="J125" s="315"/>
      <c r="K125" s="315"/>
      <c r="L125" s="315"/>
      <c r="M125" s="315"/>
      <c r="N125" s="315"/>
      <c r="O125" s="315"/>
      <c r="P125" s="315"/>
      <c r="Q125" s="315"/>
      <c r="R125" s="315"/>
      <c r="S125" s="315"/>
      <c r="T125" s="315"/>
      <c r="U125" s="315"/>
      <c r="V125" s="315"/>
      <c r="W125" s="315"/>
      <c r="X125" s="315"/>
      <c r="Y125" s="319" t="n">
        <v>0</v>
      </c>
      <c r="Z125" s="319" t="n">
        <v>0</v>
      </c>
      <c r="AA125" s="319" t="n">
        <v>530.48</v>
      </c>
      <c r="AB125" s="319" t="n">
        <v>42.66</v>
      </c>
      <c r="AC125" s="319" t="n">
        <v>76.38</v>
      </c>
      <c r="AD125" s="319" t="n">
        <v>0</v>
      </c>
      <c r="AE125" s="319" t="n">
        <v>341.64</v>
      </c>
      <c r="AF125" s="319" t="n">
        <v>176</v>
      </c>
      <c r="AG125" s="319" t="n">
        <v>40.4</v>
      </c>
      <c r="AH125" s="319" t="n">
        <v>0</v>
      </c>
      <c r="AI125" s="319" t="n">
        <v>0</v>
      </c>
      <c r="AJ125" s="319" t="n">
        <v>0</v>
      </c>
    </row>
    <row r="126" customFormat="false" ht="17.35" hidden="false" customHeight="false" outlineLevel="0" collapsed="false">
      <c r="A126" s="308" t="str">
        <f aca="false">IFERROR(TRIM(VLOOKUP(UPPER(D124),table_lookups,2,FALSE())),IF(ROW()&gt;2,A125,""))</f>
        <v>EXPENSES</v>
      </c>
      <c r="B126" s="309" t="n">
        <v>302</v>
      </c>
      <c r="C126" s="310"/>
      <c r="D126" s="314" t="str">
        <f aca="false">IFERROR(VLOOKUP(B126,'[1]detailed model'!$a$6:$C$92,3,FALSE()),"NOT CODED/ERROR")</f>
        <v>Dietary</v>
      </c>
      <c r="E126" s="311"/>
      <c r="F126" s="312" t="e">
        <f aca="false">VLOOKUP(B126,'[1]detailed model'!a110:C186,3,FALSE())</f>
        <v>#NAME?</v>
      </c>
      <c r="G126" s="0" t="s">
        <v>256</v>
      </c>
      <c r="H126" s="315"/>
      <c r="I126" s="315"/>
      <c r="J126" s="315"/>
      <c r="K126" s="315"/>
      <c r="L126" s="315"/>
      <c r="M126" s="315"/>
      <c r="N126" s="315"/>
      <c r="O126" s="315"/>
      <c r="P126" s="315"/>
      <c r="Q126" s="315"/>
      <c r="R126" s="315"/>
      <c r="S126" s="315"/>
      <c r="T126" s="315"/>
      <c r="U126" s="315"/>
      <c r="V126" s="315"/>
      <c r="W126" s="315"/>
      <c r="X126" s="315"/>
      <c r="Y126" s="319" t="n">
        <v>4042.42</v>
      </c>
      <c r="Z126" s="319" t="n">
        <v>-2838.12</v>
      </c>
      <c r="AA126" s="319" t="n">
        <v>0</v>
      </c>
      <c r="AB126" s="319" t="n">
        <v>233.06</v>
      </c>
      <c r="AC126" s="319" t="n">
        <v>790.68</v>
      </c>
      <c r="AD126" s="319" t="n">
        <v>0</v>
      </c>
      <c r="AE126" s="319" t="n">
        <v>0</v>
      </c>
      <c r="AF126" s="319" t="n">
        <v>529.07</v>
      </c>
      <c r="AG126" s="319" t="n">
        <v>0</v>
      </c>
      <c r="AH126" s="319" t="n">
        <v>0</v>
      </c>
      <c r="AI126" s="319" t="n">
        <v>1021.99</v>
      </c>
      <c r="AJ126" s="319" t="n">
        <v>2917.45</v>
      </c>
    </row>
    <row r="127" customFormat="false" ht="17.35" hidden="false" customHeight="false" outlineLevel="0" collapsed="false">
      <c r="A127" s="308" t="str">
        <f aca="false">IFERROR(TRIM(VLOOKUP(UPPER(D125),table_lookups,2,FALSE())),IF(ROW()&gt;2,A126,""))</f>
        <v>EXPENSES</v>
      </c>
      <c r="B127" s="309" t="n">
        <v>302</v>
      </c>
      <c r="C127" s="310"/>
      <c r="D127" s="314" t="str">
        <f aca="false">IFERROR(VLOOKUP(B127,'[1]detailed model'!$a$6:$C$92,3,FALSE()),"NOT CODED/ERROR")</f>
        <v>Dietary</v>
      </c>
      <c r="E127" s="311"/>
      <c r="F127" s="312" t="e">
        <f aca="false">VLOOKUP(B127,'[1]detailed model'!a110:C187,3,FALSE())</f>
        <v>#NAME?</v>
      </c>
      <c r="G127" s="0" t="s">
        <v>257</v>
      </c>
      <c r="H127" s="315"/>
      <c r="I127" s="315"/>
      <c r="J127" s="315"/>
      <c r="K127" s="315"/>
      <c r="L127" s="315"/>
      <c r="M127" s="315"/>
      <c r="N127" s="315"/>
      <c r="O127" s="315"/>
      <c r="P127" s="315"/>
      <c r="Q127" s="315"/>
      <c r="R127" s="315"/>
      <c r="S127" s="315"/>
      <c r="T127" s="315"/>
      <c r="U127" s="315"/>
      <c r="V127" s="315"/>
      <c r="W127" s="315"/>
      <c r="X127" s="315"/>
      <c r="Y127" s="319" t="n">
        <v>286.72</v>
      </c>
      <c r="Z127" s="319" t="n">
        <v>358.4</v>
      </c>
      <c r="AA127" s="319" t="n">
        <v>286.72</v>
      </c>
      <c r="AB127" s="319" t="n">
        <v>286.72</v>
      </c>
      <c r="AC127" s="319" t="n">
        <v>377.45</v>
      </c>
      <c r="AD127" s="319" t="n">
        <v>301.96</v>
      </c>
      <c r="AE127" s="319" t="n">
        <v>301.96</v>
      </c>
      <c r="AF127" s="319" t="n">
        <v>377.45</v>
      </c>
      <c r="AG127" s="319" t="n">
        <v>301.96</v>
      </c>
      <c r="AH127" s="319" t="n">
        <v>301.96</v>
      </c>
      <c r="AI127" s="319" t="n">
        <v>377.45</v>
      </c>
      <c r="AJ127" s="319" t="n">
        <v>301.96</v>
      </c>
    </row>
    <row r="128" customFormat="false" ht="17.35" hidden="false" customHeight="false" outlineLevel="0" collapsed="false">
      <c r="A128" s="308" t="str">
        <f aca="false">IFERROR(TRIM(VLOOKUP(UPPER(D126),table_lookups,2,FALSE())),IF(ROW()&gt;2,A127,""))</f>
        <v>EXPENSES</v>
      </c>
      <c r="B128" s="309" t="n">
        <v>302</v>
      </c>
      <c r="C128" s="310"/>
      <c r="D128" s="314" t="str">
        <f aca="false">IFERROR(VLOOKUP(B128,'[1]detailed model'!$a$6:$C$92,3,FALSE()),"NOT CODED/ERROR")</f>
        <v>Dietary</v>
      </c>
      <c r="E128" s="311"/>
      <c r="F128" s="312" t="e">
        <f aca="false">VLOOKUP(B128,'[1]detailed model'!a110:C188,3,FALSE())</f>
        <v>#NAME?</v>
      </c>
      <c r="G128" s="0" t="s">
        <v>258</v>
      </c>
      <c r="H128" s="315"/>
      <c r="I128" s="315"/>
      <c r="J128" s="315"/>
      <c r="K128" s="315"/>
      <c r="L128" s="315"/>
      <c r="M128" s="315"/>
      <c r="N128" s="315"/>
      <c r="O128" s="315"/>
      <c r="P128" s="315"/>
      <c r="Q128" s="315"/>
      <c r="R128" s="315"/>
      <c r="S128" s="315"/>
      <c r="T128" s="315"/>
      <c r="U128" s="315"/>
      <c r="V128" s="315"/>
      <c r="W128" s="315"/>
      <c r="X128" s="315"/>
      <c r="Y128" s="319" t="n">
        <v>13346.54</v>
      </c>
      <c r="Z128" s="319" t="n">
        <v>15826.18</v>
      </c>
      <c r="AA128" s="319" t="n">
        <v>20180.28</v>
      </c>
      <c r="AB128" s="319" t="n">
        <v>17155.87</v>
      </c>
      <c r="AC128" s="319" t="n">
        <v>17212.17</v>
      </c>
      <c r="AD128" s="319" t="n">
        <v>20066.48</v>
      </c>
      <c r="AE128" s="319" t="n">
        <v>16774.9</v>
      </c>
      <c r="AF128" s="319" t="n">
        <v>19990.89</v>
      </c>
      <c r="AG128" s="319" t="n">
        <v>19701.8</v>
      </c>
      <c r="AH128" s="319" t="n">
        <v>18823.67</v>
      </c>
      <c r="AI128" s="319" t="n">
        <v>19890.9</v>
      </c>
      <c r="AJ128" s="319" t="n">
        <v>20637.68</v>
      </c>
    </row>
    <row r="129" customFormat="false" ht="17.35" hidden="false" customHeight="false" outlineLevel="0" collapsed="false">
      <c r="A129" s="308" t="str">
        <f aca="false">IFERROR(TRIM(VLOOKUP(UPPER(D127),table_lookups,2,FALSE())),IF(ROW()&gt;2,A128,""))</f>
        <v>EXPENSES</v>
      </c>
      <c r="B129" s="309" t="n">
        <v>302</v>
      </c>
      <c r="C129" s="310"/>
      <c r="D129" s="314" t="str">
        <f aca="false">IFERROR(VLOOKUP(B129,'[1]detailed model'!$a$6:$C$92,3,FALSE()),"NOT CODED/ERROR")</f>
        <v>Dietary</v>
      </c>
      <c r="E129" s="311"/>
      <c r="F129" s="312" t="e">
        <f aca="false">VLOOKUP(B129,'[1]detailed model'!a111:C189,3,FALSE())</f>
        <v>#NAME?</v>
      </c>
      <c r="G129" s="0" t="s">
        <v>259</v>
      </c>
      <c r="H129" s="315"/>
      <c r="I129" s="315"/>
      <c r="J129" s="315"/>
      <c r="K129" s="315"/>
      <c r="L129" s="315"/>
      <c r="M129" s="315"/>
      <c r="N129" s="315"/>
      <c r="O129" s="315"/>
      <c r="P129" s="315"/>
      <c r="Q129" s="315"/>
      <c r="R129" s="315"/>
      <c r="S129" s="315"/>
      <c r="T129" s="315"/>
      <c r="U129" s="315"/>
      <c r="V129" s="315"/>
      <c r="W129" s="315"/>
      <c r="X129" s="315"/>
      <c r="Y129" s="319" t="n">
        <v>0</v>
      </c>
      <c r="Z129" s="319" t="n">
        <v>157</v>
      </c>
      <c r="AA129" s="319" t="n">
        <v>0</v>
      </c>
      <c r="AB129" s="319" t="n">
        <v>0</v>
      </c>
      <c r="AC129" s="319" t="n">
        <v>111</v>
      </c>
      <c r="AD129" s="319" t="n">
        <v>202.65</v>
      </c>
      <c r="AE129" s="319" t="n">
        <v>0</v>
      </c>
      <c r="AF129" s="319" t="n">
        <v>159.2</v>
      </c>
      <c r="AG129" s="319" t="n">
        <v>110.01</v>
      </c>
      <c r="AH129" s="319" t="n">
        <v>222.85</v>
      </c>
      <c r="AI129" s="319" t="n">
        <v>190.1</v>
      </c>
      <c r="AJ129" s="319" t="n">
        <v>0</v>
      </c>
    </row>
    <row r="130" customFormat="false" ht="17.35" hidden="false" customHeight="false" outlineLevel="0" collapsed="false">
      <c r="A130" s="308" t="str">
        <f aca="false">IFERROR(TRIM(VLOOKUP(UPPER(D128),table_lookups,2,FALSE())),IF(ROW()&gt;2,A129,""))</f>
        <v>EXPENSES</v>
      </c>
      <c r="B130" s="309" t="n">
        <v>302</v>
      </c>
      <c r="C130" s="310"/>
      <c r="D130" s="314" t="str">
        <f aca="false">IFERROR(VLOOKUP(B130,'[1]detailed model'!$a$6:$C$92,3,FALSE()),"NOT CODED/ERROR")</f>
        <v>Dietary</v>
      </c>
      <c r="E130" s="311"/>
      <c r="F130" s="312" t="e">
        <f aca="false">VLOOKUP(B130,'[1]detailed model'!a112:C190,3,FALSE())</f>
        <v>#NAME?</v>
      </c>
      <c r="G130" s="0" t="s">
        <v>260</v>
      </c>
      <c r="H130" s="315"/>
      <c r="I130" s="315"/>
      <c r="J130" s="315"/>
      <c r="K130" s="315"/>
      <c r="L130" s="315"/>
      <c r="M130" s="315"/>
      <c r="N130" s="315"/>
      <c r="O130" s="315"/>
      <c r="P130" s="315"/>
      <c r="Q130" s="315"/>
      <c r="R130" s="315"/>
      <c r="S130" s="315"/>
      <c r="T130" s="315"/>
      <c r="U130" s="315"/>
      <c r="V130" s="315"/>
      <c r="W130" s="315"/>
      <c r="X130" s="315"/>
      <c r="Y130" s="319" t="n">
        <v>1836.24</v>
      </c>
      <c r="Z130" s="319" t="n">
        <v>1731.26</v>
      </c>
      <c r="AA130" s="319" t="n">
        <v>2189.83</v>
      </c>
      <c r="AB130" s="319" t="n">
        <v>1722.35</v>
      </c>
      <c r="AC130" s="319" t="n">
        <v>1802.06</v>
      </c>
      <c r="AD130" s="319" t="n">
        <v>1777.5</v>
      </c>
      <c r="AE130" s="319" t="n">
        <v>1890.83</v>
      </c>
      <c r="AF130" s="319" t="n">
        <v>1975.54</v>
      </c>
      <c r="AG130" s="319" t="n">
        <v>2818.03</v>
      </c>
      <c r="AH130" s="319" t="n">
        <v>2235.13</v>
      </c>
      <c r="AI130" s="319" t="n">
        <v>1582.81</v>
      </c>
      <c r="AJ130" s="319" t="n">
        <v>2864.38</v>
      </c>
    </row>
    <row r="131" customFormat="false" ht="17.35" hidden="false" customHeight="false" outlineLevel="0" collapsed="false">
      <c r="A131" s="308" t="str">
        <f aca="false">IFERROR(TRIM(VLOOKUP(UPPER(D129),table_lookups,2,FALSE())),IF(ROW()&gt;2,A130,""))</f>
        <v>EXPENSES</v>
      </c>
      <c r="B131" s="309" t="n">
        <v>302</v>
      </c>
      <c r="C131" s="310"/>
      <c r="D131" s="314" t="str">
        <f aca="false">IFERROR(VLOOKUP(B131,'[1]detailed model'!$a$6:$C$92,3,FALSE()),"NOT CODED/ERROR")</f>
        <v>Dietary</v>
      </c>
      <c r="E131" s="311"/>
      <c r="F131" s="312" t="e">
        <f aca="false">VLOOKUP(B131,'[1]detailed model'!a113:C191,3,FALSE())</f>
        <v>#NAME?</v>
      </c>
      <c r="G131" s="0" t="s">
        <v>261</v>
      </c>
      <c r="H131" s="315"/>
      <c r="I131" s="315"/>
      <c r="J131" s="315"/>
      <c r="K131" s="315"/>
      <c r="L131" s="315"/>
      <c r="M131" s="315"/>
      <c r="N131" s="315"/>
      <c r="O131" s="315"/>
      <c r="P131" s="315"/>
      <c r="Q131" s="315"/>
      <c r="R131" s="315"/>
      <c r="S131" s="315"/>
      <c r="T131" s="315"/>
      <c r="U131" s="315"/>
      <c r="V131" s="315"/>
      <c r="W131" s="315"/>
      <c r="X131" s="315"/>
      <c r="Y131" s="319" t="n">
        <v>0</v>
      </c>
      <c r="Z131" s="319" t="n">
        <v>0</v>
      </c>
      <c r="AA131" s="319" t="n">
        <v>96.28</v>
      </c>
      <c r="AB131" s="319" t="n">
        <v>0</v>
      </c>
      <c r="AC131" s="319" t="n">
        <v>608.43</v>
      </c>
      <c r="AD131" s="319" t="n">
        <v>239.41</v>
      </c>
      <c r="AE131" s="319" t="n">
        <v>73.81</v>
      </c>
      <c r="AF131" s="319" t="n">
        <v>491.61</v>
      </c>
      <c r="AG131" s="319" t="n">
        <v>0</v>
      </c>
      <c r="AH131" s="319" t="n">
        <v>0</v>
      </c>
      <c r="AI131" s="319" t="n">
        <v>146.28</v>
      </c>
      <c r="AJ131" s="319" t="n">
        <v>596.22</v>
      </c>
    </row>
    <row r="132" customFormat="false" ht="17.35" hidden="false" customHeight="false" outlineLevel="0" collapsed="false">
      <c r="A132" s="308" t="str">
        <f aca="false">IFERROR(TRIM(VLOOKUP(UPPER(D130),table_lookups,2,FALSE())),IF(ROW()&gt;2,A131,""))</f>
        <v>EXPENSES</v>
      </c>
      <c r="B132" s="309"/>
      <c r="C132" s="310"/>
      <c r="D132" s="314" t="str">
        <f aca="false">IFERROR(VLOOKUP(B132,'[1]detailed model'!$a$6:$C$92,3,FALSE()),"NOT CODED/ERROR")</f>
        <v>NOT CODED/ERROR</v>
      </c>
      <c r="E132" s="311"/>
      <c r="F132" s="312" t="e">
        <f aca="false">VLOOKUP(B132,'[1]detailed model'!a114:C192,3,FALSE())</f>
        <v>#NAME?</v>
      </c>
      <c r="G132" s="0" t="s">
        <v>262</v>
      </c>
      <c r="H132" s="315"/>
      <c r="I132" s="315"/>
      <c r="J132" s="315"/>
      <c r="K132" s="315"/>
      <c r="L132" s="315"/>
      <c r="M132" s="315"/>
      <c r="N132" s="315"/>
      <c r="O132" s="315"/>
      <c r="P132" s="315"/>
      <c r="Q132" s="315"/>
      <c r="R132" s="315"/>
      <c r="S132" s="315"/>
      <c r="T132" s="315"/>
      <c r="U132" s="315"/>
      <c r="V132" s="315"/>
      <c r="W132" s="315"/>
      <c r="X132" s="315"/>
      <c r="Y132" s="319" t="n">
        <v>52807.01</v>
      </c>
      <c r="Z132" s="319" t="n">
        <v>49707.01</v>
      </c>
      <c r="AA132" s="319" t="n">
        <v>55858.64</v>
      </c>
      <c r="AB132" s="319" t="n">
        <v>51287.52</v>
      </c>
      <c r="AC132" s="319" t="n">
        <v>58865.42</v>
      </c>
      <c r="AD132" s="319" t="n">
        <v>59798.36</v>
      </c>
      <c r="AE132" s="319" t="n">
        <v>57098.54</v>
      </c>
      <c r="AF132" s="319" t="n">
        <v>66409.42</v>
      </c>
      <c r="AG132" s="319" t="n">
        <v>63029.65</v>
      </c>
      <c r="AH132" s="319" t="n">
        <v>63438.08</v>
      </c>
      <c r="AI132" s="319" t="n">
        <v>66221.75</v>
      </c>
      <c r="AJ132" s="319" t="n">
        <v>79309.03</v>
      </c>
    </row>
    <row r="133" customFormat="false" ht="17.35" hidden="false" customHeight="false" outlineLevel="0" collapsed="false">
      <c r="A133" s="308" t="str">
        <f aca="false">IFERROR(TRIM(VLOOKUP(UPPER(D131),table_lookups,2,FALSE())),IF(ROW()&gt;2,A132,""))</f>
        <v>EXPENSES</v>
      </c>
      <c r="B133" s="309"/>
      <c r="C133" s="310"/>
      <c r="D133" s="314" t="str">
        <f aca="false">IFERROR(VLOOKUP(B133,'[1]detailed model'!$a$6:$C$92,3,FALSE()),"NOT CODED/ERROR")</f>
        <v>NOT CODED/ERROR</v>
      </c>
      <c r="E133" s="311"/>
      <c r="F133" s="312" t="e">
        <f aca="false">VLOOKUP(B133,'[1]detailed model'!a115:C193,3,FALSE())</f>
        <v>#NAME?</v>
      </c>
      <c r="G133" s="0" t="s">
        <v>171</v>
      </c>
    </row>
    <row r="134" customFormat="false" ht="17.35" hidden="false" customHeight="false" outlineLevel="0" collapsed="false">
      <c r="A134" s="308" t="str">
        <f aca="false">IFERROR(TRIM(VLOOKUP(UPPER(D132),table_lookups,2,FALSE())),IF(ROW()&gt;2,A133,""))</f>
        <v>EXPENSES</v>
      </c>
      <c r="B134" s="309"/>
      <c r="C134" s="310"/>
      <c r="D134" s="314" t="str">
        <f aca="false">IFERROR(VLOOKUP(B134,'[1]detailed model'!$a$6:$C$92,3,FALSE()),"NOT CODED/ERROR")</f>
        <v>NOT CODED/ERROR</v>
      </c>
      <c r="E134" s="311"/>
      <c r="F134" s="312" t="e">
        <f aca="false">VLOOKUP(B134,'[1]detailed model'!a116:C194,3,FALSE())</f>
        <v>#NAME?</v>
      </c>
      <c r="G134" s="0" t="s">
        <v>263</v>
      </c>
      <c r="H134" s="315"/>
      <c r="I134" s="315"/>
      <c r="J134" s="315"/>
      <c r="K134" s="315"/>
      <c r="L134" s="315"/>
      <c r="M134" s="315"/>
      <c r="N134" s="315"/>
      <c r="O134" s="315"/>
      <c r="P134" s="315"/>
      <c r="Q134" s="315"/>
      <c r="R134" s="315"/>
      <c r="S134" s="315"/>
      <c r="T134" s="315"/>
      <c r="U134" s="315"/>
      <c r="V134" s="315"/>
      <c r="W134" s="315"/>
      <c r="X134" s="315"/>
      <c r="Y134" s="0" t="s">
        <v>176</v>
      </c>
      <c r="Z134" s="0" t="s">
        <v>176</v>
      </c>
      <c r="AA134" s="0" t="s">
        <v>176</v>
      </c>
      <c r="AB134" s="0" t="s">
        <v>176</v>
      </c>
      <c r="AC134" s="0" t="s">
        <v>176</v>
      </c>
      <c r="AD134" s="0" t="s">
        <v>176</v>
      </c>
      <c r="AE134" s="0" t="s">
        <v>176</v>
      </c>
      <c r="AF134" s="0" t="s">
        <v>176</v>
      </c>
      <c r="AG134" s="0" t="s">
        <v>176</v>
      </c>
      <c r="AH134" s="0" t="s">
        <v>176</v>
      </c>
      <c r="AI134" s="0" t="s">
        <v>176</v>
      </c>
      <c r="AJ134" s="0" t="s">
        <v>176</v>
      </c>
    </row>
    <row r="135" customFormat="false" ht="17.35" hidden="false" customHeight="false" outlineLevel="0" collapsed="false">
      <c r="A135" s="308" t="str">
        <f aca="false">IFERROR(TRIM(VLOOKUP(UPPER(D133),table_lookups,2,FALSE())),IF(ROW()&gt;2,A134,""))</f>
        <v>EXPENSES</v>
      </c>
      <c r="B135" s="309" t="n">
        <v>304</v>
      </c>
      <c r="C135" s="310"/>
      <c r="D135" s="314" t="str">
        <f aca="false">IFERROR(VLOOKUP(B135,'[1]detailed model'!$a$6:$C$92,3,FALSE()),"NOT CODED/ERROR")</f>
        <v>Housekeeping</v>
      </c>
      <c r="E135" s="311"/>
      <c r="F135" s="312" t="e">
        <f aca="false">VLOOKUP(B135,'[1]detailed model'!a117:C195,3,FALSE())</f>
        <v>#NAME?</v>
      </c>
      <c r="G135" s="0" t="s">
        <v>264</v>
      </c>
      <c r="H135" s="315"/>
      <c r="I135" s="315"/>
      <c r="J135" s="315"/>
      <c r="K135" s="315"/>
      <c r="L135" s="315"/>
      <c r="M135" s="315"/>
      <c r="N135" s="315"/>
      <c r="O135" s="315"/>
      <c r="P135" s="315"/>
      <c r="Q135" s="315"/>
      <c r="R135" s="315"/>
      <c r="S135" s="315"/>
      <c r="T135" s="315"/>
      <c r="U135" s="315"/>
      <c r="V135" s="315"/>
      <c r="W135" s="315"/>
      <c r="X135" s="315"/>
      <c r="Y135" s="319" t="n">
        <v>11092.42</v>
      </c>
      <c r="Z135" s="319" t="n">
        <v>9546.07</v>
      </c>
      <c r="AA135" s="319" t="n">
        <v>10680.28</v>
      </c>
      <c r="AB135" s="319" t="n">
        <v>8464.59</v>
      </c>
      <c r="AC135" s="319" t="n">
        <v>8004.22</v>
      </c>
      <c r="AD135" s="319" t="n">
        <v>10947.98</v>
      </c>
      <c r="AE135" s="319" t="n">
        <v>8868.01</v>
      </c>
      <c r="AF135" s="319" t="n">
        <v>8008.98</v>
      </c>
      <c r="AG135" s="319" t="n">
        <v>7136.76</v>
      </c>
      <c r="AH135" s="319" t="n">
        <v>7129.98</v>
      </c>
      <c r="AI135" s="319" t="n">
        <v>8973.79</v>
      </c>
      <c r="AJ135" s="319" t="n">
        <v>6912.5</v>
      </c>
    </row>
    <row r="136" customFormat="false" ht="17.35" hidden="false" customHeight="false" outlineLevel="0" collapsed="false">
      <c r="A136" s="308" t="str">
        <f aca="false">IFERROR(TRIM(VLOOKUP(UPPER(D134),table_lookups,2,FALSE())),IF(ROW()&gt;2,A135,""))</f>
        <v>EXPENSES</v>
      </c>
      <c r="B136" s="309" t="n">
        <v>304</v>
      </c>
      <c r="C136" s="310"/>
      <c r="D136" s="314" t="str">
        <f aca="false">IFERROR(VLOOKUP(B136,'[1]detailed model'!$a$6:$C$92,3,FALSE()),"NOT CODED/ERROR")</f>
        <v>Housekeeping</v>
      </c>
      <c r="E136" s="311"/>
      <c r="F136" s="312" t="e">
        <f aca="false">VLOOKUP(B136,'[1]detailed model'!a118:C196,3,FALSE())</f>
        <v>#NAME?</v>
      </c>
      <c r="G136" s="0" t="s">
        <v>265</v>
      </c>
      <c r="H136" s="315"/>
      <c r="I136" s="315"/>
      <c r="J136" s="315"/>
      <c r="K136" s="315"/>
      <c r="L136" s="315"/>
      <c r="M136" s="315"/>
      <c r="N136" s="315"/>
      <c r="O136" s="315"/>
      <c r="P136" s="315"/>
      <c r="Q136" s="315"/>
      <c r="R136" s="315"/>
      <c r="S136" s="315"/>
      <c r="T136" s="315"/>
      <c r="U136" s="315"/>
      <c r="V136" s="315"/>
      <c r="W136" s="315"/>
      <c r="X136" s="315"/>
      <c r="Y136" s="319" t="n">
        <v>2103.28</v>
      </c>
      <c r="Z136" s="319" t="n">
        <v>1841.62</v>
      </c>
      <c r="AA136" s="319" t="n">
        <v>2095.88</v>
      </c>
      <c r="AB136" s="319" t="n">
        <v>1938.17</v>
      </c>
      <c r="AC136" s="319" t="n">
        <v>1671.73</v>
      </c>
      <c r="AD136" s="319" t="n">
        <v>2256.79</v>
      </c>
      <c r="AE136" s="319" t="n">
        <v>1937.11</v>
      </c>
      <c r="AF136" s="319" t="n">
        <v>1727.36</v>
      </c>
      <c r="AG136" s="319" t="n">
        <v>1605.4</v>
      </c>
      <c r="AH136" s="319" t="n">
        <v>1756.85</v>
      </c>
      <c r="AI136" s="319" t="n">
        <v>1876.68</v>
      </c>
      <c r="AJ136" s="319" t="n">
        <v>1433.87</v>
      </c>
    </row>
    <row r="137" customFormat="false" ht="17.35" hidden="false" customHeight="false" outlineLevel="0" collapsed="false">
      <c r="A137" s="308" t="str">
        <f aca="false">IFERROR(TRIM(VLOOKUP(UPPER(D135),table_lookups,2,FALSE())),IF(ROW()&gt;2,A136,""))</f>
        <v>EXPENSES</v>
      </c>
      <c r="B137" s="309" t="n">
        <v>304</v>
      </c>
      <c r="C137" s="310"/>
      <c r="D137" s="314" t="str">
        <f aca="false">IFERROR(VLOOKUP(B137,'[1]detailed model'!$a$6:$C$92,3,FALSE()),"NOT CODED/ERROR")</f>
        <v>Housekeeping</v>
      </c>
      <c r="E137" s="311"/>
      <c r="F137" s="312" t="e">
        <f aca="false">VLOOKUP(B137,'[1]detailed model'!a119:C197,3,FALSE())</f>
        <v>#NAME?</v>
      </c>
      <c r="G137" s="0" t="s">
        <v>266</v>
      </c>
      <c r="H137" s="315"/>
      <c r="I137" s="315"/>
      <c r="J137" s="315"/>
      <c r="K137" s="315"/>
      <c r="L137" s="315"/>
      <c r="M137" s="315"/>
      <c r="N137" s="315"/>
      <c r="O137" s="315"/>
      <c r="P137" s="315"/>
      <c r="Q137" s="315"/>
      <c r="R137" s="315"/>
      <c r="S137" s="315"/>
      <c r="T137" s="315"/>
      <c r="U137" s="315"/>
      <c r="V137" s="315"/>
      <c r="W137" s="315"/>
      <c r="X137" s="315"/>
      <c r="Y137" s="319" t="n">
        <v>572.33</v>
      </c>
      <c r="Z137" s="319" t="n">
        <v>954.8</v>
      </c>
      <c r="AA137" s="319" t="n">
        <v>565.27</v>
      </c>
      <c r="AB137" s="319" t="n">
        <v>709.21</v>
      </c>
      <c r="AC137" s="319" t="n">
        <v>366.65</v>
      </c>
      <c r="AD137" s="319" t="n">
        <v>1035.31</v>
      </c>
      <c r="AE137" s="319" t="n">
        <v>759.03</v>
      </c>
      <c r="AF137" s="319" t="n">
        <v>620.62</v>
      </c>
      <c r="AG137" s="319" t="n">
        <v>350.81</v>
      </c>
      <c r="AH137" s="319" t="n">
        <v>274.02</v>
      </c>
      <c r="AI137" s="319" t="n">
        <v>253.05</v>
      </c>
      <c r="AJ137" s="319" t="n">
        <v>535.26</v>
      </c>
    </row>
    <row r="138" customFormat="false" ht="17.35" hidden="false" customHeight="false" outlineLevel="0" collapsed="false">
      <c r="A138" s="308" t="str">
        <f aca="false">IFERROR(TRIM(VLOOKUP(UPPER(D136),table_lookups,2,FALSE())),IF(ROW()&gt;2,A137,""))</f>
        <v>EXPENSES</v>
      </c>
      <c r="B138" s="309" t="n">
        <v>304</v>
      </c>
      <c r="C138" s="310"/>
      <c r="D138" s="314" t="str">
        <f aca="false">IFERROR(VLOOKUP(B138,'[1]detailed model'!$a$6:$C$92,3,FALSE()),"NOT CODED/ERROR")</f>
        <v>Housekeeping</v>
      </c>
      <c r="E138" s="311"/>
      <c r="F138" s="312" t="e">
        <f aca="false">VLOOKUP(B138,'[1]detailed model'!a120:C198,3,FALSE())</f>
        <v>#NAME?</v>
      </c>
      <c r="G138" s="0" t="s">
        <v>267</v>
      </c>
      <c r="H138" s="315"/>
      <c r="I138" s="315"/>
      <c r="J138" s="315"/>
      <c r="K138" s="315"/>
      <c r="L138" s="315"/>
      <c r="M138" s="315"/>
      <c r="N138" s="315"/>
      <c r="O138" s="315"/>
      <c r="P138" s="315"/>
      <c r="Q138" s="315"/>
      <c r="R138" s="315"/>
      <c r="S138" s="315"/>
      <c r="T138" s="315"/>
      <c r="U138" s="315"/>
      <c r="V138" s="315"/>
      <c r="W138" s="315"/>
      <c r="X138" s="315"/>
      <c r="Y138" s="319" t="n">
        <v>204.49</v>
      </c>
      <c r="Z138" s="319" t="n">
        <v>166.16</v>
      </c>
      <c r="AA138" s="319" t="n">
        <v>357.33</v>
      </c>
      <c r="AB138" s="319" t="n">
        <v>237.66</v>
      </c>
      <c r="AC138" s="319" t="n">
        <v>327.78</v>
      </c>
      <c r="AD138" s="319" t="n">
        <v>560.49</v>
      </c>
      <c r="AE138" s="319" t="n">
        <v>208.82</v>
      </c>
      <c r="AF138" s="319" t="n">
        <v>45.17</v>
      </c>
      <c r="AG138" s="319" t="n">
        <v>65.37</v>
      </c>
      <c r="AH138" s="319" t="n">
        <v>276.75</v>
      </c>
      <c r="AI138" s="319" t="n">
        <v>552.51</v>
      </c>
      <c r="AJ138" s="319" t="n">
        <v>819.37</v>
      </c>
    </row>
    <row r="139" customFormat="false" ht="17.35" hidden="false" customHeight="false" outlineLevel="0" collapsed="false">
      <c r="A139" s="308" t="str">
        <f aca="false">IFERROR(TRIM(VLOOKUP(UPPER(D137),table_lookups,2,FALSE())),IF(ROW()&gt;2,A138,""))</f>
        <v>EXPENSES</v>
      </c>
      <c r="B139" s="309" t="n">
        <v>304</v>
      </c>
      <c r="C139" s="310"/>
      <c r="D139" s="314" t="str">
        <f aca="false">IFERROR(VLOOKUP(B139,'[1]detailed model'!$a$6:$C$92,3,FALSE()),"NOT CODED/ERROR")</f>
        <v>Housekeeping</v>
      </c>
      <c r="E139" s="311"/>
      <c r="F139" s="312" t="e">
        <f aca="false">VLOOKUP(B139,'[1]detailed model'!a121:C199,3,FALSE())</f>
        <v>#NAME?</v>
      </c>
      <c r="G139" s="0" t="s">
        <v>268</v>
      </c>
      <c r="H139" s="315"/>
      <c r="I139" s="315"/>
      <c r="J139" s="315"/>
      <c r="K139" s="315"/>
      <c r="L139" s="315"/>
      <c r="M139" s="315"/>
      <c r="N139" s="315"/>
      <c r="O139" s="315"/>
      <c r="P139" s="315"/>
      <c r="Q139" s="315"/>
      <c r="R139" s="315"/>
      <c r="S139" s="315"/>
      <c r="T139" s="315"/>
      <c r="U139" s="315"/>
      <c r="V139" s="315"/>
      <c r="W139" s="315"/>
      <c r="X139" s="315"/>
      <c r="Y139" s="319" t="n">
        <v>0</v>
      </c>
      <c r="Z139" s="319" t="n">
        <v>0</v>
      </c>
      <c r="AA139" s="319" t="n">
        <v>0</v>
      </c>
      <c r="AB139" s="319" t="n">
        <v>0</v>
      </c>
      <c r="AC139" s="319" t="n">
        <v>553.86</v>
      </c>
      <c r="AD139" s="319" t="n">
        <v>0</v>
      </c>
      <c r="AE139" s="319" t="n">
        <v>0</v>
      </c>
      <c r="AF139" s="319" t="n">
        <v>0</v>
      </c>
      <c r="AG139" s="319" t="n">
        <v>610.74</v>
      </c>
      <c r="AH139" s="319" t="n">
        <v>1114.2</v>
      </c>
      <c r="AI139" s="319" t="n">
        <v>0</v>
      </c>
      <c r="AJ139" s="319" t="n">
        <v>0</v>
      </c>
    </row>
    <row r="140" customFormat="false" ht="17.35" hidden="false" customHeight="false" outlineLevel="0" collapsed="false">
      <c r="A140" s="317" t="str">
        <f aca="false">IFERROR(TRIM(VLOOKUP(UPPER(D138),table_lookups,2,FALSE())),IF(ROW()&gt;2,A139,""))</f>
        <v>EXPENSES</v>
      </c>
      <c r="B140" s="309" t="n">
        <v>304</v>
      </c>
      <c r="C140" s="318"/>
      <c r="D140" s="314" t="str">
        <f aca="false">IFERROR(VLOOKUP(B140,'[1]detailed model'!$a$6:$C$92,3,FALSE()),"NOT CODED/ERROR")</f>
        <v>Housekeeping</v>
      </c>
      <c r="E140" s="316"/>
      <c r="F140" s="312" t="e">
        <f aca="false">VLOOKUP(B140,'[1]detailed model'!a122:C200,3,FALSE())</f>
        <v>#NAME?</v>
      </c>
      <c r="G140" s="0" t="s">
        <v>269</v>
      </c>
      <c r="H140" s="315"/>
      <c r="I140" s="315"/>
      <c r="J140" s="315"/>
      <c r="K140" s="315"/>
      <c r="L140" s="315"/>
      <c r="M140" s="315"/>
      <c r="N140" s="315"/>
      <c r="O140" s="315"/>
      <c r="P140" s="315"/>
      <c r="Q140" s="315"/>
      <c r="R140" s="315"/>
      <c r="S140" s="315"/>
      <c r="T140" s="315"/>
      <c r="U140" s="315"/>
      <c r="V140" s="315"/>
      <c r="W140" s="315"/>
      <c r="X140" s="315"/>
      <c r="Y140" s="319" t="n">
        <v>1195.52</v>
      </c>
      <c r="Z140" s="319" t="n">
        <v>4793.57</v>
      </c>
      <c r="AA140" s="319" t="n">
        <v>0</v>
      </c>
      <c r="AB140" s="319" t="n">
        <v>871.15</v>
      </c>
      <c r="AC140" s="319" t="n">
        <v>4046.31</v>
      </c>
      <c r="AD140" s="319" t="n">
        <v>1342.4</v>
      </c>
      <c r="AE140" s="319" t="n">
        <v>2114.68</v>
      </c>
      <c r="AF140" s="319" t="n">
        <v>2420.73</v>
      </c>
      <c r="AG140" s="319" t="n">
        <v>2186.8</v>
      </c>
      <c r="AH140" s="319" t="n">
        <v>1873.01</v>
      </c>
      <c r="AI140" s="319" t="n">
        <v>2529.33</v>
      </c>
      <c r="AJ140" s="319" t="n">
        <v>3565.28</v>
      </c>
    </row>
    <row r="141" customFormat="false" ht="17.35" hidden="false" customHeight="false" outlineLevel="0" collapsed="false">
      <c r="A141" s="308" t="str">
        <f aca="false">IFERROR(TRIM(VLOOKUP(UPPER(D139),table_lookups,2,FALSE())),IF(ROW()&gt;2,A140,""))</f>
        <v>EXPENSES</v>
      </c>
      <c r="B141" s="309" t="n">
        <v>304</v>
      </c>
      <c r="C141" s="310"/>
      <c r="D141" s="314" t="str">
        <f aca="false">IFERROR(VLOOKUP(B141,'[1]detailed model'!$a$6:$C$92,3,FALSE()),"NOT CODED/ERROR")</f>
        <v>Housekeeping</v>
      </c>
      <c r="E141" s="316"/>
      <c r="F141" s="312" t="e">
        <f aca="false">VLOOKUP(B141,'[1]detailed model'!a123:C201,3,FALSE())</f>
        <v>#NAME?</v>
      </c>
      <c r="G141" s="0" t="s">
        <v>270</v>
      </c>
      <c r="H141" s="315"/>
      <c r="I141" s="315"/>
      <c r="J141" s="315"/>
      <c r="K141" s="315"/>
      <c r="L141" s="315"/>
      <c r="M141" s="315"/>
      <c r="N141" s="315"/>
      <c r="O141" s="315"/>
      <c r="P141" s="315"/>
      <c r="Q141" s="315"/>
      <c r="R141" s="315"/>
      <c r="S141" s="315"/>
      <c r="T141" s="315"/>
      <c r="U141" s="315"/>
      <c r="V141" s="315"/>
      <c r="W141" s="315"/>
      <c r="X141" s="315"/>
      <c r="Y141" s="319" t="n">
        <v>0</v>
      </c>
      <c r="Z141" s="319" t="n">
        <v>0</v>
      </c>
      <c r="AA141" s="319" t="n">
        <v>0</v>
      </c>
      <c r="AB141" s="319" t="n">
        <v>0</v>
      </c>
      <c r="AC141" s="319" t="n">
        <v>292.45</v>
      </c>
      <c r="AD141" s="319" t="n">
        <v>0</v>
      </c>
      <c r="AE141" s="319" t="n">
        <v>0</v>
      </c>
      <c r="AF141" s="319" t="n">
        <v>0</v>
      </c>
      <c r="AG141" s="319" t="n">
        <v>0</v>
      </c>
      <c r="AH141" s="319" t="n">
        <v>0</v>
      </c>
      <c r="AI141" s="319" t="n">
        <v>0</v>
      </c>
      <c r="AJ141" s="319" t="n">
        <v>0</v>
      </c>
    </row>
    <row r="142" customFormat="false" ht="17.35" hidden="false" customHeight="false" outlineLevel="0" collapsed="false">
      <c r="A142" s="308" t="str">
        <f aca="false">IFERROR(TRIM(VLOOKUP(UPPER(D140),table_lookups,2,FALSE())),IF(ROW()&gt;2,A141,""))</f>
        <v>EXPENSES</v>
      </c>
      <c r="B142" s="309"/>
      <c r="C142" s="310"/>
      <c r="D142" s="314" t="str">
        <f aca="false">IFERROR(VLOOKUP(B142,'[1]detailed model'!$a$6:$C$92,3,FALSE()),"NOT CODED/ERROR")</f>
        <v>NOT CODED/ERROR</v>
      </c>
      <c r="E142" s="316"/>
      <c r="F142" s="312" t="e">
        <f aca="false">VLOOKUP(B142,'[1]detailed model'!a124:C202,3,FALSE())</f>
        <v>#NAME?</v>
      </c>
      <c r="G142" s="0" t="s">
        <v>271</v>
      </c>
      <c r="H142" s="315"/>
      <c r="I142" s="315"/>
      <c r="J142" s="315"/>
      <c r="K142" s="315"/>
      <c r="L142" s="315"/>
      <c r="M142" s="315"/>
      <c r="N142" s="315"/>
      <c r="O142" s="315"/>
      <c r="P142" s="315"/>
      <c r="Q142" s="315"/>
      <c r="R142" s="315"/>
      <c r="S142" s="315"/>
      <c r="T142" s="315"/>
      <c r="U142" s="315"/>
      <c r="V142" s="315"/>
      <c r="W142" s="315"/>
      <c r="X142" s="315"/>
      <c r="Y142" s="319" t="n">
        <v>15168.04</v>
      </c>
      <c r="Z142" s="319" t="n">
        <v>17302.22</v>
      </c>
      <c r="AA142" s="319" t="n">
        <v>13698.76</v>
      </c>
      <c r="AB142" s="319" t="n">
        <v>12220.78</v>
      </c>
      <c r="AC142" s="319" t="n">
        <v>15263</v>
      </c>
      <c r="AD142" s="319" t="n">
        <v>16142.97</v>
      </c>
      <c r="AE142" s="319" t="n">
        <v>13887.65</v>
      </c>
      <c r="AF142" s="319" t="n">
        <v>12822.86</v>
      </c>
      <c r="AG142" s="319" t="n">
        <v>11955.88</v>
      </c>
      <c r="AH142" s="319" t="n">
        <v>12424.81</v>
      </c>
      <c r="AI142" s="319" t="n">
        <v>14185.36</v>
      </c>
      <c r="AJ142" s="319" t="n">
        <v>13266.28</v>
      </c>
    </row>
    <row r="143" customFormat="false" ht="17.35" hidden="false" customHeight="false" outlineLevel="0" collapsed="false">
      <c r="A143" s="308" t="str">
        <f aca="false">IFERROR(TRIM(VLOOKUP(UPPER(D141),table_lookups,2,FALSE())),IF(ROW()&gt;2,A142,""))</f>
        <v>EXPENSES</v>
      </c>
      <c r="B143" s="309"/>
      <c r="C143" s="310"/>
      <c r="D143" s="314" t="str">
        <f aca="false">IFERROR(VLOOKUP(B143,'[1]detailed model'!$a$6:$C$92,3,FALSE()),"NOT CODED/ERROR")</f>
        <v>NOT CODED/ERROR</v>
      </c>
      <c r="E143" s="316"/>
      <c r="F143" s="312" t="e">
        <f aca="false">VLOOKUP(B143,'[1]detailed model'!a125:C203,3,FALSE())</f>
        <v>#NAME?</v>
      </c>
      <c r="G143" s="0" t="s">
        <v>171</v>
      </c>
    </row>
    <row r="144" customFormat="false" ht="17.35" hidden="false" customHeight="false" outlineLevel="0" collapsed="false">
      <c r="A144" s="308" t="str">
        <f aca="false">IFERROR(TRIM(VLOOKUP(UPPER(D142),table_lookups,2,FALSE())),IF(ROW()&gt;2,A143,""))</f>
        <v>EXPENSES</v>
      </c>
      <c r="B144" s="309"/>
      <c r="C144" s="310"/>
      <c r="D144" s="314" t="str">
        <f aca="false">IFERROR(VLOOKUP(B144,'[1]detailed model'!$a$6:$C$92,3,FALSE()),"NOT CODED/ERROR")</f>
        <v>NOT CODED/ERROR</v>
      </c>
      <c r="E144" s="316"/>
      <c r="F144" s="312" t="e">
        <f aca="false">VLOOKUP(B144,'[1]detailed model'!a126:C204,3,FALSE())</f>
        <v>#NAME?</v>
      </c>
      <c r="G144" s="0" t="s">
        <v>272</v>
      </c>
      <c r="H144" s="315"/>
      <c r="I144" s="315"/>
      <c r="J144" s="315"/>
      <c r="K144" s="315"/>
      <c r="L144" s="315"/>
      <c r="M144" s="315"/>
      <c r="N144" s="315"/>
      <c r="O144" s="315"/>
      <c r="P144" s="315"/>
      <c r="Q144" s="315"/>
      <c r="R144" s="315"/>
      <c r="S144" s="315"/>
      <c r="T144" s="315"/>
      <c r="U144" s="315"/>
      <c r="V144" s="315"/>
      <c r="W144" s="315"/>
      <c r="X144" s="315"/>
      <c r="Y144" s="0" t="s">
        <v>176</v>
      </c>
      <c r="Z144" s="0" t="s">
        <v>176</v>
      </c>
      <c r="AA144" s="0" t="s">
        <v>176</v>
      </c>
      <c r="AB144" s="0" t="s">
        <v>176</v>
      </c>
      <c r="AC144" s="0" t="s">
        <v>176</v>
      </c>
      <c r="AD144" s="0" t="s">
        <v>176</v>
      </c>
      <c r="AE144" s="0" t="s">
        <v>176</v>
      </c>
      <c r="AF144" s="0" t="s">
        <v>176</v>
      </c>
      <c r="AG144" s="0" t="s">
        <v>176</v>
      </c>
      <c r="AH144" s="0" t="s">
        <v>176</v>
      </c>
      <c r="AI144" s="0" t="s">
        <v>176</v>
      </c>
      <c r="AJ144" s="0" t="s">
        <v>176</v>
      </c>
    </row>
    <row r="145" customFormat="false" ht="17.35" hidden="false" customHeight="false" outlineLevel="0" collapsed="false">
      <c r="A145" s="308" t="str">
        <f aca="false">IFERROR(TRIM(VLOOKUP(UPPER(D143),table_lookups,2,FALSE())),IF(ROW()&gt;2,A144,""))</f>
        <v>EXPENSES</v>
      </c>
      <c r="B145" s="309" t="n">
        <v>303</v>
      </c>
      <c r="C145" s="310"/>
      <c r="D145" s="314" t="str">
        <f aca="false">IFERROR(VLOOKUP(B145,'[1]detailed model'!$a$6:$C$92,3,FALSE()),"NOT CODED/ERROR")</f>
        <v>Activities</v>
      </c>
      <c r="E145" s="316"/>
      <c r="F145" s="312" t="e">
        <f aca="false">VLOOKUP(B145,'[1]detailed model'!a127:C205,3,FALSE())</f>
        <v>#NAME?</v>
      </c>
      <c r="G145" s="0" t="s">
        <v>273</v>
      </c>
      <c r="H145" s="315"/>
      <c r="I145" s="315"/>
      <c r="J145" s="315"/>
      <c r="K145" s="315"/>
      <c r="L145" s="315"/>
      <c r="M145" s="315"/>
      <c r="N145" s="315"/>
      <c r="O145" s="315"/>
      <c r="P145" s="315"/>
      <c r="Q145" s="315"/>
      <c r="R145" s="315"/>
      <c r="S145" s="315"/>
      <c r="T145" s="315"/>
      <c r="U145" s="315"/>
      <c r="V145" s="315"/>
      <c r="W145" s="315"/>
      <c r="X145" s="315"/>
      <c r="Y145" s="319" t="n">
        <v>12335.14</v>
      </c>
      <c r="Z145" s="319" t="n">
        <v>12270.31</v>
      </c>
      <c r="AA145" s="319" t="n">
        <v>13505.58</v>
      </c>
      <c r="AB145" s="319" t="n">
        <v>7749.61</v>
      </c>
      <c r="AC145" s="319" t="n">
        <v>11611.27</v>
      </c>
      <c r="AD145" s="319" t="n">
        <v>13094.48</v>
      </c>
      <c r="AE145" s="319" t="n">
        <v>12822.46</v>
      </c>
      <c r="AF145" s="319" t="n">
        <v>15471.03</v>
      </c>
      <c r="AG145" s="319" t="n">
        <v>16281.79</v>
      </c>
      <c r="AH145" s="319" t="n">
        <v>12746.48</v>
      </c>
      <c r="AI145" s="319" t="n">
        <v>15612.7</v>
      </c>
      <c r="AJ145" s="319" t="n">
        <v>17092.96</v>
      </c>
    </row>
    <row r="146" customFormat="false" ht="17.35" hidden="false" customHeight="false" outlineLevel="0" collapsed="false">
      <c r="A146" s="308" t="str">
        <f aca="false">IFERROR(TRIM(VLOOKUP(UPPER(D144),table_lookups,2,FALSE())),IF(ROW()&gt;2,A145,""))</f>
        <v>EXPENSES</v>
      </c>
      <c r="B146" s="309" t="n">
        <v>303</v>
      </c>
      <c r="C146" s="310"/>
      <c r="D146" s="314" t="str">
        <f aca="false">IFERROR(VLOOKUP(B146,'[1]detailed model'!$a$6:$C$92,3,FALSE()),"NOT CODED/ERROR")</f>
        <v>Activities</v>
      </c>
      <c r="E146" s="316"/>
      <c r="F146" s="312" t="e">
        <f aca="false">VLOOKUP(B146,'[1]detailed model'!a128:C206,3,FALSE())</f>
        <v>#NAME?</v>
      </c>
      <c r="G146" s="0" t="s">
        <v>274</v>
      </c>
      <c r="H146" s="315"/>
      <c r="I146" s="315"/>
      <c r="J146" s="315"/>
      <c r="K146" s="315"/>
      <c r="L146" s="315"/>
      <c r="M146" s="315"/>
      <c r="N146" s="315"/>
      <c r="O146" s="315"/>
      <c r="P146" s="315"/>
      <c r="Q146" s="315"/>
      <c r="R146" s="315"/>
      <c r="S146" s="315"/>
      <c r="T146" s="315"/>
      <c r="U146" s="315"/>
      <c r="V146" s="315"/>
      <c r="W146" s="315"/>
      <c r="X146" s="315"/>
      <c r="Y146" s="319" t="n">
        <v>2625.27</v>
      </c>
      <c r="Z146" s="319" t="n">
        <v>2738.05</v>
      </c>
      <c r="AA146" s="319" t="n">
        <v>2893.07</v>
      </c>
      <c r="AB146" s="319" t="n">
        <v>2378.81</v>
      </c>
      <c r="AC146" s="319" t="n">
        <v>2499.64</v>
      </c>
      <c r="AD146" s="319" t="n">
        <v>3663.41</v>
      </c>
      <c r="AE146" s="319" t="n">
        <v>3084.53</v>
      </c>
      <c r="AF146" s="319" t="n">
        <v>3607.84</v>
      </c>
      <c r="AG146" s="319" t="n">
        <v>3241.18</v>
      </c>
      <c r="AH146" s="319" t="n">
        <v>3252.39</v>
      </c>
      <c r="AI146" s="319" t="n">
        <v>3092.63</v>
      </c>
      <c r="AJ146" s="319" t="n">
        <v>3366.01</v>
      </c>
    </row>
    <row r="147" customFormat="false" ht="17.35" hidden="false" customHeight="false" outlineLevel="0" collapsed="false">
      <c r="A147" s="308" t="str">
        <f aca="false">IFERROR(TRIM(VLOOKUP(UPPER(D145),table_lookups,2,FALSE())),IF(ROW()&gt;2,A146,""))</f>
        <v>EXPENSES</v>
      </c>
      <c r="B147" s="309" t="n">
        <v>303</v>
      </c>
      <c r="C147" s="310"/>
      <c r="D147" s="314" t="str">
        <f aca="false">IFERROR(VLOOKUP(B147,'[1]detailed model'!$a$6:$C$92,3,FALSE()),"NOT CODED/ERROR")</f>
        <v>Activities</v>
      </c>
      <c r="E147" s="316"/>
      <c r="F147" s="312" t="e">
        <f aca="false">VLOOKUP(B147,'[1]detailed model'!a129:C207,3,FALSE())</f>
        <v>#NAME?</v>
      </c>
      <c r="G147" s="0" t="s">
        <v>275</v>
      </c>
      <c r="H147" s="315"/>
      <c r="I147" s="315"/>
      <c r="J147" s="315"/>
      <c r="K147" s="315"/>
      <c r="L147" s="315"/>
      <c r="M147" s="315"/>
      <c r="N147" s="315"/>
      <c r="O147" s="315"/>
      <c r="P147" s="315"/>
      <c r="Q147" s="315"/>
      <c r="R147" s="315"/>
      <c r="S147" s="315"/>
      <c r="T147" s="315"/>
      <c r="U147" s="315"/>
      <c r="V147" s="315"/>
      <c r="W147" s="315"/>
      <c r="X147" s="315"/>
      <c r="Y147" s="319" t="n">
        <v>954.32</v>
      </c>
      <c r="Z147" s="319" t="n">
        <v>1856.75</v>
      </c>
      <c r="AA147" s="319" t="n">
        <v>970.46</v>
      </c>
      <c r="AB147" s="319" t="n">
        <v>1467.76</v>
      </c>
      <c r="AC147" s="319" t="n">
        <v>703.38</v>
      </c>
      <c r="AD147" s="319" t="n">
        <v>1147.5</v>
      </c>
      <c r="AE147" s="319" t="n">
        <v>1358.7</v>
      </c>
      <c r="AF147" s="319" t="n">
        <v>2197.14</v>
      </c>
      <c r="AG147" s="319" t="n">
        <v>874.76</v>
      </c>
      <c r="AH147" s="319" t="n">
        <v>916.58</v>
      </c>
      <c r="AI147" s="319" t="n">
        <v>684.53</v>
      </c>
      <c r="AJ147" s="319" t="n">
        <v>1688.41</v>
      </c>
    </row>
    <row r="148" customFormat="false" ht="17.35" hidden="false" customHeight="false" outlineLevel="0" collapsed="false">
      <c r="A148" s="308" t="str">
        <f aca="false">IFERROR(TRIM(VLOOKUP(UPPER(D146),table_lookups,2,FALSE())),IF(ROW()&gt;2,A147,""))</f>
        <v>EXPENSES</v>
      </c>
      <c r="B148" s="309" t="n">
        <v>303</v>
      </c>
      <c r="C148" s="310"/>
      <c r="D148" s="314" t="str">
        <f aca="false">IFERROR(VLOOKUP(B148,'[1]detailed model'!$a$6:$C$92,3,FALSE()),"NOT CODED/ERROR")</f>
        <v>Activities</v>
      </c>
      <c r="E148" s="316"/>
      <c r="F148" s="312" t="e">
        <f aca="false">VLOOKUP(B148,'[1]detailed model'!a130:C208,3,FALSE())</f>
        <v>#NAME?</v>
      </c>
      <c r="G148" s="0" t="s">
        <v>276</v>
      </c>
      <c r="H148" s="315"/>
      <c r="I148" s="315"/>
      <c r="J148" s="315"/>
      <c r="K148" s="315"/>
      <c r="L148" s="315"/>
      <c r="M148" s="315"/>
      <c r="N148" s="315"/>
      <c r="O148" s="315"/>
      <c r="P148" s="315"/>
      <c r="Q148" s="315"/>
      <c r="R148" s="315"/>
      <c r="S148" s="315"/>
      <c r="T148" s="315"/>
      <c r="U148" s="315"/>
      <c r="V148" s="315"/>
      <c r="W148" s="315"/>
      <c r="X148" s="315"/>
      <c r="Y148" s="319" t="n">
        <v>1885.3</v>
      </c>
      <c r="Z148" s="319" t="n">
        <v>1522.76</v>
      </c>
      <c r="AA148" s="319" t="n">
        <v>1693.06</v>
      </c>
      <c r="AB148" s="319" t="n">
        <v>1623.1</v>
      </c>
      <c r="AC148" s="319" t="n">
        <v>1972.18</v>
      </c>
      <c r="AD148" s="319" t="n">
        <v>1678.89</v>
      </c>
      <c r="AE148" s="319" t="n">
        <v>1626.44</v>
      </c>
      <c r="AF148" s="319" t="n">
        <v>732.97</v>
      </c>
      <c r="AG148" s="319" t="n">
        <v>1398.4</v>
      </c>
      <c r="AH148" s="319" t="n">
        <v>1394.21</v>
      </c>
      <c r="AI148" s="319" t="n">
        <v>1290.58</v>
      </c>
      <c r="AJ148" s="319" t="n">
        <v>680.75</v>
      </c>
    </row>
    <row r="149" customFormat="false" ht="17.35" hidden="false" customHeight="false" outlineLevel="0" collapsed="false">
      <c r="A149" s="308" t="str">
        <f aca="false">IFERROR(TRIM(VLOOKUP(UPPER(D147),table_lookups,2,FALSE())),IF(ROW()&gt;2,A148,""))</f>
        <v>EXPENSES</v>
      </c>
      <c r="B149" s="309" t="n">
        <v>303</v>
      </c>
      <c r="C149" s="310"/>
      <c r="D149" s="314" t="str">
        <f aca="false">IFERROR(VLOOKUP(B149,'[1]detailed model'!$a$6:$C$92,3,FALSE()),"NOT CODED/ERROR")</f>
        <v>Activities</v>
      </c>
      <c r="E149" s="316"/>
      <c r="F149" s="312" t="e">
        <f aca="false">VLOOKUP(B149,'[1]detailed model'!a131:C209,3,FALSE())</f>
        <v>#NAME?</v>
      </c>
      <c r="G149" s="0" t="s">
        <v>277</v>
      </c>
      <c r="H149" s="315"/>
      <c r="I149" s="315"/>
      <c r="J149" s="315"/>
      <c r="K149" s="315"/>
      <c r="L149" s="315"/>
      <c r="M149" s="315"/>
      <c r="N149" s="315"/>
      <c r="O149" s="315"/>
      <c r="P149" s="315"/>
      <c r="Q149" s="315"/>
      <c r="R149" s="315"/>
      <c r="S149" s="315"/>
      <c r="T149" s="315"/>
      <c r="U149" s="315"/>
      <c r="V149" s="315"/>
      <c r="W149" s="315"/>
      <c r="X149" s="315"/>
      <c r="Y149" s="319" t="n">
        <v>0</v>
      </c>
      <c r="Z149" s="319" t="n">
        <v>0</v>
      </c>
      <c r="AA149" s="319" t="n">
        <v>0</v>
      </c>
      <c r="AB149" s="319" t="n">
        <v>0</v>
      </c>
      <c r="AC149" s="319" t="n">
        <v>0</v>
      </c>
      <c r="AD149" s="319" t="n">
        <v>0</v>
      </c>
      <c r="AE149" s="319" t="n">
        <v>0</v>
      </c>
      <c r="AF149" s="319" t="n">
        <v>0</v>
      </c>
      <c r="AG149" s="319" t="n">
        <v>0</v>
      </c>
      <c r="AH149" s="319" t="n">
        <v>95.59</v>
      </c>
      <c r="AI149" s="319" t="n">
        <v>0</v>
      </c>
      <c r="AJ149" s="319" t="n">
        <v>0</v>
      </c>
    </row>
    <row r="150" customFormat="false" ht="17.35" hidden="false" customHeight="false" outlineLevel="0" collapsed="false">
      <c r="A150" s="308" t="str">
        <f aca="false">IFERROR(TRIM(VLOOKUP(UPPER(D148),table_lookups,2,FALSE())),IF(ROW()&gt;2,A149,""))</f>
        <v>EXPENSES</v>
      </c>
      <c r="B150" s="309" t="n">
        <v>303</v>
      </c>
      <c r="C150" s="310"/>
      <c r="D150" s="314" t="str">
        <f aca="false">IFERROR(VLOOKUP(B150,'[1]detailed model'!$a$6:$C$92,3,FALSE()),"NOT CODED/ERROR")</f>
        <v>Activities</v>
      </c>
      <c r="E150" s="316"/>
      <c r="F150" s="312" t="e">
        <f aca="false">VLOOKUP(B150,'[1]detailed model'!a132:C210,3,FALSE())</f>
        <v>#NAME?</v>
      </c>
      <c r="G150" s="0" t="s">
        <v>278</v>
      </c>
      <c r="H150" s="315"/>
      <c r="I150" s="315"/>
      <c r="J150" s="315"/>
      <c r="K150" s="315"/>
      <c r="L150" s="315"/>
      <c r="M150" s="315"/>
      <c r="N150" s="315"/>
      <c r="O150" s="315"/>
      <c r="P150" s="315"/>
      <c r="Q150" s="315"/>
      <c r="R150" s="315"/>
      <c r="S150" s="315"/>
      <c r="T150" s="315"/>
      <c r="U150" s="315"/>
      <c r="V150" s="315"/>
      <c r="W150" s="315"/>
      <c r="X150" s="315"/>
      <c r="Y150" s="319" t="n">
        <v>0</v>
      </c>
      <c r="Z150" s="319" t="n">
        <v>337.72</v>
      </c>
      <c r="AA150" s="319" t="n">
        <v>0</v>
      </c>
      <c r="AB150" s="319" t="n">
        <v>0</v>
      </c>
      <c r="AC150" s="319" t="n">
        <v>0</v>
      </c>
      <c r="AD150" s="319" t="n">
        <v>5065.84</v>
      </c>
      <c r="AE150" s="319" t="n">
        <v>0</v>
      </c>
      <c r="AF150" s="319" t="n">
        <v>0</v>
      </c>
      <c r="AG150" s="319" t="n">
        <v>0</v>
      </c>
      <c r="AH150" s="319" t="n">
        <v>0</v>
      </c>
      <c r="AI150" s="319" t="n">
        <v>0</v>
      </c>
      <c r="AJ150" s="319" t="n">
        <v>0</v>
      </c>
    </row>
    <row r="151" customFormat="false" ht="17.35" hidden="false" customHeight="false" outlineLevel="0" collapsed="false">
      <c r="A151" s="308" t="str">
        <f aca="false">IFERROR(TRIM(VLOOKUP(UPPER(D149),table_lookups,2,FALSE())),IF(ROW()&gt;2,A150,""))</f>
        <v>EXPENSES</v>
      </c>
      <c r="B151" s="309" t="n">
        <v>303</v>
      </c>
      <c r="C151" s="321"/>
      <c r="D151" s="314" t="str">
        <f aca="false">IFERROR(VLOOKUP(B151,'[1]detailed model'!$a$6:$C$92,3,FALSE()),"NOT CODED/ERROR")</f>
        <v>Activities</v>
      </c>
      <c r="E151" s="316"/>
      <c r="F151" s="312" t="e">
        <f aca="false">VLOOKUP(B151,'[1]detailed model'!a133:C211,3,FALSE())</f>
        <v>#NAME?</v>
      </c>
      <c r="G151" s="0" t="s">
        <v>279</v>
      </c>
      <c r="H151" s="315"/>
      <c r="I151" s="315"/>
      <c r="J151" s="315"/>
      <c r="K151" s="315"/>
      <c r="L151" s="315"/>
      <c r="M151" s="315"/>
      <c r="N151" s="315"/>
      <c r="O151" s="315"/>
      <c r="P151" s="315"/>
      <c r="Q151" s="315"/>
      <c r="R151" s="315"/>
      <c r="S151" s="315"/>
      <c r="T151" s="315"/>
      <c r="U151" s="315"/>
      <c r="V151" s="315"/>
      <c r="W151" s="315"/>
      <c r="X151" s="315"/>
      <c r="Y151" s="319" t="n">
        <v>527.5</v>
      </c>
      <c r="Z151" s="319" t="n">
        <v>705</v>
      </c>
      <c r="AA151" s="319" t="n">
        <v>514.5</v>
      </c>
      <c r="AB151" s="319" t="n">
        <v>0</v>
      </c>
      <c r="AC151" s="319" t="n">
        <v>937</v>
      </c>
      <c r="AD151" s="319" t="n">
        <v>0</v>
      </c>
      <c r="AE151" s="319" t="n">
        <v>0</v>
      </c>
      <c r="AF151" s="319" t="n">
        <v>42</v>
      </c>
      <c r="AG151" s="319" t="n">
        <v>401</v>
      </c>
      <c r="AH151" s="319" t="n">
        <v>0</v>
      </c>
      <c r="AI151" s="319" t="n">
        <v>485</v>
      </c>
      <c r="AJ151" s="319" t="n">
        <v>-841.5</v>
      </c>
    </row>
    <row r="152" customFormat="false" ht="17.35" hidden="false" customHeight="false" outlineLevel="0" collapsed="false">
      <c r="A152" s="308" t="str">
        <f aca="false">IFERROR(TRIM(VLOOKUP(UPPER(D150),table_lookups,2,FALSE())),IF(ROW()&gt;2,A151,""))</f>
        <v>EXPENSES</v>
      </c>
      <c r="B152" s="309" t="n">
        <v>303</v>
      </c>
      <c r="C152" s="310"/>
      <c r="D152" s="314" t="str">
        <f aca="false">IFERROR(VLOOKUP(B152,'[1]detailed model'!$a$6:$C$92,3,FALSE()),"NOT CODED/ERROR")</f>
        <v>Activities</v>
      </c>
      <c r="E152" s="316"/>
      <c r="F152" s="312" t="e">
        <f aca="false">VLOOKUP(B152,'[1]detailed model'!a134:C212,3,FALSE())</f>
        <v>#NAME?</v>
      </c>
      <c r="G152" s="0" t="s">
        <v>280</v>
      </c>
      <c r="H152" s="315"/>
      <c r="I152" s="315"/>
      <c r="J152" s="315"/>
      <c r="K152" s="315"/>
      <c r="L152" s="315"/>
      <c r="M152" s="315"/>
      <c r="N152" s="315"/>
      <c r="O152" s="315"/>
      <c r="P152" s="315"/>
      <c r="Q152" s="315"/>
      <c r="R152" s="315"/>
      <c r="S152" s="315"/>
      <c r="T152" s="315"/>
      <c r="U152" s="315"/>
      <c r="V152" s="315"/>
      <c r="W152" s="315"/>
      <c r="X152" s="315"/>
      <c r="Y152" s="319" t="n">
        <v>377.58</v>
      </c>
      <c r="Z152" s="319" t="n">
        <v>462.62</v>
      </c>
      <c r="AA152" s="319" t="n">
        <v>377.58</v>
      </c>
      <c r="AB152" s="319" t="n">
        <v>377.58</v>
      </c>
      <c r="AC152" s="319" t="n">
        <v>456.02</v>
      </c>
      <c r="AD152" s="319" t="n">
        <v>419.54</v>
      </c>
      <c r="AE152" s="319" t="n">
        <v>395.31</v>
      </c>
      <c r="AF152" s="319" t="n">
        <v>398.06</v>
      </c>
      <c r="AG152" s="319" t="n">
        <v>405.09</v>
      </c>
      <c r="AH152" s="319" t="n">
        <v>377.58</v>
      </c>
      <c r="AI152" s="319" t="n">
        <v>13.07</v>
      </c>
      <c r="AJ152" s="319" t="n">
        <v>0</v>
      </c>
    </row>
    <row r="153" customFormat="false" ht="17.35" hidden="false" customHeight="false" outlineLevel="0" collapsed="false">
      <c r="A153" s="308" t="str">
        <f aca="false">IFERROR(TRIM(VLOOKUP(UPPER(D151),table_lookups,2,FALSE())),IF(ROW()&gt;2,A152,""))</f>
        <v>EXPENSES</v>
      </c>
      <c r="B153" s="309" t="n">
        <v>303</v>
      </c>
      <c r="C153" s="310"/>
      <c r="D153" s="314" t="str">
        <f aca="false">IFERROR(VLOOKUP(B153,'[1]detailed model'!$a$6:$C$92,3,FALSE()),"NOT CODED/ERROR")</f>
        <v>Activities</v>
      </c>
      <c r="E153" s="316"/>
      <c r="F153" s="312" t="e">
        <f aca="false">VLOOKUP(B153,'[1]detailed model'!a135:C213,3,FALSE())</f>
        <v>#NAME?</v>
      </c>
      <c r="G153" s="0" t="s">
        <v>281</v>
      </c>
      <c r="H153" s="315"/>
      <c r="I153" s="315"/>
      <c r="J153" s="315"/>
      <c r="K153" s="315"/>
      <c r="L153" s="315"/>
      <c r="M153" s="315"/>
      <c r="N153" s="315"/>
      <c r="O153" s="315"/>
      <c r="P153" s="315"/>
      <c r="Q153" s="315"/>
      <c r="R153" s="315"/>
      <c r="S153" s="315"/>
      <c r="T153" s="315"/>
      <c r="U153" s="315"/>
      <c r="V153" s="315"/>
      <c r="W153" s="315"/>
      <c r="X153" s="315"/>
      <c r="Y153" s="319" t="n">
        <v>0</v>
      </c>
      <c r="Z153" s="319" t="n">
        <v>765.01</v>
      </c>
      <c r="AA153" s="319" t="n">
        <v>228.75</v>
      </c>
      <c r="AB153" s="319" t="n">
        <v>61.7</v>
      </c>
      <c r="AC153" s="319" t="n">
        <v>318.97</v>
      </c>
      <c r="AD153" s="319" t="n">
        <v>342.73</v>
      </c>
      <c r="AE153" s="319" t="n">
        <v>312.22</v>
      </c>
      <c r="AF153" s="319" t="n">
        <v>266.11</v>
      </c>
      <c r="AG153" s="319" t="n">
        <v>194.45</v>
      </c>
      <c r="AH153" s="319" t="n">
        <v>153.02</v>
      </c>
      <c r="AI153" s="319" t="n">
        <v>220.9</v>
      </c>
      <c r="AJ153" s="319" t="n">
        <v>147.56</v>
      </c>
    </row>
    <row r="154" customFormat="false" ht="17.35" hidden="false" customHeight="false" outlineLevel="0" collapsed="false">
      <c r="A154" s="308" t="str">
        <f aca="false">IFERROR(TRIM(VLOOKUP(UPPER(D152),table_lookups,2,FALSE())),IF(ROW()&gt;2,A153,""))</f>
        <v>EXPENSES</v>
      </c>
      <c r="B154" s="309" t="n">
        <v>303</v>
      </c>
      <c r="C154" s="310"/>
      <c r="D154" s="314" t="str">
        <f aca="false">IFERROR(VLOOKUP(B154,'[1]detailed model'!$a$6:$C$92,3,FALSE()),"NOT CODED/ERROR")</f>
        <v>Activities</v>
      </c>
      <c r="E154" s="316"/>
      <c r="F154" s="312" t="e">
        <f aca="false">VLOOKUP(B154,'[1]detailed model'!a136:C214,3,FALSE())</f>
        <v>#NAME?</v>
      </c>
      <c r="G154" s="0" t="s">
        <v>282</v>
      </c>
      <c r="H154" s="315"/>
      <c r="I154" s="315"/>
      <c r="J154" s="315"/>
      <c r="K154" s="315"/>
      <c r="L154" s="315"/>
      <c r="M154" s="315"/>
      <c r="N154" s="315"/>
      <c r="O154" s="315"/>
      <c r="P154" s="315"/>
      <c r="Q154" s="315"/>
      <c r="R154" s="315"/>
      <c r="S154" s="315"/>
      <c r="T154" s="315"/>
      <c r="U154" s="315"/>
      <c r="V154" s="315"/>
      <c r="W154" s="315"/>
      <c r="X154" s="315"/>
      <c r="Y154" s="319" t="n">
        <v>760</v>
      </c>
      <c r="Z154" s="319" t="n">
        <v>615</v>
      </c>
      <c r="AA154" s="319" t="n">
        <v>655</v>
      </c>
      <c r="AB154" s="319" t="n">
        <v>530</v>
      </c>
      <c r="AC154" s="319" t="n">
        <v>915</v>
      </c>
      <c r="AD154" s="319" t="n">
        <v>385</v>
      </c>
      <c r="AE154" s="319" t="n">
        <v>300</v>
      </c>
      <c r="AF154" s="319" t="n">
        <v>595</v>
      </c>
      <c r="AG154" s="319" t="n">
        <v>495</v>
      </c>
      <c r="AH154" s="319" t="n">
        <v>325</v>
      </c>
      <c r="AI154" s="319" t="n">
        <v>300</v>
      </c>
      <c r="AJ154" s="319" t="n">
        <v>570</v>
      </c>
    </row>
    <row r="155" customFormat="false" ht="17.35" hidden="false" customHeight="false" outlineLevel="0" collapsed="false">
      <c r="A155" s="308" t="str">
        <f aca="false">IFERROR(TRIM(VLOOKUP(UPPER(D153),table_lookups,2,FALSE())),IF(ROW()&gt;2,A154,""))</f>
        <v>EXPENSES</v>
      </c>
      <c r="B155" s="309" t="n">
        <v>303</v>
      </c>
      <c r="C155" s="310"/>
      <c r="D155" s="314" t="str">
        <f aca="false">IFERROR(VLOOKUP(B155,'[1]detailed model'!$a$6:$C$92,3,FALSE()),"NOT CODED/ERROR")</f>
        <v>Activities</v>
      </c>
      <c r="E155" s="316"/>
      <c r="F155" s="312" t="e">
        <f aca="false">VLOOKUP(B155,'[1]detailed model'!a137:C215,3,FALSE())</f>
        <v>#NAME?</v>
      </c>
      <c r="G155" s="0" t="s">
        <v>283</v>
      </c>
      <c r="H155" s="315"/>
      <c r="I155" s="315"/>
      <c r="J155" s="315"/>
      <c r="K155" s="315"/>
      <c r="L155" s="315"/>
      <c r="M155" s="315"/>
      <c r="N155" s="315"/>
      <c r="O155" s="315"/>
      <c r="P155" s="315"/>
      <c r="Q155" s="315"/>
      <c r="R155" s="315"/>
      <c r="S155" s="315"/>
      <c r="T155" s="315"/>
      <c r="U155" s="315"/>
      <c r="V155" s="315"/>
      <c r="W155" s="315"/>
      <c r="X155" s="315"/>
      <c r="Y155" s="319" t="n">
        <v>0</v>
      </c>
      <c r="Z155" s="319" t="n">
        <v>211.65</v>
      </c>
      <c r="AA155" s="319" t="n">
        <v>100.48</v>
      </c>
      <c r="AB155" s="319" t="n">
        <v>144.76</v>
      </c>
      <c r="AC155" s="319" t="n">
        <v>186.64</v>
      </c>
      <c r="AD155" s="319" t="n">
        <v>400.34</v>
      </c>
      <c r="AE155" s="319" t="n">
        <v>159.88</v>
      </c>
      <c r="AF155" s="319" t="n">
        <v>333.47</v>
      </c>
      <c r="AG155" s="319" t="n">
        <v>306.23</v>
      </c>
      <c r="AH155" s="319" t="n">
        <v>375.62</v>
      </c>
      <c r="AI155" s="319" t="n">
        <v>321.28</v>
      </c>
      <c r="AJ155" s="319" t="n">
        <v>297.44</v>
      </c>
    </row>
    <row r="156" customFormat="false" ht="17.35" hidden="false" customHeight="false" outlineLevel="0" collapsed="false">
      <c r="A156" s="308" t="str">
        <f aca="false">IFERROR(TRIM(VLOOKUP(UPPER(D154),table_lookups,2,FALSE())),IF(ROW()&gt;2,A155,""))</f>
        <v>EXPENSES</v>
      </c>
      <c r="B156" s="309" t="n">
        <v>303</v>
      </c>
      <c r="C156" s="310"/>
      <c r="D156" s="314" t="str">
        <f aca="false">IFERROR(VLOOKUP(B156,'[1]detailed model'!$a$6:$C$92,3,FALSE()),"NOT CODED/ERROR")</f>
        <v>Activities</v>
      </c>
      <c r="E156" s="316"/>
      <c r="F156" s="312" t="e">
        <f aca="false">VLOOKUP(B156,'[1]detailed model'!a138:C216,3,FALSE())</f>
        <v>#NAME?</v>
      </c>
      <c r="G156" s="0" t="s">
        <v>284</v>
      </c>
      <c r="H156" s="315"/>
      <c r="I156" s="315"/>
      <c r="J156" s="315"/>
      <c r="K156" s="315"/>
      <c r="L156" s="315"/>
      <c r="M156" s="315"/>
      <c r="N156" s="315"/>
      <c r="O156" s="315"/>
      <c r="P156" s="315"/>
      <c r="Q156" s="315"/>
      <c r="R156" s="315"/>
      <c r="S156" s="315"/>
      <c r="T156" s="315"/>
      <c r="U156" s="315"/>
      <c r="V156" s="315"/>
      <c r="W156" s="315"/>
      <c r="X156" s="315"/>
      <c r="Y156" s="319" t="n">
        <v>0</v>
      </c>
      <c r="Z156" s="319" t="n">
        <v>77.13</v>
      </c>
      <c r="AA156" s="319" t="n">
        <v>16.04</v>
      </c>
      <c r="AB156" s="319" t="n">
        <v>0</v>
      </c>
      <c r="AC156" s="319" t="n">
        <v>256.6</v>
      </c>
      <c r="AD156" s="319" t="n">
        <v>237.44</v>
      </c>
      <c r="AE156" s="319" t="n">
        <v>464.42</v>
      </c>
      <c r="AF156" s="319" t="n">
        <v>147.04</v>
      </c>
      <c r="AG156" s="319" t="n">
        <v>180.44</v>
      </c>
      <c r="AH156" s="319" t="n">
        <v>32.8</v>
      </c>
      <c r="AI156" s="319" t="n">
        <v>162.97</v>
      </c>
      <c r="AJ156" s="319" t="n">
        <v>242.06</v>
      </c>
    </row>
    <row r="157" customFormat="false" ht="17.35" hidden="false" customHeight="false" outlineLevel="0" collapsed="false">
      <c r="A157" s="308" t="str">
        <f aca="false">IFERROR(TRIM(VLOOKUP(UPPER(D155),table_lookups,2,FALSE())),IF(ROW()&gt;2,A156,""))</f>
        <v>EXPENSES</v>
      </c>
      <c r="B157" s="309" t="n">
        <v>303</v>
      </c>
      <c r="C157" s="310"/>
      <c r="D157" s="314" t="str">
        <f aca="false">IFERROR(VLOOKUP(B157,'[1]detailed model'!$a$6:$C$92,3,FALSE()),"NOT CODED/ERROR")</f>
        <v>Activities</v>
      </c>
      <c r="E157" s="316"/>
      <c r="F157" s="312" t="e">
        <f aca="false">VLOOKUP(B157,'[1]detailed model'!a139:C217,3,FALSE())</f>
        <v>#NAME?</v>
      </c>
      <c r="G157" s="0" t="s">
        <v>285</v>
      </c>
      <c r="H157" s="315"/>
      <c r="I157" s="315"/>
      <c r="J157" s="315"/>
      <c r="K157" s="315"/>
      <c r="L157" s="315"/>
      <c r="M157" s="315"/>
      <c r="N157" s="315"/>
      <c r="O157" s="315"/>
      <c r="P157" s="315"/>
      <c r="Q157" s="315"/>
      <c r="R157" s="315"/>
      <c r="S157" s="315"/>
      <c r="T157" s="315"/>
      <c r="U157" s="315"/>
      <c r="V157" s="315"/>
      <c r="W157" s="315"/>
      <c r="X157" s="315"/>
      <c r="Y157" s="319" t="n">
        <v>270</v>
      </c>
      <c r="Z157" s="319" t="n">
        <v>220</v>
      </c>
      <c r="AA157" s="319" t="n">
        <v>375</v>
      </c>
      <c r="AB157" s="319" t="n">
        <v>325</v>
      </c>
      <c r="AC157" s="319" t="n">
        <v>275</v>
      </c>
      <c r="AD157" s="319" t="n">
        <v>375</v>
      </c>
      <c r="AE157" s="319" t="n">
        <v>300</v>
      </c>
      <c r="AF157" s="319" t="n">
        <v>275</v>
      </c>
      <c r="AG157" s="319" t="n">
        <v>150</v>
      </c>
      <c r="AH157" s="319" t="n">
        <v>350</v>
      </c>
      <c r="AI157" s="319" t="n">
        <v>25</v>
      </c>
      <c r="AJ157" s="319" t="n">
        <v>50</v>
      </c>
    </row>
    <row r="158" customFormat="false" ht="17.35" hidden="false" customHeight="false" outlineLevel="0" collapsed="false">
      <c r="A158" s="317" t="str">
        <f aca="false">IFERROR(TRIM(VLOOKUP(UPPER(D156),table_lookups,2,FALSE())),IF(ROW()&gt;2,A157,""))</f>
        <v>EXPENSES</v>
      </c>
      <c r="B158" s="309" t="n">
        <v>303</v>
      </c>
      <c r="C158" s="318"/>
      <c r="D158" s="314" t="str">
        <f aca="false">IFERROR(VLOOKUP(B158,'[1]detailed model'!$a$6:$C$92,3,FALSE()),"NOT CODED/ERROR")</f>
        <v>Activities</v>
      </c>
      <c r="E158" s="316"/>
      <c r="F158" s="312" t="e">
        <f aca="false">VLOOKUP(B158,'[1]detailed model'!a140:C218,3,FALSE())</f>
        <v>#NAME?</v>
      </c>
      <c r="G158" s="0" t="s">
        <v>286</v>
      </c>
      <c r="H158" s="315"/>
      <c r="I158" s="315"/>
      <c r="J158" s="315"/>
      <c r="K158" s="315"/>
      <c r="L158" s="315"/>
      <c r="M158" s="315"/>
      <c r="N158" s="315"/>
      <c r="O158" s="315"/>
      <c r="P158" s="315"/>
      <c r="Q158" s="315"/>
      <c r="R158" s="315"/>
      <c r="S158" s="315"/>
      <c r="T158" s="315"/>
      <c r="U158" s="315"/>
      <c r="V158" s="315"/>
      <c r="W158" s="315"/>
      <c r="X158" s="315"/>
      <c r="Y158" s="319" t="n">
        <v>0</v>
      </c>
      <c r="Z158" s="319" t="n">
        <v>273.55</v>
      </c>
      <c r="AA158" s="319" t="n">
        <v>27.37</v>
      </c>
      <c r="AB158" s="319" t="n">
        <v>59.19</v>
      </c>
      <c r="AC158" s="319" t="n">
        <v>225.64</v>
      </c>
      <c r="AD158" s="319" t="n">
        <v>83.81</v>
      </c>
      <c r="AE158" s="319" t="n">
        <v>49.75</v>
      </c>
      <c r="AF158" s="319" t="n">
        <v>152.7</v>
      </c>
      <c r="AG158" s="319" t="n">
        <v>173.19</v>
      </c>
      <c r="AH158" s="319" t="n">
        <v>17.51</v>
      </c>
      <c r="AI158" s="319" t="n">
        <v>115.02</v>
      </c>
      <c r="AJ158" s="319" t="n">
        <v>179.45</v>
      </c>
    </row>
    <row r="159" customFormat="false" ht="17.35" hidden="false" customHeight="false" outlineLevel="0" collapsed="false">
      <c r="A159" s="308" t="str">
        <f aca="false">IFERROR(TRIM(VLOOKUP(UPPER(D157),table_lookups,2,FALSE())),IF(ROW()&gt;2,A158,""))</f>
        <v>EXPENSES</v>
      </c>
      <c r="B159" s="309"/>
      <c r="C159" s="310"/>
      <c r="D159" s="314" t="str">
        <f aca="false">IFERROR(VLOOKUP(B159,'[1]detailed model'!$a$6:$C$92,3,FALSE()),"NOT CODED/ERROR")</f>
        <v>NOT CODED/ERROR</v>
      </c>
      <c r="E159" s="316"/>
      <c r="F159" s="312" t="e">
        <f aca="false">VLOOKUP(B159,'[1]detailed model'!a141:C219,3,FALSE())</f>
        <v>#NAME?</v>
      </c>
      <c r="G159" s="0" t="s">
        <v>287</v>
      </c>
      <c r="H159" s="315"/>
      <c r="I159" s="315"/>
      <c r="J159" s="315"/>
      <c r="K159" s="315"/>
      <c r="L159" s="315"/>
      <c r="M159" s="315"/>
      <c r="N159" s="315"/>
      <c r="O159" s="315"/>
      <c r="P159" s="315"/>
      <c r="Q159" s="315"/>
      <c r="R159" s="315"/>
      <c r="S159" s="315"/>
      <c r="T159" s="315"/>
      <c r="U159" s="315"/>
      <c r="V159" s="315"/>
      <c r="W159" s="315"/>
      <c r="X159" s="315"/>
      <c r="Y159" s="319" t="n">
        <v>19735.11</v>
      </c>
      <c r="Z159" s="319" t="n">
        <v>22055.55</v>
      </c>
      <c r="AA159" s="319" t="n">
        <v>21356.89</v>
      </c>
      <c r="AB159" s="319" t="n">
        <v>14717.51</v>
      </c>
      <c r="AC159" s="319" t="n">
        <v>20357.34</v>
      </c>
      <c r="AD159" s="319" t="n">
        <v>26893.98</v>
      </c>
      <c r="AE159" s="319" t="n">
        <v>20873.71</v>
      </c>
      <c r="AF159" s="319" t="n">
        <v>24218.36</v>
      </c>
      <c r="AG159" s="319" t="n">
        <v>24101.53</v>
      </c>
      <c r="AH159" s="319" t="n">
        <v>20036.78</v>
      </c>
      <c r="AI159" s="319" t="n">
        <v>22323.68</v>
      </c>
      <c r="AJ159" s="319" t="n">
        <v>23473.14</v>
      </c>
    </row>
    <row r="160" customFormat="false" ht="17.35" hidden="false" customHeight="false" outlineLevel="0" collapsed="false">
      <c r="A160" s="308" t="str">
        <f aca="false">IFERROR(TRIM(VLOOKUP(UPPER(D158),table_lookups,2,FALSE())),IF(ROW()&gt;2,A159,""))</f>
        <v>EXPENSES</v>
      </c>
      <c r="B160" s="309"/>
      <c r="C160" s="310"/>
      <c r="D160" s="314" t="str">
        <f aca="false">IFERROR(VLOOKUP(B160,'[1]detailed model'!$a$6:$C$92,3,FALSE()),"NOT CODED/ERROR")</f>
        <v>NOT CODED/ERROR</v>
      </c>
      <c r="E160" s="316"/>
      <c r="F160" s="312" t="e">
        <f aca="false">VLOOKUP(B160,'[1]detailed model'!a142:C220,3,FALSE())</f>
        <v>#NAME?</v>
      </c>
      <c r="G160" s="0" t="s">
        <v>171</v>
      </c>
    </row>
    <row r="161" customFormat="false" ht="17.35" hidden="false" customHeight="false" outlineLevel="0" collapsed="false">
      <c r="A161" s="308" t="s">
        <v>200</v>
      </c>
      <c r="B161" s="309"/>
      <c r="C161" s="310"/>
      <c r="D161" s="314" t="str">
        <f aca="false">IFERROR(VLOOKUP(B161,'[1]detailed model'!$a$6:$C$92,3,FALSE()),"NOT CODED/ERROR")</f>
        <v>NOT CODED/ERROR</v>
      </c>
      <c r="E161" s="316"/>
      <c r="F161" s="312" t="e">
        <f aca="false">VLOOKUP(B161,'[1]detailed model'!a143:C221,3,FALSE())</f>
        <v>#NAME?</v>
      </c>
      <c r="G161" s="0" t="s">
        <v>288</v>
      </c>
      <c r="H161" s="315"/>
      <c r="I161" s="315"/>
      <c r="J161" s="315"/>
      <c r="K161" s="315"/>
      <c r="L161" s="315"/>
      <c r="M161" s="315"/>
      <c r="N161" s="315"/>
      <c r="O161" s="315"/>
      <c r="P161" s="315"/>
      <c r="Q161" s="315"/>
      <c r="R161" s="315"/>
      <c r="S161" s="315"/>
      <c r="T161" s="315"/>
      <c r="U161" s="315"/>
      <c r="V161" s="315"/>
      <c r="W161" s="315"/>
      <c r="X161" s="315"/>
      <c r="Y161" s="0" t="s">
        <v>176</v>
      </c>
      <c r="Z161" s="0" t="s">
        <v>176</v>
      </c>
      <c r="AA161" s="0" t="s">
        <v>176</v>
      </c>
      <c r="AB161" s="0" t="s">
        <v>176</v>
      </c>
      <c r="AC161" s="0" t="s">
        <v>176</v>
      </c>
      <c r="AD161" s="0" t="s">
        <v>176</v>
      </c>
      <c r="AE161" s="0" t="s">
        <v>176</v>
      </c>
      <c r="AF161" s="0" t="s">
        <v>176</v>
      </c>
      <c r="AG161" s="0" t="s">
        <v>176</v>
      </c>
      <c r="AH161" s="0" t="s">
        <v>176</v>
      </c>
      <c r="AI161" s="0" t="s">
        <v>176</v>
      </c>
      <c r="AJ161" s="0" t="s">
        <v>176</v>
      </c>
    </row>
    <row r="162" customFormat="false" ht="17.35" hidden="false" customHeight="false" outlineLevel="0" collapsed="false">
      <c r="A162" s="308" t="s">
        <v>200</v>
      </c>
      <c r="B162" s="309" t="n">
        <v>313</v>
      </c>
      <c r="C162" s="310"/>
      <c r="D162" s="314" t="str">
        <f aca="false">IFERROR(VLOOKUP(B162,'[1]detailed model'!$a$6:$C$92,3,FALSE()),"NOT CODED/ERROR")</f>
        <v>Property, Plant, &amp; Maintenance</v>
      </c>
      <c r="E162" s="316"/>
      <c r="F162" s="312" t="e">
        <f aca="false">VLOOKUP(B162,'[1]detailed model'!a144:C222,3,FALSE())</f>
        <v>#NAME?</v>
      </c>
      <c r="G162" s="0" t="s">
        <v>289</v>
      </c>
      <c r="H162" s="315"/>
      <c r="I162" s="315"/>
      <c r="J162" s="315"/>
      <c r="K162" s="315"/>
      <c r="L162" s="315"/>
      <c r="M162" s="315"/>
      <c r="N162" s="315"/>
      <c r="O162" s="315"/>
      <c r="P162" s="315"/>
      <c r="Q162" s="315"/>
      <c r="R162" s="315"/>
      <c r="S162" s="315"/>
      <c r="T162" s="315"/>
      <c r="U162" s="315"/>
      <c r="V162" s="315"/>
      <c r="W162" s="315"/>
      <c r="X162" s="315"/>
      <c r="Y162" s="319" t="n">
        <v>6441.64</v>
      </c>
      <c r="Z162" s="319" t="n">
        <v>972</v>
      </c>
      <c r="AA162" s="319" t="n">
        <v>6037.67</v>
      </c>
      <c r="AB162" s="319" t="n">
        <v>5529.54</v>
      </c>
      <c r="AC162" s="319" t="n">
        <v>6486.92</v>
      </c>
      <c r="AD162" s="319" t="n">
        <v>6168.13</v>
      </c>
      <c r="AE162" s="319" t="n">
        <v>6030.03</v>
      </c>
      <c r="AF162" s="319" t="n">
        <v>6705.96</v>
      </c>
      <c r="AG162" s="319" t="n">
        <v>5842.24</v>
      </c>
      <c r="AH162" s="319" t="n">
        <v>5808.51</v>
      </c>
      <c r="AI162" s="319" t="n">
        <v>6178.78</v>
      </c>
      <c r="AJ162" s="319" t="n">
        <v>6103.52</v>
      </c>
    </row>
    <row r="163" customFormat="false" ht="17.35" hidden="false" customHeight="false" outlineLevel="0" collapsed="false">
      <c r="A163" s="308" t="s">
        <v>200</v>
      </c>
      <c r="B163" s="309" t="n">
        <v>313</v>
      </c>
      <c r="C163" s="310"/>
      <c r="D163" s="314" t="str">
        <f aca="false">IFERROR(VLOOKUP(B163,'[1]detailed model'!$a$6:$C$92,3,FALSE()),"NOT CODED/ERROR")</f>
        <v>Property, Plant, &amp; Maintenance</v>
      </c>
      <c r="E163" s="311"/>
      <c r="F163" s="312" t="e">
        <f aca="false">VLOOKUP(B163,'[1]detailed model'!a145:C223,3,FALSE())</f>
        <v>#NAME?</v>
      </c>
      <c r="G163" s="0" t="s">
        <v>290</v>
      </c>
      <c r="H163" s="315"/>
      <c r="I163" s="315"/>
      <c r="J163" s="315"/>
      <c r="K163" s="315"/>
      <c r="L163" s="315"/>
      <c r="M163" s="315"/>
      <c r="N163" s="315"/>
      <c r="O163" s="315"/>
      <c r="P163" s="315"/>
      <c r="Q163" s="315"/>
      <c r="R163" s="315"/>
      <c r="S163" s="315"/>
      <c r="T163" s="315"/>
      <c r="U163" s="315"/>
      <c r="V163" s="315"/>
      <c r="W163" s="315"/>
      <c r="X163" s="315"/>
      <c r="Y163" s="319" t="n">
        <v>1209.43</v>
      </c>
      <c r="Z163" s="319" t="n">
        <v>430.03</v>
      </c>
      <c r="AA163" s="319" t="n">
        <v>1307.86</v>
      </c>
      <c r="AB163" s="319" t="n">
        <v>1128.54</v>
      </c>
      <c r="AC163" s="319" t="n">
        <v>1308.09</v>
      </c>
      <c r="AD163" s="319" t="n">
        <v>1374.8</v>
      </c>
      <c r="AE163" s="319" t="n">
        <v>1420.87</v>
      </c>
      <c r="AF163" s="319" t="n">
        <v>1475.65</v>
      </c>
      <c r="AG163" s="319" t="n">
        <v>1180.67</v>
      </c>
      <c r="AH163" s="319" t="n">
        <v>1285.57</v>
      </c>
      <c r="AI163" s="319" t="n">
        <v>1324.48</v>
      </c>
      <c r="AJ163" s="319" t="n">
        <v>1344.06</v>
      </c>
    </row>
    <row r="164" customFormat="false" ht="17.35" hidden="false" customHeight="false" outlineLevel="0" collapsed="false">
      <c r="A164" s="308" t="s">
        <v>200</v>
      </c>
      <c r="B164" s="309" t="n">
        <v>313</v>
      </c>
      <c r="C164" s="310"/>
      <c r="D164" s="314" t="str">
        <f aca="false">IFERROR(VLOOKUP(B164,'[1]detailed model'!$a$6:$C$92,3,FALSE()),"NOT CODED/ERROR")</f>
        <v>Property, Plant, &amp; Maintenance</v>
      </c>
      <c r="E164" s="311"/>
      <c r="F164" s="312" t="e">
        <f aca="false">VLOOKUP(B164,'[1]detailed model'!a146:C224,3,FALSE())</f>
        <v>#NAME?</v>
      </c>
      <c r="G164" s="0" t="s">
        <v>291</v>
      </c>
      <c r="H164" s="315"/>
      <c r="I164" s="315"/>
      <c r="J164" s="315"/>
      <c r="K164" s="315"/>
      <c r="L164" s="315"/>
      <c r="M164" s="315"/>
      <c r="N164" s="315"/>
      <c r="O164" s="315"/>
      <c r="P164" s="315"/>
      <c r="Q164" s="315"/>
      <c r="R164" s="315"/>
      <c r="S164" s="315"/>
      <c r="T164" s="315"/>
      <c r="U164" s="315"/>
      <c r="V164" s="315"/>
      <c r="W164" s="315"/>
      <c r="X164" s="315"/>
      <c r="Y164" s="319" t="n">
        <v>143.86</v>
      </c>
      <c r="Z164" s="319" t="n">
        <v>324.3</v>
      </c>
      <c r="AA164" s="319" t="n">
        <v>241.33</v>
      </c>
      <c r="AB164" s="319" t="n">
        <v>521.16</v>
      </c>
      <c r="AC164" s="319" t="n">
        <v>278.6</v>
      </c>
      <c r="AD164" s="319" t="n">
        <v>562.14</v>
      </c>
      <c r="AE164" s="319" t="n">
        <v>552.54</v>
      </c>
      <c r="AF164" s="319" t="n">
        <v>574.12</v>
      </c>
      <c r="AG164" s="319" t="n">
        <v>261.39</v>
      </c>
      <c r="AH164" s="319" t="n">
        <v>269.74</v>
      </c>
      <c r="AI164" s="319" t="n">
        <v>279.85</v>
      </c>
      <c r="AJ164" s="319" t="n">
        <v>560.41</v>
      </c>
    </row>
    <row r="165" customFormat="false" ht="17.35" hidden="false" customHeight="false" outlineLevel="0" collapsed="false">
      <c r="A165" s="308" t="s">
        <v>200</v>
      </c>
      <c r="B165" s="309" t="n">
        <v>313</v>
      </c>
      <c r="C165" s="310"/>
      <c r="D165" s="314" t="str">
        <f aca="false">IFERROR(VLOOKUP(B165,'[1]detailed model'!$a$6:$C$92,3,FALSE()),"NOT CODED/ERROR")</f>
        <v>Property, Plant, &amp; Maintenance</v>
      </c>
      <c r="E165" s="311"/>
      <c r="F165" s="312" t="e">
        <f aca="false">VLOOKUP(B165,'[1]detailed model'!a147:C225,3,FALSE())</f>
        <v>#NAME?</v>
      </c>
      <c r="G165" s="0" t="s">
        <v>292</v>
      </c>
      <c r="H165" s="315"/>
      <c r="I165" s="315"/>
      <c r="J165" s="315"/>
      <c r="K165" s="315"/>
      <c r="L165" s="315"/>
      <c r="M165" s="315"/>
      <c r="N165" s="315"/>
      <c r="O165" s="315"/>
      <c r="P165" s="315"/>
      <c r="Q165" s="315"/>
      <c r="R165" s="315"/>
      <c r="S165" s="315"/>
      <c r="T165" s="315"/>
      <c r="U165" s="315"/>
      <c r="V165" s="315"/>
      <c r="W165" s="315"/>
      <c r="X165" s="315"/>
      <c r="Y165" s="319" t="n">
        <v>213.3</v>
      </c>
      <c r="Z165" s="319" t="n">
        <v>11.88</v>
      </c>
      <c r="AA165" s="319" t="n">
        <v>250.41</v>
      </c>
      <c r="AB165" s="319" t="n">
        <v>328.02</v>
      </c>
      <c r="AC165" s="319" t="n">
        <v>841.35</v>
      </c>
      <c r="AD165" s="319" t="n">
        <v>1249.78</v>
      </c>
      <c r="AE165" s="319" t="n">
        <v>1063.4</v>
      </c>
      <c r="AF165" s="319" t="n">
        <v>761.48</v>
      </c>
      <c r="AG165" s="319" t="n">
        <v>772.12</v>
      </c>
      <c r="AH165" s="319" t="n">
        <v>1039.97</v>
      </c>
      <c r="AI165" s="319" t="n">
        <v>1241.26</v>
      </c>
      <c r="AJ165" s="319" t="n">
        <v>1076.19</v>
      </c>
    </row>
    <row r="166" customFormat="false" ht="17.35" hidden="false" customHeight="false" outlineLevel="0" collapsed="false">
      <c r="A166" s="308" t="s">
        <v>200</v>
      </c>
      <c r="B166" s="309" t="n">
        <v>313</v>
      </c>
      <c r="C166" s="310"/>
      <c r="D166" s="314" t="str">
        <f aca="false">IFERROR(VLOOKUP(B166,'[1]detailed model'!$a$6:$C$92,3,FALSE()),"NOT CODED/ERROR")</f>
        <v>Property, Plant, &amp; Maintenance</v>
      </c>
      <c r="E166" s="311"/>
      <c r="F166" s="312" t="e">
        <f aca="false">VLOOKUP(B166,'[1]detailed model'!a148:C226,3,FALSE())</f>
        <v>#NAME?</v>
      </c>
      <c r="G166" s="0" t="s">
        <v>293</v>
      </c>
      <c r="H166" s="315"/>
      <c r="I166" s="315"/>
      <c r="J166" s="315"/>
      <c r="K166" s="315"/>
      <c r="L166" s="315"/>
      <c r="M166" s="315"/>
      <c r="N166" s="315"/>
      <c r="O166" s="315"/>
      <c r="P166" s="315"/>
      <c r="Q166" s="315"/>
      <c r="R166" s="315"/>
      <c r="S166" s="315"/>
      <c r="T166" s="315"/>
      <c r="U166" s="315"/>
      <c r="V166" s="315"/>
      <c r="W166" s="315"/>
      <c r="X166" s="315"/>
      <c r="Y166" s="319" t="n">
        <v>0</v>
      </c>
      <c r="Z166" s="319" t="n">
        <v>0</v>
      </c>
      <c r="AA166" s="319" t="n">
        <v>0</v>
      </c>
      <c r="AB166" s="319" t="n">
        <v>0</v>
      </c>
      <c r="AC166" s="319" t="n">
        <v>0</v>
      </c>
      <c r="AD166" s="319" t="n">
        <v>0</v>
      </c>
      <c r="AE166" s="319" t="n">
        <v>0</v>
      </c>
      <c r="AF166" s="319" t="n">
        <v>0</v>
      </c>
      <c r="AG166" s="319" t="n">
        <v>0</v>
      </c>
      <c r="AH166" s="319" t="n">
        <v>176.08</v>
      </c>
      <c r="AI166" s="319" t="n">
        <v>0</v>
      </c>
      <c r="AJ166" s="319" t="n">
        <v>66.03</v>
      </c>
    </row>
    <row r="167" customFormat="false" ht="17.35" hidden="false" customHeight="false" outlineLevel="0" collapsed="false">
      <c r="A167" s="308" t="s">
        <v>200</v>
      </c>
      <c r="B167" s="309" t="n">
        <v>313</v>
      </c>
      <c r="C167" s="310"/>
      <c r="D167" s="314" t="str">
        <f aca="false">IFERROR(VLOOKUP(B167,'[1]detailed model'!$a$6:$C$92,3,FALSE()),"NOT CODED/ERROR")</f>
        <v>Property, Plant, &amp; Maintenance</v>
      </c>
      <c r="E167" s="311"/>
      <c r="F167" s="312" t="e">
        <f aca="false">VLOOKUP(B167,'[1]detailed model'!a149:C227,3,FALSE())</f>
        <v>#NAME?</v>
      </c>
      <c r="G167" s="0" t="s">
        <v>294</v>
      </c>
      <c r="H167" s="315"/>
      <c r="I167" s="315"/>
      <c r="J167" s="315"/>
      <c r="K167" s="315"/>
      <c r="L167" s="315"/>
      <c r="M167" s="315"/>
      <c r="N167" s="315"/>
      <c r="O167" s="315"/>
      <c r="P167" s="315"/>
      <c r="Q167" s="315"/>
      <c r="R167" s="315"/>
      <c r="S167" s="315"/>
      <c r="T167" s="315"/>
      <c r="U167" s="315"/>
      <c r="V167" s="315"/>
      <c r="W167" s="315"/>
      <c r="X167" s="315"/>
      <c r="Y167" s="319" t="n">
        <v>12308.07</v>
      </c>
      <c r="Z167" s="319" t="n">
        <v>2932.83</v>
      </c>
      <c r="AA167" s="319" t="n">
        <v>1028</v>
      </c>
      <c r="AB167" s="319" t="n">
        <v>1347.83</v>
      </c>
      <c r="AC167" s="319" t="n">
        <v>2930.66</v>
      </c>
      <c r="AD167" s="319" t="n">
        <v>5086.36</v>
      </c>
      <c r="AE167" s="319" t="n">
        <v>3362.78</v>
      </c>
      <c r="AF167" s="319" t="n">
        <v>5491.22</v>
      </c>
      <c r="AG167" s="319" t="n">
        <v>2856.69</v>
      </c>
      <c r="AH167" s="319" t="n">
        <v>2678.21</v>
      </c>
      <c r="AI167" s="319" t="n">
        <v>1305.13</v>
      </c>
      <c r="AJ167" s="319" t="n">
        <v>6215.13</v>
      </c>
    </row>
    <row r="168" customFormat="false" ht="17.35" hidden="false" customHeight="false" outlineLevel="0" collapsed="false">
      <c r="A168" s="308" t="s">
        <v>200</v>
      </c>
      <c r="B168" s="309" t="n">
        <v>313</v>
      </c>
      <c r="C168" s="310"/>
      <c r="D168" s="314" t="str">
        <f aca="false">IFERROR(VLOOKUP(B168,'[1]detailed model'!$a$6:$C$92,3,FALSE()),"NOT CODED/ERROR")</f>
        <v>Property, Plant, &amp; Maintenance</v>
      </c>
      <c r="E168" s="311"/>
      <c r="F168" s="312" t="e">
        <f aca="false">VLOOKUP(B168,'[1]detailed model'!a150:C228,3,FALSE())</f>
        <v>#NAME?</v>
      </c>
      <c r="G168" s="0" t="s">
        <v>295</v>
      </c>
      <c r="H168" s="315"/>
      <c r="I168" s="315"/>
      <c r="J168" s="315"/>
      <c r="K168" s="315"/>
      <c r="L168" s="315"/>
      <c r="M168" s="315"/>
      <c r="N168" s="315"/>
      <c r="O168" s="315"/>
      <c r="P168" s="315"/>
      <c r="Q168" s="315"/>
      <c r="R168" s="315"/>
      <c r="S168" s="315"/>
      <c r="T168" s="315"/>
      <c r="U168" s="315"/>
      <c r="V168" s="315"/>
      <c r="W168" s="315"/>
      <c r="X168" s="315"/>
      <c r="Y168" s="319" t="n">
        <v>5627.59</v>
      </c>
      <c r="Z168" s="319" t="n">
        <v>1963.59</v>
      </c>
      <c r="AA168" s="319" t="n">
        <v>899.57</v>
      </c>
      <c r="AB168" s="319" t="n">
        <v>5091.2</v>
      </c>
      <c r="AC168" s="319" t="n">
        <v>0</v>
      </c>
      <c r="AD168" s="319" t="n">
        <v>4568.78</v>
      </c>
      <c r="AE168" s="319" t="n">
        <v>849.65</v>
      </c>
      <c r="AF168" s="319" t="n">
        <v>-1305.4</v>
      </c>
      <c r="AG168" s="319" t="n">
        <v>748.21</v>
      </c>
      <c r="AH168" s="319" t="n">
        <v>273.86</v>
      </c>
      <c r="AI168" s="319" t="n">
        <v>13722.11</v>
      </c>
      <c r="AJ168" s="319" t="n">
        <v>2156.83</v>
      </c>
    </row>
    <row r="169" customFormat="false" ht="17.35" hidden="false" customHeight="false" outlineLevel="0" collapsed="false">
      <c r="A169" s="308" t="s">
        <v>200</v>
      </c>
      <c r="B169" s="309" t="n">
        <v>313</v>
      </c>
      <c r="C169" s="310"/>
      <c r="D169" s="314" t="str">
        <f aca="false">IFERROR(VLOOKUP(B169,'[1]detailed model'!$a$6:$C$92,3,FALSE()),"NOT CODED/ERROR")</f>
        <v>Property, Plant, &amp; Maintenance</v>
      </c>
      <c r="E169" s="311"/>
      <c r="F169" s="312" t="e">
        <f aca="false">VLOOKUP(B169,'[1]detailed model'!a151:C229,3,FALSE())</f>
        <v>#NAME?</v>
      </c>
      <c r="G169" s="0" t="s">
        <v>296</v>
      </c>
      <c r="H169" s="315"/>
      <c r="I169" s="315"/>
      <c r="J169" s="315"/>
      <c r="K169" s="315"/>
      <c r="L169" s="315"/>
      <c r="M169" s="315"/>
      <c r="N169" s="315"/>
      <c r="O169" s="315"/>
      <c r="P169" s="315"/>
      <c r="Q169" s="315"/>
      <c r="R169" s="315"/>
      <c r="S169" s="315"/>
      <c r="T169" s="315"/>
      <c r="U169" s="315"/>
      <c r="V169" s="315"/>
      <c r="W169" s="315"/>
      <c r="X169" s="315"/>
      <c r="Y169" s="319" t="n">
        <v>253.66</v>
      </c>
      <c r="Z169" s="319" t="n">
        <v>209.01</v>
      </c>
      <c r="AA169" s="319" t="n">
        <v>206.92</v>
      </c>
      <c r="AB169" s="319" t="n">
        <v>313.96</v>
      </c>
      <c r="AC169" s="319" t="n">
        <v>617.28</v>
      </c>
      <c r="AD169" s="319" t="n">
        <v>391.86</v>
      </c>
      <c r="AE169" s="319" t="n">
        <v>186.11</v>
      </c>
      <c r="AF169" s="319" t="n">
        <v>1935.38</v>
      </c>
      <c r="AG169" s="319" t="n">
        <v>804.55</v>
      </c>
      <c r="AH169" s="319" t="n">
        <v>1140.85</v>
      </c>
      <c r="AI169" s="319" t="n">
        <v>899.42</v>
      </c>
      <c r="AJ169" s="319" t="n">
        <v>550.05</v>
      </c>
    </row>
    <row r="170" customFormat="false" ht="17.35" hidden="false" customHeight="false" outlineLevel="0" collapsed="false">
      <c r="A170" s="308" t="s">
        <v>200</v>
      </c>
      <c r="B170" s="309" t="n">
        <v>313</v>
      </c>
      <c r="C170" s="310"/>
      <c r="D170" s="314" t="str">
        <f aca="false">IFERROR(VLOOKUP(B170,'[1]detailed model'!$a$6:$C$92,3,FALSE()),"NOT CODED/ERROR")</f>
        <v>Property, Plant, &amp; Maintenance</v>
      </c>
      <c r="E170" s="311"/>
      <c r="F170" s="312" t="e">
        <f aca="false">VLOOKUP(B170,'[1]detailed model'!a152:C230,3,FALSE())</f>
        <v>#NAME?</v>
      </c>
      <c r="G170" s="0" t="s">
        <v>297</v>
      </c>
      <c r="H170" s="315"/>
      <c r="I170" s="315"/>
      <c r="J170" s="315"/>
      <c r="K170" s="315"/>
      <c r="L170" s="315"/>
      <c r="M170" s="315"/>
      <c r="N170" s="315"/>
      <c r="O170" s="315"/>
      <c r="P170" s="315"/>
      <c r="Q170" s="315"/>
      <c r="R170" s="315"/>
      <c r="S170" s="315"/>
      <c r="T170" s="315"/>
      <c r="U170" s="315"/>
      <c r="V170" s="315"/>
      <c r="W170" s="315"/>
      <c r="X170" s="315"/>
      <c r="Y170" s="319" t="n">
        <v>1587</v>
      </c>
      <c r="Z170" s="319" t="n">
        <v>1161.29</v>
      </c>
      <c r="AA170" s="319" t="n">
        <v>1842.71</v>
      </c>
      <c r="AB170" s="319" t="n">
        <v>3000</v>
      </c>
      <c r="AC170" s="319" t="n">
        <v>1500</v>
      </c>
      <c r="AD170" s="319" t="n">
        <v>1500</v>
      </c>
      <c r="AE170" s="319" t="n">
        <v>1500</v>
      </c>
      <c r="AF170" s="319" t="n">
        <v>1500</v>
      </c>
      <c r="AG170" s="319" t="n">
        <v>1500</v>
      </c>
      <c r="AH170" s="319" t="n">
        <v>1500</v>
      </c>
      <c r="AI170" s="319" t="n">
        <v>1500</v>
      </c>
      <c r="AJ170" s="319" t="n">
        <v>1500</v>
      </c>
    </row>
    <row r="171" customFormat="false" ht="17.35" hidden="false" customHeight="false" outlineLevel="0" collapsed="false">
      <c r="A171" s="308" t="s">
        <v>200</v>
      </c>
      <c r="B171" s="309" t="n">
        <v>313</v>
      </c>
      <c r="C171" s="310"/>
      <c r="D171" s="314" t="str">
        <f aca="false">IFERROR(VLOOKUP(B171,'[1]detailed model'!$a$6:$C$92,3,FALSE()),"NOT CODED/ERROR")</f>
        <v>Property, Plant, &amp; Maintenance</v>
      </c>
      <c r="E171" s="311"/>
      <c r="F171" s="312" t="e">
        <f aca="false">VLOOKUP(B171,'[1]detailed model'!a153:C231,3,FALSE())</f>
        <v>#NAME?</v>
      </c>
      <c r="G171" s="0" t="s">
        <v>298</v>
      </c>
      <c r="H171" s="315"/>
      <c r="I171" s="315"/>
      <c r="J171" s="315"/>
      <c r="K171" s="315"/>
      <c r="L171" s="315"/>
      <c r="M171" s="315"/>
      <c r="N171" s="315"/>
      <c r="O171" s="315"/>
      <c r="P171" s="315"/>
      <c r="Q171" s="315"/>
      <c r="R171" s="315"/>
      <c r="S171" s="315"/>
      <c r="T171" s="315"/>
      <c r="U171" s="315"/>
      <c r="V171" s="315"/>
      <c r="W171" s="315"/>
      <c r="X171" s="315"/>
      <c r="Y171" s="319" t="n">
        <v>0</v>
      </c>
      <c r="Z171" s="319" t="n">
        <v>0</v>
      </c>
      <c r="AA171" s="319" t="n">
        <v>0</v>
      </c>
      <c r="AB171" s="319" t="n">
        <v>0</v>
      </c>
      <c r="AC171" s="319" t="n">
        <v>618.96</v>
      </c>
      <c r="AD171" s="319" t="n">
        <v>0</v>
      </c>
      <c r="AE171" s="319" t="n">
        <v>32.63</v>
      </c>
      <c r="AF171" s="319" t="n">
        <v>0</v>
      </c>
      <c r="AG171" s="319" t="n">
        <v>0</v>
      </c>
      <c r="AH171" s="319" t="n">
        <v>0</v>
      </c>
      <c r="AI171" s="319" t="n">
        <v>112.61</v>
      </c>
      <c r="AJ171" s="319" t="n">
        <v>199.9</v>
      </c>
    </row>
    <row r="172" customFormat="false" ht="17.35" hidden="false" customHeight="false" outlineLevel="0" collapsed="false">
      <c r="A172" s="308" t="s">
        <v>200</v>
      </c>
      <c r="B172" s="309" t="n">
        <v>313</v>
      </c>
      <c r="C172" s="310"/>
      <c r="D172" s="314" t="str">
        <f aca="false">IFERROR(VLOOKUP(B172,'[1]detailed model'!$a$6:$C$92,3,FALSE()),"NOT CODED/ERROR")</f>
        <v>Property, Plant, &amp; Maintenance</v>
      </c>
      <c r="E172" s="311"/>
      <c r="F172" s="312" t="e">
        <f aca="false">VLOOKUP(B172,'[1]detailed model'!a154:C232,3,FALSE())</f>
        <v>#NAME?</v>
      </c>
      <c r="G172" s="0" t="s">
        <v>299</v>
      </c>
      <c r="H172" s="315"/>
      <c r="I172" s="315"/>
      <c r="J172" s="315"/>
      <c r="K172" s="315"/>
      <c r="L172" s="315"/>
      <c r="M172" s="315"/>
      <c r="N172" s="315"/>
      <c r="O172" s="315"/>
      <c r="P172" s="315"/>
      <c r="Q172" s="315"/>
      <c r="R172" s="315"/>
      <c r="S172" s="315"/>
      <c r="T172" s="315"/>
      <c r="U172" s="315"/>
      <c r="V172" s="315"/>
      <c r="W172" s="315"/>
      <c r="X172" s="315"/>
      <c r="Y172" s="319" t="n">
        <v>0</v>
      </c>
      <c r="Z172" s="319" t="n">
        <v>0</v>
      </c>
      <c r="AA172" s="319" t="n">
        <v>362.57</v>
      </c>
      <c r="AB172" s="319" t="n">
        <v>1719.97</v>
      </c>
      <c r="AC172" s="319" t="n">
        <v>188.08</v>
      </c>
      <c r="AD172" s="319" t="n">
        <v>150.42</v>
      </c>
      <c r="AE172" s="319" t="n">
        <v>31.91</v>
      </c>
      <c r="AF172" s="319" t="n">
        <v>181.15</v>
      </c>
      <c r="AG172" s="319" t="n">
        <v>242.37</v>
      </c>
      <c r="AH172" s="319" t="n">
        <v>0</v>
      </c>
      <c r="AI172" s="319" t="n">
        <v>350.08</v>
      </c>
      <c r="AJ172" s="319" t="n">
        <v>0</v>
      </c>
    </row>
    <row r="173" customFormat="false" ht="17.35" hidden="false" customHeight="false" outlineLevel="0" collapsed="false">
      <c r="A173" s="308" t="s">
        <v>200</v>
      </c>
      <c r="B173" s="309"/>
      <c r="C173" s="310"/>
      <c r="D173" s="314" t="str">
        <f aca="false">IFERROR(VLOOKUP(B173,'[1]detailed model'!$a$6:$C$92,3,FALSE()),"NOT CODED/ERROR")</f>
        <v>NOT CODED/ERROR</v>
      </c>
      <c r="E173" s="311"/>
      <c r="F173" s="312" t="e">
        <f aca="false">VLOOKUP(B173,'[1]detailed model'!a155:C233,3,FALSE())</f>
        <v>#NAME?</v>
      </c>
      <c r="G173" s="312" t="s">
        <v>300</v>
      </c>
      <c r="H173" s="315"/>
      <c r="I173" s="315"/>
      <c r="J173" s="315"/>
      <c r="K173" s="315"/>
      <c r="L173" s="315"/>
      <c r="M173" s="315"/>
      <c r="N173" s="315"/>
      <c r="O173" s="315"/>
      <c r="P173" s="315"/>
      <c r="Q173" s="315"/>
      <c r="R173" s="315"/>
      <c r="S173" s="315"/>
      <c r="T173" s="315"/>
      <c r="U173" s="315"/>
      <c r="V173" s="315"/>
      <c r="W173" s="315"/>
      <c r="X173" s="315"/>
      <c r="Y173" s="319" t="n">
        <v>27784.55</v>
      </c>
      <c r="Z173" s="319" t="n">
        <v>8004.93</v>
      </c>
      <c r="AA173" s="319" t="n">
        <v>12177.04</v>
      </c>
      <c r="AB173" s="319" t="n">
        <v>18980.22</v>
      </c>
      <c r="AC173" s="319" t="n">
        <v>14769.94</v>
      </c>
      <c r="AD173" s="319" t="n">
        <v>21052.27</v>
      </c>
      <c r="AE173" s="319" t="n">
        <v>15029.92</v>
      </c>
      <c r="AF173" s="319" t="n">
        <v>17319.56</v>
      </c>
      <c r="AG173" s="319" t="n">
        <v>14208.24</v>
      </c>
      <c r="AH173" s="319" t="n">
        <v>14172.79</v>
      </c>
      <c r="AI173" s="319" t="n">
        <v>26913.72</v>
      </c>
      <c r="AJ173" s="319" t="n">
        <v>19772.12</v>
      </c>
    </row>
    <row r="174" customFormat="false" ht="17.35" hidden="false" customHeight="false" outlineLevel="0" collapsed="false">
      <c r="A174" s="308" t="s">
        <v>200</v>
      </c>
      <c r="B174" s="309"/>
      <c r="C174" s="310"/>
      <c r="D174" s="314" t="str">
        <f aca="false">IFERROR(VLOOKUP(B174,'[1]detailed model'!$a$6:$C$92,3,FALSE()),"NOT CODED/ERROR")</f>
        <v>NOT CODED/ERROR</v>
      </c>
      <c r="E174" s="311"/>
      <c r="F174" s="312" t="e">
        <f aca="false">VLOOKUP(B174,'[1]detailed model'!a156:C234,3,FALSE())</f>
        <v>#NAME?</v>
      </c>
      <c r="G174" s="0" t="s">
        <v>171</v>
      </c>
    </row>
    <row r="175" customFormat="false" ht="17.35" hidden="false" customHeight="false" outlineLevel="0" collapsed="false">
      <c r="A175" s="308" t="s">
        <v>200</v>
      </c>
      <c r="B175" s="309"/>
      <c r="C175" s="310"/>
      <c r="D175" s="314" t="str">
        <f aca="false">IFERROR(VLOOKUP(B175,'[1]detailed model'!$a$6:$C$92,3,FALSE()),"NOT CODED/ERROR")</f>
        <v>NOT CODED/ERROR</v>
      </c>
      <c r="E175" s="311"/>
      <c r="F175" s="312" t="e">
        <f aca="false">VLOOKUP(B175,'[1]detailed model'!a157:C235,3,FALSE())</f>
        <v>#NAME?</v>
      </c>
      <c r="G175" s="0" t="s">
        <v>301</v>
      </c>
      <c r="H175" s="315"/>
      <c r="I175" s="315"/>
      <c r="J175" s="315"/>
      <c r="K175" s="315"/>
      <c r="L175" s="315"/>
      <c r="M175" s="315"/>
      <c r="N175" s="315"/>
      <c r="O175" s="315"/>
      <c r="P175" s="315"/>
      <c r="Q175" s="315"/>
      <c r="R175" s="315"/>
      <c r="S175" s="315"/>
      <c r="T175" s="315"/>
      <c r="U175" s="315"/>
      <c r="V175" s="315"/>
      <c r="W175" s="315"/>
      <c r="X175" s="315"/>
      <c r="Y175" s="0" t="s">
        <v>176</v>
      </c>
      <c r="Z175" s="0" t="s">
        <v>176</v>
      </c>
      <c r="AA175" s="0" t="s">
        <v>176</v>
      </c>
      <c r="AB175" s="0" t="s">
        <v>176</v>
      </c>
      <c r="AC175" s="0" t="s">
        <v>176</v>
      </c>
      <c r="AD175" s="0" t="s">
        <v>176</v>
      </c>
      <c r="AE175" s="0" t="s">
        <v>176</v>
      </c>
      <c r="AF175" s="0" t="s">
        <v>176</v>
      </c>
      <c r="AG175" s="0" t="s">
        <v>176</v>
      </c>
      <c r="AH175" s="0" t="s">
        <v>176</v>
      </c>
      <c r="AI175" s="0" t="s">
        <v>176</v>
      </c>
      <c r="AJ175" s="0" t="s">
        <v>176</v>
      </c>
    </row>
    <row r="176" customFormat="false" ht="17.35" hidden="false" customHeight="false" outlineLevel="0" collapsed="false">
      <c r="A176" s="308" t="s">
        <v>200</v>
      </c>
      <c r="B176" s="309" t="n">
        <v>306</v>
      </c>
      <c r="C176" s="310"/>
      <c r="D176" s="314" t="str">
        <f aca="false">IFERROR(VLOOKUP(B176,'[1]detailed model'!$a$6:$C$92,3,FALSE()),"NOT CODED/ERROR")</f>
        <v>General Administrative</v>
      </c>
      <c r="E176" s="311"/>
      <c r="F176" s="312" t="e">
        <f aca="false">VLOOKUP(B176,'[1]detailed model'!a158:C236,3,FALSE())</f>
        <v>#NAME?</v>
      </c>
      <c r="G176" s="0" t="s">
        <v>302</v>
      </c>
      <c r="H176" s="315"/>
      <c r="I176" s="315"/>
      <c r="J176" s="315"/>
      <c r="K176" s="315"/>
      <c r="L176" s="315"/>
      <c r="M176" s="315"/>
      <c r="N176" s="315"/>
      <c r="O176" s="315"/>
      <c r="P176" s="315"/>
      <c r="Q176" s="315"/>
      <c r="R176" s="315"/>
      <c r="S176" s="315"/>
      <c r="T176" s="315"/>
      <c r="U176" s="315"/>
      <c r="V176" s="315"/>
      <c r="W176" s="315"/>
      <c r="X176" s="315"/>
      <c r="Y176" s="319" t="n">
        <v>0</v>
      </c>
      <c r="Z176" s="319" t="n">
        <v>0</v>
      </c>
      <c r="AA176" s="319" t="n">
        <v>0</v>
      </c>
      <c r="AB176" s="319" t="n">
        <v>3743.04</v>
      </c>
      <c r="AC176" s="319" t="n">
        <v>0</v>
      </c>
      <c r="AD176" s="319" t="n">
        <v>0</v>
      </c>
      <c r="AE176" s="319" t="n">
        <v>0</v>
      </c>
      <c r="AF176" s="319" t="n">
        <v>0</v>
      </c>
      <c r="AG176" s="319" t="n">
        <v>0</v>
      </c>
      <c r="AH176" s="319" t="n">
        <v>0</v>
      </c>
      <c r="AI176" s="319" t="n">
        <v>0</v>
      </c>
      <c r="AJ176" s="319" t="n">
        <v>0</v>
      </c>
    </row>
    <row r="177" customFormat="false" ht="17.35" hidden="false" customHeight="false" outlineLevel="0" collapsed="false">
      <c r="A177" s="308" t="s">
        <v>200</v>
      </c>
      <c r="B177" s="309" t="n">
        <v>306</v>
      </c>
      <c r="C177" s="310"/>
      <c r="D177" s="314" t="str">
        <f aca="false">IFERROR(VLOOKUP(B177,'[1]detailed model'!$a$6:$C$92,3,FALSE()),"NOT CODED/ERROR")</f>
        <v>General Administrative</v>
      </c>
      <c r="E177" s="311"/>
      <c r="F177" s="312" t="e">
        <f aca="false">VLOOKUP(B177,'[1]detailed model'!a159:C237,3,FALSE())</f>
        <v>#NAME?</v>
      </c>
      <c r="G177" s="0" t="s">
        <v>303</v>
      </c>
      <c r="H177" s="315"/>
      <c r="I177" s="315"/>
      <c r="J177" s="315"/>
      <c r="K177" s="315"/>
      <c r="L177" s="315"/>
      <c r="M177" s="315"/>
      <c r="N177" s="315"/>
      <c r="O177" s="315"/>
      <c r="P177" s="315"/>
      <c r="Q177" s="315"/>
      <c r="R177" s="315"/>
      <c r="S177" s="315"/>
      <c r="T177" s="315"/>
      <c r="U177" s="315"/>
      <c r="V177" s="315"/>
      <c r="W177" s="315"/>
      <c r="X177" s="315"/>
      <c r="Y177" s="319" t="n">
        <v>3487.08</v>
      </c>
      <c r="Z177" s="319" t="n">
        <v>-1462.44</v>
      </c>
      <c r="AA177" s="319" t="n">
        <v>0</v>
      </c>
      <c r="AB177" s="319" t="n">
        <v>1402.89</v>
      </c>
      <c r="AC177" s="319" t="n">
        <v>1616.09</v>
      </c>
      <c r="AD177" s="319" t="n">
        <v>0</v>
      </c>
      <c r="AE177" s="319" t="n">
        <v>0</v>
      </c>
      <c r="AF177" s="319" t="n">
        <v>2591.19</v>
      </c>
      <c r="AG177" s="319" t="n">
        <v>0</v>
      </c>
      <c r="AH177" s="319" t="n">
        <v>0</v>
      </c>
      <c r="AI177" s="319" t="n">
        <v>0</v>
      </c>
      <c r="AJ177" s="319" t="n">
        <v>0</v>
      </c>
    </row>
    <row r="178" customFormat="false" ht="17.35" hidden="false" customHeight="false" outlineLevel="0" collapsed="false">
      <c r="A178" s="308" t="s">
        <v>200</v>
      </c>
      <c r="B178" s="309" t="n">
        <v>306</v>
      </c>
      <c r="C178" s="310"/>
      <c r="D178" s="314" t="str">
        <f aca="false">IFERROR(VLOOKUP(B178,'[1]detailed model'!$a$6:$C$92,3,FALSE()),"NOT CODED/ERROR")</f>
        <v>General Administrative</v>
      </c>
      <c r="E178" s="311"/>
      <c r="F178" s="312" t="e">
        <f aca="false">VLOOKUP(B178,'[1]detailed model'!a160:C238,3,FALSE())</f>
        <v>#NAME?</v>
      </c>
      <c r="G178" s="0" t="s">
        <v>304</v>
      </c>
      <c r="H178" s="315"/>
      <c r="I178" s="315"/>
      <c r="J178" s="315"/>
      <c r="K178" s="315"/>
      <c r="L178" s="315"/>
      <c r="M178" s="315"/>
      <c r="N178" s="315"/>
      <c r="O178" s="315"/>
      <c r="P178" s="315"/>
      <c r="Q178" s="315"/>
      <c r="R178" s="315"/>
      <c r="S178" s="315"/>
      <c r="T178" s="315"/>
      <c r="U178" s="315"/>
      <c r="V178" s="315"/>
      <c r="W178" s="315"/>
      <c r="X178" s="315"/>
      <c r="Y178" s="319" t="n">
        <v>310.35</v>
      </c>
      <c r="Z178" s="319" t="n">
        <v>-15.47</v>
      </c>
      <c r="AA178" s="319" t="n">
        <v>764.98</v>
      </c>
      <c r="AB178" s="319" t="n">
        <v>48.3</v>
      </c>
      <c r="AC178" s="319" t="n">
        <v>0</v>
      </c>
      <c r="AD178" s="319" t="n">
        <v>335.35</v>
      </c>
      <c r="AE178" s="319" t="n">
        <v>-50</v>
      </c>
      <c r="AF178" s="319" t="n">
        <v>630.66</v>
      </c>
      <c r="AG178" s="319" t="n">
        <v>579.67</v>
      </c>
      <c r="AH178" s="319" t="n">
        <v>71.25</v>
      </c>
      <c r="AI178" s="319" t="n">
        <v>88.6</v>
      </c>
      <c r="AJ178" s="319" t="n">
        <v>70.65</v>
      </c>
    </row>
    <row r="179" customFormat="false" ht="17.35" hidden="false" customHeight="false" outlineLevel="0" collapsed="false">
      <c r="A179" s="308" t="s">
        <v>200</v>
      </c>
      <c r="B179" s="309"/>
      <c r="C179" s="310"/>
      <c r="D179" s="314" t="str">
        <f aca="false">IFERROR(VLOOKUP(B179,'[1]detailed model'!$a$6:$C$92,3,FALSE()),"NOT CODED/ERROR")</f>
        <v>NOT CODED/ERROR</v>
      </c>
      <c r="E179" s="311"/>
      <c r="F179" s="312" t="e">
        <f aca="false">VLOOKUP(B179,'[1]detailed model'!a161:C239,3,FALSE())</f>
        <v>#NAME?</v>
      </c>
      <c r="G179" s="0" t="s">
        <v>305</v>
      </c>
      <c r="H179" s="315"/>
      <c r="I179" s="315"/>
      <c r="J179" s="315"/>
      <c r="K179" s="315"/>
      <c r="L179" s="315"/>
      <c r="M179" s="315"/>
      <c r="N179" s="315"/>
      <c r="O179" s="315"/>
      <c r="P179" s="315"/>
      <c r="Q179" s="315"/>
      <c r="R179" s="315"/>
      <c r="S179" s="315"/>
      <c r="T179" s="315"/>
      <c r="U179" s="315"/>
      <c r="V179" s="315"/>
      <c r="W179" s="315"/>
      <c r="X179" s="315"/>
      <c r="Y179" s="319" t="n">
        <v>3797.43</v>
      </c>
      <c r="Z179" s="319" t="n">
        <v>-1477.91</v>
      </c>
      <c r="AA179" s="319" t="n">
        <v>764.98</v>
      </c>
      <c r="AB179" s="319" t="n">
        <v>5194.23</v>
      </c>
      <c r="AC179" s="319" t="n">
        <v>1616.09</v>
      </c>
      <c r="AD179" s="319" t="n">
        <v>335.35</v>
      </c>
      <c r="AE179" s="319" t="n">
        <v>-50</v>
      </c>
      <c r="AF179" s="319" t="n">
        <v>3221.85</v>
      </c>
      <c r="AG179" s="319" t="n">
        <v>579.67</v>
      </c>
      <c r="AH179" s="319" t="n">
        <v>71.25</v>
      </c>
      <c r="AI179" s="319" t="n">
        <v>88.6</v>
      </c>
      <c r="AJ179" s="319" t="n">
        <v>70.65</v>
      </c>
    </row>
    <row r="180" customFormat="false" ht="17.35" hidden="false" customHeight="false" outlineLevel="0" collapsed="false">
      <c r="A180" s="308" t="s">
        <v>200</v>
      </c>
      <c r="B180" s="309"/>
      <c r="C180" s="310"/>
      <c r="D180" s="314" t="str">
        <f aca="false">IFERROR(VLOOKUP(B180,'[1]detailed model'!$a$6:$C$92,3,FALSE()),"NOT CODED/ERROR")</f>
        <v>NOT CODED/ERROR</v>
      </c>
      <c r="E180" s="311"/>
      <c r="F180" s="312" t="e">
        <f aca="false">VLOOKUP(B180,'[1]detailed model'!a162:C240,3,FALSE())</f>
        <v>#NAME?</v>
      </c>
      <c r="G180" s="0" t="s">
        <v>171</v>
      </c>
    </row>
    <row r="181" customFormat="false" ht="17.35" hidden="false" customHeight="false" outlineLevel="0" collapsed="false">
      <c r="A181" s="308" t="s">
        <v>200</v>
      </c>
      <c r="B181" s="309"/>
      <c r="C181" s="310"/>
      <c r="D181" s="314" t="str">
        <f aca="false">IFERROR(VLOOKUP(B181,'[1]detailed model'!$a$6:$C$92,3,FALSE()),"NOT CODED/ERROR")</f>
        <v>NOT CODED/ERROR</v>
      </c>
      <c r="E181" s="311"/>
      <c r="F181" s="312" t="e">
        <f aca="false">VLOOKUP(B181,'[1]detailed model'!a163:C241,3,FALSE())</f>
        <v>#NAME?</v>
      </c>
      <c r="G181" s="0" t="s">
        <v>306</v>
      </c>
      <c r="H181" s="315"/>
      <c r="I181" s="315"/>
      <c r="J181" s="315"/>
      <c r="K181" s="315"/>
      <c r="L181" s="315"/>
      <c r="M181" s="315"/>
      <c r="N181" s="315"/>
      <c r="O181" s="315"/>
      <c r="P181" s="315"/>
      <c r="Q181" s="315"/>
      <c r="R181" s="315"/>
      <c r="S181" s="315"/>
      <c r="T181" s="315"/>
      <c r="U181" s="315"/>
      <c r="V181" s="315"/>
      <c r="W181" s="315"/>
      <c r="X181" s="315"/>
      <c r="Y181" s="0" t="s">
        <v>176</v>
      </c>
      <c r="Z181" s="0" t="s">
        <v>176</v>
      </c>
      <c r="AA181" s="0" t="s">
        <v>176</v>
      </c>
      <c r="AB181" s="0" t="s">
        <v>176</v>
      </c>
      <c r="AC181" s="0" t="s">
        <v>176</v>
      </c>
      <c r="AD181" s="0" t="s">
        <v>176</v>
      </c>
      <c r="AE181" s="0" t="s">
        <v>176</v>
      </c>
      <c r="AF181" s="0" t="s">
        <v>176</v>
      </c>
      <c r="AG181" s="0" t="s">
        <v>176</v>
      </c>
      <c r="AH181" s="0" t="s">
        <v>176</v>
      </c>
      <c r="AI181" s="0" t="s">
        <v>176</v>
      </c>
      <c r="AJ181" s="0" t="s">
        <v>176</v>
      </c>
    </row>
    <row r="182" customFormat="false" ht="17.35" hidden="false" customHeight="false" outlineLevel="0" collapsed="false">
      <c r="A182" s="308" t="s">
        <v>200</v>
      </c>
      <c r="B182" s="309" t="n">
        <v>306</v>
      </c>
      <c r="C182" s="310"/>
      <c r="D182" s="314" t="str">
        <f aca="false">IFERROR(VLOOKUP(B182,'[1]detailed model'!$a$6:$C$92,3,FALSE()),"NOT CODED/ERROR")</f>
        <v>General Administrative</v>
      </c>
      <c r="E182" s="311"/>
      <c r="F182" s="312" t="e">
        <f aca="false">VLOOKUP(B182,'[1]detailed model'!a164:C242,3,FALSE())</f>
        <v>#NAME?</v>
      </c>
      <c r="G182" s="0" t="s">
        <v>307</v>
      </c>
      <c r="H182" s="315"/>
      <c r="I182" s="315"/>
      <c r="J182" s="315"/>
      <c r="K182" s="315"/>
      <c r="L182" s="315"/>
      <c r="M182" s="315"/>
      <c r="N182" s="315"/>
      <c r="O182" s="315"/>
      <c r="P182" s="315"/>
      <c r="Q182" s="315"/>
      <c r="R182" s="315"/>
      <c r="S182" s="315"/>
      <c r="T182" s="315"/>
      <c r="U182" s="315"/>
      <c r="V182" s="315"/>
      <c r="W182" s="315"/>
      <c r="X182" s="315"/>
      <c r="Y182" s="319" t="n">
        <v>26183.47</v>
      </c>
      <c r="Z182" s="319" t="n">
        <v>26402.54</v>
      </c>
      <c r="AA182" s="319" t="n">
        <v>27339.17</v>
      </c>
      <c r="AB182" s="319" t="n">
        <v>27729.05</v>
      </c>
      <c r="AC182" s="319" t="n">
        <v>24219.07</v>
      </c>
      <c r="AD182" s="319" t="n">
        <v>16847.98</v>
      </c>
      <c r="AE182" s="319" t="n">
        <v>14032.05</v>
      </c>
      <c r="AF182" s="319" t="n">
        <v>26375.63</v>
      </c>
      <c r="AG182" s="319" t="n">
        <v>25142.22</v>
      </c>
      <c r="AH182" s="319" t="n">
        <v>21737.18</v>
      </c>
      <c r="AI182" s="319" t="n">
        <v>21533.15</v>
      </c>
      <c r="AJ182" s="319" t="n">
        <v>22052.91</v>
      </c>
    </row>
    <row r="183" customFormat="false" ht="17.35" hidden="false" customHeight="false" outlineLevel="0" collapsed="false">
      <c r="A183" s="308" t="s">
        <v>200</v>
      </c>
      <c r="B183" s="309" t="n">
        <v>306</v>
      </c>
      <c r="C183" s="310"/>
      <c r="D183" s="314" t="str">
        <f aca="false">IFERROR(VLOOKUP(B183,'[1]detailed model'!$a$6:$C$92,3,FALSE()),"NOT CODED/ERROR")</f>
        <v>General Administrative</v>
      </c>
      <c r="E183" s="311"/>
      <c r="F183" s="312" t="e">
        <f aca="false">VLOOKUP(B183,'[1]detailed model'!a165:C243,3,FALSE())</f>
        <v>#NAME?</v>
      </c>
      <c r="G183" s="0" t="s">
        <v>308</v>
      </c>
      <c r="H183" s="315"/>
      <c r="I183" s="315"/>
      <c r="J183" s="315"/>
      <c r="K183" s="315"/>
      <c r="L183" s="315"/>
      <c r="M183" s="315"/>
      <c r="N183" s="315"/>
      <c r="O183" s="315"/>
      <c r="P183" s="315"/>
      <c r="Q183" s="315"/>
      <c r="R183" s="315"/>
      <c r="S183" s="315"/>
      <c r="T183" s="315"/>
      <c r="U183" s="315"/>
      <c r="V183" s="315"/>
      <c r="W183" s="315"/>
      <c r="X183" s="315"/>
      <c r="Y183" s="319" t="n">
        <v>5139.63</v>
      </c>
      <c r="Z183" s="319" t="n">
        <v>5331.31</v>
      </c>
      <c r="AA183" s="319" t="n">
        <v>4290.79</v>
      </c>
      <c r="AB183" s="319" t="n">
        <v>5329.05</v>
      </c>
      <c r="AC183" s="319" t="n">
        <v>3786.82</v>
      </c>
      <c r="AD183" s="319" t="n">
        <v>3439.98</v>
      </c>
      <c r="AE183" s="319" t="n">
        <v>3083.54</v>
      </c>
      <c r="AF183" s="319" t="n">
        <v>5520.27</v>
      </c>
      <c r="AG183" s="319" t="n">
        <v>5061.7</v>
      </c>
      <c r="AH183" s="319" t="n">
        <v>3790.92</v>
      </c>
      <c r="AI183" s="319" t="n">
        <v>3814.12</v>
      </c>
      <c r="AJ183" s="319" t="n">
        <v>3996.23</v>
      </c>
    </row>
    <row r="184" customFormat="false" ht="17.35" hidden="false" customHeight="false" outlineLevel="0" collapsed="false">
      <c r="A184" s="308" t="s">
        <v>200</v>
      </c>
      <c r="B184" s="309" t="n">
        <v>306</v>
      </c>
      <c r="C184" s="310"/>
      <c r="D184" s="314" t="str">
        <f aca="false">IFERROR(VLOOKUP(B184,'[1]detailed model'!$a$6:$C$92,3,FALSE()),"NOT CODED/ERROR")</f>
        <v>General Administrative</v>
      </c>
      <c r="E184" s="311"/>
      <c r="F184" s="312" t="e">
        <f aca="false">VLOOKUP(B184,'[1]detailed model'!a166:C244,3,FALSE())</f>
        <v>#NAME?</v>
      </c>
      <c r="G184" s="0" t="s">
        <v>309</v>
      </c>
      <c r="H184" s="315"/>
      <c r="I184" s="315"/>
      <c r="J184" s="315"/>
      <c r="K184" s="315"/>
      <c r="L184" s="315"/>
      <c r="M184" s="315"/>
      <c r="N184" s="315"/>
      <c r="O184" s="315"/>
      <c r="P184" s="315"/>
      <c r="Q184" s="315"/>
      <c r="R184" s="315"/>
      <c r="S184" s="315"/>
      <c r="T184" s="315"/>
      <c r="U184" s="315"/>
      <c r="V184" s="315"/>
      <c r="W184" s="315"/>
      <c r="X184" s="315"/>
      <c r="Y184" s="319" t="n">
        <v>1501.74</v>
      </c>
      <c r="Z184" s="319" t="n">
        <v>1501.52</v>
      </c>
      <c r="AA184" s="319" t="n">
        <v>1377.14</v>
      </c>
      <c r="AB184" s="319" t="n">
        <v>964.39</v>
      </c>
      <c r="AC184" s="319" t="n">
        <v>1256.26</v>
      </c>
      <c r="AD184" s="319" t="n">
        <v>114.5</v>
      </c>
      <c r="AE184" s="319" t="n">
        <v>968.85</v>
      </c>
      <c r="AF184" s="319" t="n">
        <v>972.95</v>
      </c>
      <c r="AG184" s="319" t="n">
        <v>965.25</v>
      </c>
      <c r="AH184" s="319" t="n">
        <v>834.31</v>
      </c>
      <c r="AI184" s="319" t="n">
        <v>979.12</v>
      </c>
      <c r="AJ184" s="319" t="n">
        <v>1052.49</v>
      </c>
    </row>
    <row r="185" customFormat="false" ht="17.35" hidden="false" customHeight="false" outlineLevel="0" collapsed="false">
      <c r="A185" s="308" t="s">
        <v>200</v>
      </c>
      <c r="B185" s="309" t="n">
        <v>306</v>
      </c>
      <c r="C185" s="310"/>
      <c r="D185" s="314" t="str">
        <f aca="false">IFERROR(VLOOKUP(B185,'[1]detailed model'!$a$6:$C$92,3,FALSE()),"NOT CODED/ERROR")</f>
        <v>General Administrative</v>
      </c>
      <c r="E185" s="311"/>
      <c r="F185" s="312" t="e">
        <f aca="false">VLOOKUP(B185,'[1]detailed model'!a167:C245,3,FALSE())</f>
        <v>#NAME?</v>
      </c>
      <c r="G185" s="0" t="s">
        <v>310</v>
      </c>
      <c r="H185" s="315"/>
      <c r="I185" s="315"/>
      <c r="J185" s="315"/>
      <c r="K185" s="315"/>
      <c r="L185" s="315"/>
      <c r="M185" s="315"/>
      <c r="N185" s="315"/>
      <c r="O185" s="315"/>
      <c r="P185" s="315"/>
      <c r="Q185" s="315"/>
      <c r="R185" s="315"/>
      <c r="S185" s="315"/>
      <c r="T185" s="315"/>
      <c r="U185" s="315"/>
      <c r="V185" s="315"/>
      <c r="W185" s="315"/>
      <c r="X185" s="315"/>
      <c r="Y185" s="319" t="n">
        <v>1755.21</v>
      </c>
      <c r="Z185" s="319" t="n">
        <v>1324.85</v>
      </c>
      <c r="AA185" s="319" t="n">
        <v>396.59</v>
      </c>
      <c r="AB185" s="319" t="n">
        <v>619.57</v>
      </c>
      <c r="AC185" s="319" t="n">
        <v>1573.49</v>
      </c>
      <c r="AD185" s="319" t="n">
        <v>1897.07</v>
      </c>
      <c r="AE185" s="319" t="n">
        <v>852.66</v>
      </c>
      <c r="AF185" s="319" t="n">
        <v>963.84</v>
      </c>
      <c r="AG185" s="319" t="n">
        <v>1746.01</v>
      </c>
      <c r="AH185" s="319" t="n">
        <v>1500.19</v>
      </c>
      <c r="AI185" s="319" t="n">
        <v>2177.01</v>
      </c>
      <c r="AJ185" s="319" t="n">
        <v>2318.53</v>
      </c>
    </row>
    <row r="186" customFormat="false" ht="17.35" hidden="false" customHeight="false" outlineLevel="0" collapsed="false">
      <c r="A186" s="308" t="s">
        <v>200</v>
      </c>
      <c r="B186" s="309" t="n">
        <v>306</v>
      </c>
      <c r="C186" s="310"/>
      <c r="D186" s="314" t="str">
        <f aca="false">IFERROR(VLOOKUP(B186,'[1]detailed model'!$a$6:$C$92,3,FALSE()),"NOT CODED/ERROR")</f>
        <v>General Administrative</v>
      </c>
      <c r="E186" s="311"/>
      <c r="F186" s="312" t="e">
        <f aca="false">VLOOKUP(B186,'[1]detailed model'!a168:C246,3,FALSE())</f>
        <v>#NAME?</v>
      </c>
      <c r="G186" s="0" t="s">
        <v>311</v>
      </c>
      <c r="H186" s="315"/>
      <c r="I186" s="315"/>
      <c r="J186" s="315"/>
      <c r="K186" s="315"/>
      <c r="L186" s="315"/>
      <c r="M186" s="315"/>
      <c r="N186" s="315"/>
      <c r="O186" s="315"/>
      <c r="P186" s="315"/>
      <c r="Q186" s="315"/>
      <c r="R186" s="315"/>
      <c r="S186" s="315"/>
      <c r="T186" s="315"/>
      <c r="U186" s="315"/>
      <c r="V186" s="315"/>
      <c r="W186" s="315"/>
      <c r="X186" s="315"/>
      <c r="Y186" s="319" t="n">
        <v>506.16</v>
      </c>
      <c r="Z186" s="319" t="n">
        <v>0</v>
      </c>
      <c r="AA186" s="319" t="n">
        <v>0</v>
      </c>
      <c r="AB186" s="319" t="n">
        <v>0</v>
      </c>
      <c r="AC186" s="319" t="n">
        <v>0</v>
      </c>
      <c r="AD186" s="319" t="n">
        <v>226</v>
      </c>
      <c r="AE186" s="319" t="n">
        <v>0</v>
      </c>
      <c r="AF186" s="319" t="n">
        <v>0</v>
      </c>
      <c r="AG186" s="319" t="n">
        <v>0</v>
      </c>
      <c r="AH186" s="319" t="n">
        <v>32.9</v>
      </c>
      <c r="AI186" s="319" t="n">
        <v>11.75</v>
      </c>
      <c r="AJ186" s="319" t="n">
        <v>282</v>
      </c>
    </row>
    <row r="187" customFormat="false" ht="17.35" hidden="false" customHeight="false" outlineLevel="0" collapsed="false">
      <c r="A187" s="308" t="s">
        <v>200</v>
      </c>
      <c r="B187" s="309" t="n">
        <v>306</v>
      </c>
      <c r="C187" s="310"/>
      <c r="D187" s="314" t="str">
        <f aca="false">IFERROR(VLOOKUP(B187,'[1]detailed model'!$a$6:$C$92,3,FALSE()),"NOT CODED/ERROR")</f>
        <v>General Administrative</v>
      </c>
      <c r="E187" s="311"/>
      <c r="F187" s="312" t="e">
        <f aca="false">VLOOKUP(B187,'[1]detailed model'!a169:C247,3,FALSE())</f>
        <v>#NAME?</v>
      </c>
      <c r="G187" s="0" t="s">
        <v>312</v>
      </c>
      <c r="H187" s="315"/>
      <c r="I187" s="315"/>
      <c r="J187" s="315"/>
      <c r="K187" s="315"/>
      <c r="L187" s="315"/>
      <c r="M187" s="315"/>
      <c r="N187" s="315"/>
      <c r="O187" s="315"/>
      <c r="P187" s="315"/>
      <c r="Q187" s="315"/>
      <c r="R187" s="315"/>
      <c r="S187" s="315"/>
      <c r="T187" s="315"/>
      <c r="U187" s="315"/>
      <c r="V187" s="315"/>
      <c r="W187" s="315"/>
      <c r="X187" s="315"/>
      <c r="Y187" s="319" t="n">
        <v>0</v>
      </c>
      <c r="Z187" s="319" t="n">
        <v>0</v>
      </c>
      <c r="AA187" s="319" t="n">
        <v>0</v>
      </c>
      <c r="AB187" s="319" t="n">
        <v>0</v>
      </c>
      <c r="AC187" s="319" t="n">
        <v>0</v>
      </c>
      <c r="AD187" s="319" t="n">
        <v>4837.72</v>
      </c>
      <c r="AE187" s="319" t="n">
        <v>4500</v>
      </c>
      <c r="AF187" s="319" t="n">
        <v>4500</v>
      </c>
      <c r="AG187" s="319" t="n">
        <v>3500</v>
      </c>
      <c r="AH187" s="319" t="n">
        <v>0</v>
      </c>
      <c r="AI187" s="319" t="n">
        <v>0</v>
      </c>
      <c r="AJ187" s="319" t="n">
        <v>0</v>
      </c>
    </row>
    <row r="188" customFormat="false" ht="17.35" hidden="false" customHeight="false" outlineLevel="0" collapsed="false">
      <c r="A188" s="308" t="s">
        <v>200</v>
      </c>
      <c r="B188" s="309" t="n">
        <v>306</v>
      </c>
      <c r="C188" s="310"/>
      <c r="D188" s="314" t="str">
        <f aca="false">IFERROR(VLOOKUP(B188,'[1]detailed model'!$a$6:$C$92,3,FALSE()),"NOT CODED/ERROR")</f>
        <v>General Administrative</v>
      </c>
      <c r="E188" s="311"/>
      <c r="F188" s="312" t="e">
        <f aca="false">VLOOKUP(B188,'[1]detailed model'!a170:C248,3,FALSE())</f>
        <v>#NAME?</v>
      </c>
      <c r="G188" s="0" t="s">
        <v>313</v>
      </c>
      <c r="H188" s="315"/>
      <c r="I188" s="315"/>
      <c r="J188" s="315"/>
      <c r="K188" s="315"/>
      <c r="L188" s="315"/>
      <c r="M188" s="315"/>
      <c r="N188" s="315"/>
      <c r="O188" s="315"/>
      <c r="P188" s="315"/>
      <c r="Q188" s="315"/>
      <c r="R188" s="315"/>
      <c r="S188" s="315"/>
      <c r="T188" s="315"/>
      <c r="U188" s="315"/>
      <c r="V188" s="315"/>
      <c r="W188" s="315"/>
      <c r="X188" s="315"/>
      <c r="Y188" s="319" t="n">
        <v>0</v>
      </c>
      <c r="Z188" s="319" t="n">
        <v>1348.6</v>
      </c>
      <c r="AA188" s="319" t="n">
        <v>26.4</v>
      </c>
      <c r="AB188" s="319" t="n">
        <v>0</v>
      </c>
      <c r="AC188" s="319" t="n">
        <v>0</v>
      </c>
      <c r="AD188" s="319" t="n">
        <v>0</v>
      </c>
      <c r="AE188" s="319" t="n">
        <v>0</v>
      </c>
      <c r="AF188" s="319" t="n">
        <v>35.28</v>
      </c>
      <c r="AG188" s="319" t="n">
        <v>79.19</v>
      </c>
      <c r="AH188" s="319" t="n">
        <v>0</v>
      </c>
      <c r="AI188" s="319" t="n">
        <v>0</v>
      </c>
      <c r="AJ188" s="319" t="n">
        <v>0</v>
      </c>
    </row>
    <row r="189" customFormat="false" ht="17.35" hidden="false" customHeight="false" outlineLevel="0" collapsed="false">
      <c r="A189" s="308" t="s">
        <v>200</v>
      </c>
      <c r="B189" s="309" t="n">
        <v>306</v>
      </c>
      <c r="C189" s="310"/>
      <c r="D189" s="314" t="str">
        <f aca="false">IFERROR(VLOOKUP(B189,'[1]detailed model'!$a$6:$C$92,3,FALSE()),"NOT CODED/ERROR")</f>
        <v>General Administrative</v>
      </c>
      <c r="E189" s="311"/>
      <c r="F189" s="312" t="e">
        <f aca="false">VLOOKUP(B189,'[1]detailed model'!a171:C249,3,FALSE())</f>
        <v>#NAME?</v>
      </c>
      <c r="G189" s="0" t="s">
        <v>314</v>
      </c>
      <c r="H189" s="315"/>
      <c r="I189" s="315"/>
      <c r="J189" s="315"/>
      <c r="K189" s="315"/>
      <c r="L189" s="315"/>
      <c r="M189" s="315"/>
      <c r="N189" s="315"/>
      <c r="O189" s="315"/>
      <c r="P189" s="315"/>
      <c r="Q189" s="315"/>
      <c r="R189" s="315"/>
      <c r="S189" s="315"/>
      <c r="T189" s="315"/>
      <c r="U189" s="315"/>
      <c r="V189" s="315"/>
      <c r="W189" s="315"/>
      <c r="X189" s="315"/>
      <c r="Y189" s="319" t="n">
        <v>195</v>
      </c>
      <c r="Z189" s="319" t="n">
        <v>-493</v>
      </c>
      <c r="AA189" s="319" t="n">
        <v>0</v>
      </c>
      <c r="AB189" s="319" t="n">
        <v>658</v>
      </c>
      <c r="AC189" s="319" t="n">
        <v>94</v>
      </c>
      <c r="AD189" s="319" t="n">
        <v>94</v>
      </c>
      <c r="AE189" s="319" t="n">
        <v>94</v>
      </c>
      <c r="AF189" s="319" t="n">
        <v>785.33</v>
      </c>
      <c r="AG189" s="319" t="n">
        <v>357.33</v>
      </c>
      <c r="AH189" s="319" t="n">
        <v>384.31</v>
      </c>
      <c r="AI189" s="319" t="n">
        <v>407.3</v>
      </c>
      <c r="AJ189" s="319" t="n">
        <v>1102.75</v>
      </c>
    </row>
    <row r="190" customFormat="false" ht="17.35" hidden="false" customHeight="false" outlineLevel="0" collapsed="false">
      <c r="A190" s="308" t="s">
        <v>200</v>
      </c>
      <c r="B190" s="309" t="n">
        <v>306</v>
      </c>
      <c r="C190" s="310"/>
      <c r="D190" s="314" t="str">
        <f aca="false">IFERROR(VLOOKUP(B190,'[1]detailed model'!$a$6:$C$92,3,FALSE()),"NOT CODED/ERROR")</f>
        <v>General Administrative</v>
      </c>
      <c r="E190" s="311"/>
      <c r="F190" s="312" t="e">
        <f aca="false">VLOOKUP(B190,'[1]detailed model'!a172:C250,3,FALSE())</f>
        <v>#NAME?</v>
      </c>
      <c r="G190" s="0" t="s">
        <v>315</v>
      </c>
      <c r="H190" s="315"/>
      <c r="I190" s="315"/>
      <c r="J190" s="315"/>
      <c r="K190" s="315"/>
      <c r="L190" s="315"/>
      <c r="M190" s="315"/>
      <c r="N190" s="315"/>
      <c r="O190" s="315"/>
      <c r="P190" s="315"/>
      <c r="Q190" s="315"/>
      <c r="R190" s="315"/>
      <c r="S190" s="315"/>
      <c r="T190" s="315"/>
      <c r="U190" s="315"/>
      <c r="V190" s="315"/>
      <c r="W190" s="315"/>
      <c r="X190" s="315"/>
      <c r="Y190" s="319" t="n">
        <v>0</v>
      </c>
      <c r="Z190" s="319" t="n">
        <v>2186.83</v>
      </c>
      <c r="AA190" s="319" t="n">
        <v>332.83</v>
      </c>
      <c r="AB190" s="319" t="n">
        <v>832.82</v>
      </c>
      <c r="AC190" s="319" t="n">
        <v>3088.31</v>
      </c>
      <c r="AD190" s="319" t="n">
        <v>1463.31</v>
      </c>
      <c r="AE190" s="319" t="n">
        <v>1433.5</v>
      </c>
      <c r="AF190" s="319" t="n">
        <v>389.78</v>
      </c>
      <c r="AG190" s="319" t="n">
        <v>1076.72</v>
      </c>
      <c r="AH190" s="319" t="n">
        <v>5698.93</v>
      </c>
      <c r="AI190" s="319" t="n">
        <v>1316.06</v>
      </c>
      <c r="AJ190" s="319" t="n">
        <v>389.78</v>
      </c>
    </row>
    <row r="191" customFormat="false" ht="17.35" hidden="false" customHeight="false" outlineLevel="0" collapsed="false">
      <c r="A191" s="308" t="s">
        <v>200</v>
      </c>
      <c r="B191" s="309" t="n">
        <v>306</v>
      </c>
      <c r="C191" s="310"/>
      <c r="D191" s="314" t="str">
        <f aca="false">IFERROR(VLOOKUP(B191,'[1]detailed model'!$a$6:$C$92,3,FALSE()),"NOT CODED/ERROR")</f>
        <v>General Administrative</v>
      </c>
      <c r="E191" s="311"/>
      <c r="F191" s="312" t="e">
        <f aca="false">VLOOKUP(B191,'[1]detailed model'!a173:C251,3,FALSE())</f>
        <v>#NAME?</v>
      </c>
      <c r="G191" s="0" t="s">
        <v>316</v>
      </c>
      <c r="H191" s="315"/>
      <c r="I191" s="315"/>
      <c r="J191" s="315"/>
      <c r="K191" s="315"/>
      <c r="L191" s="315"/>
      <c r="M191" s="315"/>
      <c r="N191" s="315"/>
      <c r="O191" s="315"/>
      <c r="P191" s="315"/>
      <c r="Q191" s="315"/>
      <c r="R191" s="315"/>
      <c r="S191" s="315"/>
      <c r="T191" s="315"/>
      <c r="U191" s="315"/>
      <c r="V191" s="315"/>
      <c r="W191" s="315"/>
      <c r="X191" s="315"/>
      <c r="Y191" s="319" t="n">
        <v>2487.23</v>
      </c>
      <c r="Z191" s="319" t="n">
        <v>1872.28</v>
      </c>
      <c r="AA191" s="319" t="n">
        <v>1437.16</v>
      </c>
      <c r="AB191" s="319" t="n">
        <v>1461.86</v>
      </c>
      <c r="AC191" s="319" t="n">
        <v>3772.41</v>
      </c>
      <c r="AD191" s="319" t="n">
        <v>742.26</v>
      </c>
      <c r="AE191" s="319" t="n">
        <v>2163.79</v>
      </c>
      <c r="AF191" s="319" t="n">
        <v>2113.8</v>
      </c>
      <c r="AG191" s="319" t="n">
        <v>1418.67</v>
      </c>
      <c r="AH191" s="319" t="n">
        <v>157.45</v>
      </c>
      <c r="AI191" s="319" t="n">
        <v>813.47</v>
      </c>
      <c r="AJ191" s="319" t="n">
        <v>2960.62</v>
      </c>
    </row>
    <row r="192" customFormat="false" ht="17.35" hidden="false" customHeight="false" outlineLevel="0" collapsed="false">
      <c r="A192" s="308" t="s">
        <v>200</v>
      </c>
      <c r="B192" s="309" t="n">
        <v>306</v>
      </c>
      <c r="C192" s="310"/>
      <c r="D192" s="314" t="str">
        <f aca="false">IFERROR(VLOOKUP(B192,'[1]detailed model'!$a$6:$C$92,3,FALSE()),"NOT CODED/ERROR")</f>
        <v>General Administrative</v>
      </c>
      <c r="E192" s="311"/>
      <c r="F192" s="312" t="e">
        <f aca="false">VLOOKUP(B192,'[1]detailed model'!a174:C252,3,FALSE())</f>
        <v>#NAME?</v>
      </c>
      <c r="G192" s="0" t="s">
        <v>317</v>
      </c>
      <c r="H192" s="315"/>
      <c r="I192" s="315"/>
      <c r="J192" s="315"/>
      <c r="K192" s="315"/>
      <c r="L192" s="315"/>
      <c r="M192" s="315"/>
      <c r="N192" s="315"/>
      <c r="O192" s="315"/>
      <c r="P192" s="315"/>
      <c r="Q192" s="315"/>
      <c r="R192" s="315"/>
      <c r="S192" s="315"/>
      <c r="T192" s="315"/>
      <c r="U192" s="315"/>
      <c r="V192" s="315"/>
      <c r="W192" s="315"/>
      <c r="X192" s="315"/>
      <c r="Y192" s="319" t="n">
        <v>1037.23</v>
      </c>
      <c r="Z192" s="319" t="n">
        <v>1090.83</v>
      </c>
      <c r="AA192" s="319" t="n">
        <v>1004.45</v>
      </c>
      <c r="AB192" s="319" t="n">
        <v>3949.32</v>
      </c>
      <c r="AC192" s="319" t="n">
        <v>1734.22</v>
      </c>
      <c r="AD192" s="319" t="n">
        <v>2461.68</v>
      </c>
      <c r="AE192" s="319" t="n">
        <v>2290.66</v>
      </c>
      <c r="AF192" s="319" t="n">
        <v>1948.32</v>
      </c>
      <c r="AG192" s="319" t="n">
        <v>628.3</v>
      </c>
      <c r="AH192" s="319" t="n">
        <v>723.78</v>
      </c>
      <c r="AI192" s="319" t="n">
        <v>2293.7</v>
      </c>
      <c r="AJ192" s="319" t="n">
        <v>2685.37</v>
      </c>
    </row>
    <row r="193" customFormat="false" ht="17.35" hidden="false" customHeight="false" outlineLevel="0" collapsed="false">
      <c r="A193" s="308" t="s">
        <v>200</v>
      </c>
      <c r="B193" s="309" t="n">
        <v>306</v>
      </c>
      <c r="C193" s="310"/>
      <c r="D193" s="314" t="str">
        <f aca="false">IFERROR(VLOOKUP(B193,'[1]detailed model'!$a$6:$C$92,3,FALSE()),"NOT CODED/ERROR")</f>
        <v>General Administrative</v>
      </c>
      <c r="E193" s="311"/>
      <c r="F193" s="312" t="e">
        <f aca="false">VLOOKUP(B193,'[1]detailed model'!a175:C253,3,FALSE())</f>
        <v>#NAME?</v>
      </c>
      <c r="G193" s="0" t="s">
        <v>318</v>
      </c>
      <c r="H193" s="315"/>
      <c r="I193" s="315"/>
      <c r="J193" s="315"/>
      <c r="K193" s="315"/>
      <c r="L193" s="315"/>
      <c r="M193" s="315"/>
      <c r="N193" s="315"/>
      <c r="O193" s="315"/>
      <c r="P193" s="315"/>
      <c r="Q193" s="315"/>
      <c r="R193" s="315"/>
      <c r="S193" s="315"/>
      <c r="T193" s="315"/>
      <c r="U193" s="315"/>
      <c r="V193" s="315"/>
      <c r="W193" s="315"/>
      <c r="X193" s="315"/>
      <c r="Y193" s="319" t="n">
        <v>410.95</v>
      </c>
      <c r="Z193" s="319" t="n">
        <v>368.23</v>
      </c>
      <c r="AA193" s="319" t="n">
        <v>456.97</v>
      </c>
      <c r="AB193" s="319" t="n">
        <v>5691.53</v>
      </c>
      <c r="AC193" s="319" t="n">
        <v>3678.09</v>
      </c>
      <c r="AD193" s="319" t="n">
        <v>492.3</v>
      </c>
      <c r="AE193" s="319" t="n">
        <v>276.88</v>
      </c>
      <c r="AF193" s="319" t="n">
        <v>895.49</v>
      </c>
      <c r="AG193" s="319" t="n">
        <v>2604.63</v>
      </c>
      <c r="AH193" s="319" t="n">
        <v>508.13</v>
      </c>
      <c r="AI193" s="319" t="n">
        <v>845.45</v>
      </c>
      <c r="AJ193" s="319" t="n">
        <v>1249.61</v>
      </c>
    </row>
    <row r="194" customFormat="false" ht="17.35" hidden="false" customHeight="false" outlineLevel="0" collapsed="false">
      <c r="A194" s="308" t="s">
        <v>200</v>
      </c>
      <c r="B194" s="309" t="n">
        <v>306</v>
      </c>
      <c r="C194" s="310"/>
      <c r="D194" s="314" t="str">
        <f aca="false">IFERROR(VLOOKUP(B194,'[1]detailed model'!$a$6:$C$92,3,FALSE()),"NOT CODED/ERROR")</f>
        <v>General Administrative</v>
      </c>
      <c r="E194" s="311"/>
      <c r="F194" s="312" t="e">
        <f aca="false">VLOOKUP(B194,'[1]detailed model'!a176:C254,3,FALSE())</f>
        <v>#NAME?</v>
      </c>
      <c r="G194" s="0" t="s">
        <v>319</v>
      </c>
      <c r="H194" s="315"/>
      <c r="I194" s="315"/>
      <c r="J194" s="315"/>
      <c r="K194" s="315"/>
      <c r="L194" s="315"/>
      <c r="M194" s="315"/>
      <c r="N194" s="315"/>
      <c r="O194" s="315"/>
      <c r="P194" s="315"/>
      <c r="Q194" s="315"/>
      <c r="R194" s="315"/>
      <c r="S194" s="315"/>
      <c r="T194" s="315"/>
      <c r="U194" s="315"/>
      <c r="V194" s="315"/>
      <c r="W194" s="315"/>
      <c r="X194" s="315"/>
      <c r="Y194" s="319" t="n">
        <v>0</v>
      </c>
      <c r="Z194" s="319" t="n">
        <v>0</v>
      </c>
      <c r="AA194" s="319" t="n">
        <v>0</v>
      </c>
      <c r="AB194" s="319" t="n">
        <v>190.52</v>
      </c>
      <c r="AC194" s="319" t="n">
        <v>213.64</v>
      </c>
      <c r="AD194" s="319" t="n">
        <v>0</v>
      </c>
      <c r="AE194" s="319" t="n">
        <v>0</v>
      </c>
      <c r="AF194" s="319" t="n">
        <v>111.72</v>
      </c>
      <c r="AG194" s="319" t="n">
        <v>0</v>
      </c>
      <c r="AH194" s="319" t="n">
        <v>0</v>
      </c>
      <c r="AI194" s="319" t="n">
        <v>0</v>
      </c>
      <c r="AJ194" s="319" t="n">
        <v>0</v>
      </c>
    </row>
    <row r="195" customFormat="false" ht="17.35" hidden="false" customHeight="false" outlineLevel="0" collapsed="false">
      <c r="A195" s="308" t="s">
        <v>200</v>
      </c>
      <c r="B195" s="309" t="n">
        <v>306</v>
      </c>
      <c r="C195" s="310"/>
      <c r="D195" s="314" t="str">
        <f aca="false">IFERROR(VLOOKUP(B195,'[1]detailed model'!$a$6:$C$92,3,FALSE()),"NOT CODED/ERROR")</f>
        <v>General Administrative</v>
      </c>
      <c r="E195" s="311"/>
      <c r="F195" s="312" t="e">
        <f aca="false">VLOOKUP(B195,'[1]detailed model'!a177:C255,3,FALSE())</f>
        <v>#NAME?</v>
      </c>
      <c r="G195" s="0" t="s">
        <v>320</v>
      </c>
      <c r="H195" s="315"/>
      <c r="I195" s="315"/>
      <c r="J195" s="315"/>
      <c r="K195" s="315"/>
      <c r="L195" s="315"/>
      <c r="M195" s="315"/>
      <c r="N195" s="315"/>
      <c r="O195" s="315"/>
      <c r="P195" s="315"/>
      <c r="Q195" s="315"/>
      <c r="R195" s="315"/>
      <c r="S195" s="315"/>
      <c r="T195" s="315"/>
      <c r="U195" s="315"/>
      <c r="V195" s="315"/>
      <c r="W195" s="315"/>
      <c r="X195" s="315"/>
      <c r="Y195" s="319" t="n">
        <v>437.94</v>
      </c>
      <c r="Z195" s="319" t="n">
        <v>-324.94</v>
      </c>
      <c r="AA195" s="319" t="n">
        <v>183</v>
      </c>
      <c r="AB195" s="319" t="n">
        <v>149</v>
      </c>
      <c r="AC195" s="319" t="n">
        <v>1538.09</v>
      </c>
      <c r="AD195" s="319" t="n">
        <v>2140.88</v>
      </c>
      <c r="AE195" s="319" t="n">
        <v>392.88</v>
      </c>
      <c r="AF195" s="319" t="n">
        <v>825</v>
      </c>
      <c r="AG195" s="319" t="n">
        <v>2015</v>
      </c>
      <c r="AH195" s="319" t="n">
        <v>1114.66</v>
      </c>
      <c r="AI195" s="319" t="n">
        <v>268.89</v>
      </c>
      <c r="AJ195" s="319" t="n">
        <v>572.37</v>
      </c>
    </row>
    <row r="196" customFormat="false" ht="17.35" hidden="false" customHeight="false" outlineLevel="0" collapsed="false">
      <c r="A196" s="308" t="s">
        <v>200</v>
      </c>
      <c r="B196" s="309" t="n">
        <v>306</v>
      </c>
      <c r="C196" s="310"/>
      <c r="D196" s="314" t="str">
        <f aca="false">IFERROR(VLOOKUP(B196,'[1]detailed model'!$a$6:$C$92,3,FALSE()),"NOT CODED/ERROR")</f>
        <v>General Administrative</v>
      </c>
      <c r="E196" s="311"/>
      <c r="F196" s="312" t="e">
        <f aca="false">VLOOKUP(B196,'[1]detailed model'!a178:C256,3,FALSE())</f>
        <v>#NAME?</v>
      </c>
      <c r="G196" s="0" t="s">
        <v>321</v>
      </c>
      <c r="H196" s="315"/>
      <c r="I196" s="315"/>
      <c r="J196" s="315"/>
      <c r="K196" s="315"/>
      <c r="L196" s="315"/>
      <c r="M196" s="315"/>
      <c r="N196" s="315"/>
      <c r="O196" s="315"/>
      <c r="P196" s="315"/>
      <c r="Q196" s="315"/>
      <c r="R196" s="315"/>
      <c r="S196" s="315"/>
      <c r="T196" s="315"/>
      <c r="U196" s="315"/>
      <c r="V196" s="315"/>
      <c r="W196" s="315"/>
      <c r="X196" s="315"/>
      <c r="Y196" s="319" t="n">
        <v>1181.6</v>
      </c>
      <c r="Z196" s="319" t="n">
        <v>1191.76</v>
      </c>
      <c r="AA196" s="319" t="n">
        <v>1166.76</v>
      </c>
      <c r="AB196" s="319" t="n">
        <v>1323.32</v>
      </c>
      <c r="AC196" s="319" t="n">
        <v>1166.76</v>
      </c>
      <c r="AD196" s="319" t="n">
        <v>1166.76</v>
      </c>
      <c r="AE196" s="319" t="n">
        <v>1166.76</v>
      </c>
      <c r="AF196" s="319" t="n">
        <v>1166.76</v>
      </c>
      <c r="AG196" s="319" t="n">
        <v>1166.76</v>
      </c>
      <c r="AH196" s="319" t="n">
        <v>1174.8</v>
      </c>
      <c r="AI196" s="319" t="n">
        <v>1174.8</v>
      </c>
      <c r="AJ196" s="319" t="n">
        <v>1174.8</v>
      </c>
    </row>
    <row r="197" customFormat="false" ht="17.35" hidden="false" customHeight="false" outlineLevel="0" collapsed="false">
      <c r="A197" s="308" t="s">
        <v>200</v>
      </c>
      <c r="B197" s="309" t="n">
        <v>306</v>
      </c>
      <c r="C197" s="310"/>
      <c r="D197" s="314" t="str">
        <f aca="false">IFERROR(VLOOKUP(B197,'[1]detailed model'!$a$6:$C$92,3,FALSE()),"NOT CODED/ERROR")</f>
        <v>General Administrative</v>
      </c>
      <c r="E197" s="311"/>
      <c r="F197" s="312" t="e">
        <f aca="false">VLOOKUP(B197,'[1]detailed model'!a179:C257,3,FALSE())</f>
        <v>#NAME?</v>
      </c>
      <c r="G197" s="0" t="s">
        <v>322</v>
      </c>
      <c r="H197" s="315"/>
      <c r="I197" s="315"/>
      <c r="J197" s="315"/>
      <c r="K197" s="315"/>
      <c r="L197" s="315"/>
      <c r="M197" s="315"/>
      <c r="N197" s="315"/>
      <c r="O197" s="315"/>
      <c r="P197" s="315"/>
      <c r="Q197" s="315"/>
      <c r="R197" s="315"/>
      <c r="S197" s="315"/>
      <c r="T197" s="315"/>
      <c r="U197" s="315"/>
      <c r="V197" s="315"/>
      <c r="W197" s="315"/>
      <c r="X197" s="315"/>
      <c r="Y197" s="319" t="n">
        <v>405.91</v>
      </c>
      <c r="Z197" s="319" t="n">
        <v>1464.36</v>
      </c>
      <c r="AA197" s="319" t="n">
        <v>771.69</v>
      </c>
      <c r="AB197" s="319" t="n">
        <v>1781.47</v>
      </c>
      <c r="AC197" s="319" t="n">
        <v>346.5</v>
      </c>
      <c r="AD197" s="319" t="n">
        <v>372.67</v>
      </c>
      <c r="AE197" s="319" t="n">
        <v>2220.54</v>
      </c>
      <c r="AF197" s="319" t="n">
        <v>372.67</v>
      </c>
      <c r="AG197" s="319" t="n">
        <v>445.05</v>
      </c>
      <c r="AH197" s="319" t="n">
        <v>382</v>
      </c>
      <c r="AI197" s="319" t="n">
        <v>333</v>
      </c>
      <c r="AJ197" s="319" t="n">
        <v>1005.75</v>
      </c>
    </row>
    <row r="198" customFormat="false" ht="17.35" hidden="false" customHeight="false" outlineLevel="0" collapsed="false">
      <c r="A198" s="308" t="s">
        <v>200</v>
      </c>
      <c r="B198" s="309" t="n">
        <v>306</v>
      </c>
      <c r="C198" s="310"/>
      <c r="D198" s="314" t="str">
        <f aca="false">IFERROR(VLOOKUP(B198,'[1]detailed model'!$a$6:$C$92,3,FALSE()),"NOT CODED/ERROR")</f>
        <v>General Administrative</v>
      </c>
      <c r="E198" s="311"/>
      <c r="F198" s="312" t="e">
        <f aca="false">VLOOKUP(B198,'[1]detailed model'!a180:C258,3,FALSE())</f>
        <v>#NAME?</v>
      </c>
      <c r="G198" s="0" t="s">
        <v>323</v>
      </c>
      <c r="H198" s="315"/>
      <c r="I198" s="315"/>
      <c r="J198" s="315"/>
      <c r="K198" s="315"/>
      <c r="L198" s="315"/>
      <c r="M198" s="315"/>
      <c r="N198" s="315"/>
      <c r="O198" s="315"/>
      <c r="P198" s="315"/>
      <c r="Q198" s="315"/>
      <c r="R198" s="315"/>
      <c r="S198" s="315"/>
      <c r="T198" s="315"/>
      <c r="U198" s="315"/>
      <c r="V198" s="315"/>
      <c r="W198" s="315"/>
      <c r="X198" s="315"/>
      <c r="Y198" s="319" t="n">
        <v>46.88</v>
      </c>
      <c r="Z198" s="319" t="n">
        <v>93.76</v>
      </c>
      <c r="AA198" s="319" t="n">
        <v>72.34</v>
      </c>
      <c r="AB198" s="319" t="n">
        <v>641.65</v>
      </c>
      <c r="AC198" s="319" t="n">
        <v>377.53</v>
      </c>
      <c r="AD198" s="319" t="n">
        <v>496.46</v>
      </c>
      <c r="AE198" s="319" t="n">
        <v>0</v>
      </c>
      <c r="AF198" s="319" t="n">
        <v>0</v>
      </c>
      <c r="AG198" s="319" t="n">
        <v>30.32</v>
      </c>
      <c r="AH198" s="319" t="n">
        <v>28.91</v>
      </c>
      <c r="AI198" s="319" t="n">
        <v>0</v>
      </c>
      <c r="AJ198" s="319" t="n">
        <v>0</v>
      </c>
    </row>
    <row r="199" customFormat="false" ht="17.35" hidden="false" customHeight="false" outlineLevel="0" collapsed="false">
      <c r="A199" s="308" t="s">
        <v>200</v>
      </c>
      <c r="B199" s="309" t="n">
        <v>306</v>
      </c>
      <c r="C199" s="310"/>
      <c r="D199" s="314" t="str">
        <f aca="false">IFERROR(VLOOKUP(B199,'[1]detailed model'!$a$6:$C$92,3,FALSE()),"NOT CODED/ERROR")</f>
        <v>General Administrative</v>
      </c>
      <c r="E199" s="311"/>
      <c r="F199" s="312" t="e">
        <f aca="false">VLOOKUP(B199,'[1]detailed model'!a181:C259,3,FALSE())</f>
        <v>#NAME?</v>
      </c>
      <c r="G199" s="0" t="s">
        <v>324</v>
      </c>
      <c r="H199" s="315"/>
      <c r="I199" s="315"/>
      <c r="J199" s="315"/>
      <c r="K199" s="315"/>
      <c r="L199" s="315"/>
      <c r="M199" s="315"/>
      <c r="N199" s="315"/>
      <c r="O199" s="315"/>
      <c r="P199" s="315"/>
      <c r="Q199" s="315"/>
      <c r="R199" s="315"/>
      <c r="S199" s="315"/>
      <c r="T199" s="315"/>
      <c r="U199" s="315"/>
      <c r="V199" s="315"/>
      <c r="W199" s="315"/>
      <c r="X199" s="315"/>
      <c r="Y199" s="319" t="n">
        <v>2753.96</v>
      </c>
      <c r="Z199" s="319" t="n">
        <v>2403.96</v>
      </c>
      <c r="AA199" s="319" t="n">
        <v>3332.91</v>
      </c>
      <c r="AB199" s="319" t="n">
        <v>2948.96</v>
      </c>
      <c r="AC199" s="319" t="n">
        <v>2824.16</v>
      </c>
      <c r="AD199" s="319" t="n">
        <v>2498.41</v>
      </c>
      <c r="AE199" s="319" t="n">
        <v>3113.06</v>
      </c>
      <c r="AF199" s="319" t="n">
        <v>2069.99</v>
      </c>
      <c r="AG199" s="319" t="n">
        <v>1561.19</v>
      </c>
      <c r="AH199" s="319" t="n">
        <v>3032.27</v>
      </c>
      <c r="AI199" s="319" t="n">
        <v>3361.05</v>
      </c>
      <c r="AJ199" s="319" t="n">
        <v>2457.75</v>
      </c>
    </row>
    <row r="200" customFormat="false" ht="17.35" hidden="false" customHeight="false" outlineLevel="0" collapsed="false">
      <c r="A200" s="308" t="s">
        <v>200</v>
      </c>
      <c r="B200" s="309" t="n">
        <v>306</v>
      </c>
      <c r="C200" s="310"/>
      <c r="D200" s="314" t="str">
        <f aca="false">IFERROR(VLOOKUP(B200,'[1]detailed model'!$a$6:$C$92,3,FALSE()),"NOT CODED/ERROR")</f>
        <v>General Administrative</v>
      </c>
      <c r="E200" s="311"/>
      <c r="F200" s="312" t="e">
        <f aca="false">VLOOKUP(B200,'[1]detailed model'!a182:C260,3,FALSE())</f>
        <v>#NAME?</v>
      </c>
      <c r="G200" s="0" t="s">
        <v>325</v>
      </c>
      <c r="H200" s="315"/>
      <c r="I200" s="315"/>
      <c r="J200" s="315"/>
      <c r="K200" s="315"/>
      <c r="L200" s="315"/>
      <c r="M200" s="315"/>
      <c r="N200" s="315"/>
      <c r="O200" s="315"/>
      <c r="P200" s="315"/>
      <c r="Q200" s="315"/>
      <c r="R200" s="315"/>
      <c r="S200" s="315"/>
      <c r="T200" s="315"/>
      <c r="U200" s="315"/>
      <c r="V200" s="315"/>
      <c r="W200" s="315"/>
      <c r="X200" s="315"/>
      <c r="Y200" s="319" t="n">
        <v>1866</v>
      </c>
      <c r="Z200" s="319" t="n">
        <v>1622</v>
      </c>
      <c r="AA200" s="319" t="n">
        <v>1370</v>
      </c>
      <c r="AB200" s="319" t="n">
        <v>1479</v>
      </c>
      <c r="AC200" s="319" t="n">
        <v>444</v>
      </c>
      <c r="AD200" s="319" t="n">
        <v>408</v>
      </c>
      <c r="AE200" s="319" t="n">
        <v>706</v>
      </c>
      <c r="AF200" s="319" t="n">
        <v>2037</v>
      </c>
      <c r="AG200" s="319" t="n">
        <v>714</v>
      </c>
      <c r="AH200" s="319" t="n">
        <v>372</v>
      </c>
      <c r="AI200" s="319" t="n">
        <v>678</v>
      </c>
      <c r="AJ200" s="319" t="n">
        <v>704</v>
      </c>
    </row>
    <row r="201" customFormat="false" ht="17.35" hidden="false" customHeight="false" outlineLevel="0" collapsed="false">
      <c r="A201" s="308" t="s">
        <v>200</v>
      </c>
      <c r="B201" s="309" t="n">
        <v>306</v>
      </c>
      <c r="C201" s="310"/>
      <c r="D201" s="314" t="str">
        <f aca="false">IFERROR(VLOOKUP(B201,'[1]detailed model'!$a$6:$C$92,3,FALSE()),"NOT CODED/ERROR")</f>
        <v>General Administrative</v>
      </c>
      <c r="E201" s="311"/>
      <c r="F201" s="312" t="e">
        <f aca="false">VLOOKUP(B201,'[1]detailed model'!a183:C261,3,FALSE())</f>
        <v>#NAME?</v>
      </c>
      <c r="G201" s="0" t="s">
        <v>326</v>
      </c>
      <c r="H201" s="315"/>
      <c r="I201" s="315"/>
      <c r="J201" s="315"/>
      <c r="K201" s="315"/>
      <c r="L201" s="315"/>
      <c r="M201" s="315"/>
      <c r="N201" s="315"/>
      <c r="O201" s="315"/>
      <c r="P201" s="315"/>
      <c r="Q201" s="315"/>
      <c r="R201" s="315"/>
      <c r="S201" s="315"/>
      <c r="T201" s="315"/>
      <c r="U201" s="315"/>
      <c r="V201" s="315"/>
      <c r="W201" s="315"/>
      <c r="X201" s="315"/>
      <c r="Y201" s="319" t="n">
        <v>526.75</v>
      </c>
      <c r="Z201" s="319" t="n">
        <v>425.03</v>
      </c>
      <c r="AA201" s="319" t="n">
        <v>289.62</v>
      </c>
      <c r="AB201" s="319" t="n">
        <v>895.41</v>
      </c>
      <c r="AC201" s="319" t="n">
        <v>527.42</v>
      </c>
      <c r="AD201" s="319" t="n">
        <v>1200.41</v>
      </c>
      <c r="AE201" s="319" t="n">
        <v>1066.28</v>
      </c>
      <c r="AF201" s="319" t="n">
        <v>335.68</v>
      </c>
      <c r="AG201" s="319" t="n">
        <v>299.01</v>
      </c>
      <c r="AH201" s="319" t="n">
        <v>393.76</v>
      </c>
      <c r="AI201" s="319" t="n">
        <v>420.15</v>
      </c>
      <c r="AJ201" s="319" t="n">
        <v>0</v>
      </c>
    </row>
    <row r="202" customFormat="false" ht="17.35" hidden="false" customHeight="false" outlineLevel="0" collapsed="false">
      <c r="A202" s="308" t="s">
        <v>200</v>
      </c>
      <c r="B202" s="309" t="n">
        <v>306</v>
      </c>
      <c r="C202" s="310"/>
      <c r="D202" s="314" t="str">
        <f aca="false">IFERROR(VLOOKUP(B202,'[1]detailed model'!$a$6:$C$92,3,FALSE()),"NOT CODED/ERROR")</f>
        <v>General Administrative</v>
      </c>
      <c r="E202" s="311"/>
      <c r="F202" s="312" t="e">
        <f aca="false">VLOOKUP(B202,'[1]detailed model'!a184:C262,3,FALSE())</f>
        <v>#NAME?</v>
      </c>
      <c r="G202" s="0" t="s">
        <v>327</v>
      </c>
      <c r="H202" s="315"/>
      <c r="I202" s="315"/>
      <c r="J202" s="315"/>
      <c r="K202" s="315"/>
      <c r="L202" s="315"/>
      <c r="M202" s="315"/>
      <c r="N202" s="315"/>
      <c r="O202" s="315"/>
      <c r="P202" s="315"/>
      <c r="Q202" s="315"/>
      <c r="R202" s="315"/>
      <c r="S202" s="315"/>
      <c r="T202" s="315"/>
      <c r="U202" s="315"/>
      <c r="V202" s="315"/>
      <c r="W202" s="315"/>
      <c r="X202" s="315"/>
      <c r="Y202" s="319" t="n">
        <v>98.56</v>
      </c>
      <c r="Z202" s="319" t="n">
        <v>98.56</v>
      </c>
      <c r="AA202" s="319" t="n">
        <v>123.2</v>
      </c>
      <c r="AB202" s="319" t="n">
        <v>98.56</v>
      </c>
      <c r="AC202" s="319" t="n">
        <v>98.56</v>
      </c>
      <c r="AD202" s="319" t="n">
        <v>98.56</v>
      </c>
      <c r="AE202" s="319" t="n">
        <v>0</v>
      </c>
      <c r="AF202" s="319" t="n">
        <v>53.48</v>
      </c>
      <c r="AG202" s="319" t="n">
        <v>73.92</v>
      </c>
      <c r="AH202" s="319" t="n">
        <v>98.56</v>
      </c>
      <c r="AI202" s="319" t="n">
        <v>73.92</v>
      </c>
      <c r="AJ202" s="319" t="n">
        <v>123.2</v>
      </c>
    </row>
    <row r="203" customFormat="false" ht="17.35" hidden="false" customHeight="false" outlineLevel="0" collapsed="false">
      <c r="A203" s="308" t="s">
        <v>200</v>
      </c>
      <c r="B203" s="309" t="n">
        <v>306</v>
      </c>
      <c r="C203" s="310"/>
      <c r="D203" s="314" t="str">
        <f aca="false">IFERROR(VLOOKUP(B203,'[1]detailed model'!$a$6:$C$92,3,FALSE()),"NOT CODED/ERROR")</f>
        <v>General Administrative</v>
      </c>
      <c r="E203" s="311"/>
      <c r="F203" s="312" t="e">
        <f aca="false">VLOOKUP(B203,'[1]detailed model'!a185:C263,3,FALSE())</f>
        <v>#NAME?</v>
      </c>
      <c r="G203" s="0" t="s">
        <v>328</v>
      </c>
      <c r="H203" s="315"/>
      <c r="I203" s="315"/>
      <c r="J203" s="315"/>
      <c r="K203" s="315"/>
      <c r="L203" s="315"/>
      <c r="M203" s="315"/>
      <c r="N203" s="315"/>
      <c r="O203" s="315"/>
      <c r="P203" s="315"/>
      <c r="Q203" s="315"/>
      <c r="R203" s="315"/>
      <c r="S203" s="315"/>
      <c r="T203" s="315"/>
      <c r="U203" s="315"/>
      <c r="V203" s="315"/>
      <c r="W203" s="315"/>
      <c r="X203" s="315"/>
      <c r="Y203" s="319" t="n">
        <v>12375.95</v>
      </c>
      <c r="Z203" s="319" t="n">
        <v>11053.78</v>
      </c>
      <c r="AA203" s="319" t="n">
        <v>10213.26</v>
      </c>
      <c r="AB203" s="319" t="n">
        <v>10353.7</v>
      </c>
      <c r="AC203" s="319" t="n">
        <v>9416.54</v>
      </c>
      <c r="AD203" s="319" t="n">
        <v>9102.01</v>
      </c>
      <c r="AE203" s="319" t="n">
        <v>11122.59</v>
      </c>
      <c r="AF203" s="319" t="n">
        <v>9380.97</v>
      </c>
      <c r="AG203" s="319" t="n">
        <v>10754.76</v>
      </c>
      <c r="AH203" s="319" t="n">
        <v>10929.21</v>
      </c>
      <c r="AI203" s="319" t="n">
        <v>10860.63</v>
      </c>
      <c r="AJ203" s="319" t="n">
        <v>10292.98</v>
      </c>
    </row>
    <row r="204" customFormat="false" ht="17.35" hidden="false" customHeight="false" outlineLevel="0" collapsed="false">
      <c r="A204" s="308" t="s">
        <v>200</v>
      </c>
      <c r="B204" s="309" t="n">
        <v>306</v>
      </c>
      <c r="C204" s="310"/>
      <c r="D204" s="314" t="str">
        <f aca="false">IFERROR(VLOOKUP(B204,'[1]detailed model'!$a$6:$C$92,3,FALSE()),"NOT CODED/ERROR")</f>
        <v>General Administrative</v>
      </c>
      <c r="E204" s="311"/>
      <c r="F204" s="312" t="e">
        <f aca="false">VLOOKUP(B204,'[1]detailed model'!a186:C264,3,FALSE())</f>
        <v>#NAME?</v>
      </c>
      <c r="G204" s="0" t="s">
        <v>329</v>
      </c>
      <c r="H204" s="315"/>
      <c r="I204" s="315"/>
      <c r="J204" s="315"/>
      <c r="K204" s="315"/>
      <c r="L204" s="315"/>
      <c r="M204" s="315"/>
      <c r="N204" s="315"/>
      <c r="O204" s="315"/>
      <c r="P204" s="315"/>
      <c r="Q204" s="315"/>
      <c r="R204" s="315"/>
      <c r="S204" s="315"/>
      <c r="T204" s="315"/>
      <c r="U204" s="315"/>
      <c r="V204" s="315"/>
      <c r="W204" s="315"/>
      <c r="X204" s="315"/>
      <c r="Y204" s="319" t="n">
        <v>166.7</v>
      </c>
      <c r="Z204" s="319" t="n">
        <v>72.95</v>
      </c>
      <c r="AA204" s="319" t="n">
        <v>0</v>
      </c>
      <c r="AB204" s="319" t="n">
        <v>0</v>
      </c>
      <c r="AC204" s="319" t="n">
        <v>0</v>
      </c>
      <c r="AD204" s="319" t="n">
        <v>0</v>
      </c>
      <c r="AE204" s="319" t="n">
        <v>0</v>
      </c>
      <c r="AF204" s="319" t="n">
        <v>0</v>
      </c>
      <c r="AG204" s="319" t="n">
        <v>0</v>
      </c>
      <c r="AH204" s="319" t="n">
        <v>0</v>
      </c>
      <c r="AI204" s="319" t="n">
        <v>0</v>
      </c>
      <c r="AJ204" s="319" t="n">
        <v>0</v>
      </c>
    </row>
    <row r="205" customFormat="false" ht="17.35" hidden="false" customHeight="false" outlineLevel="0" collapsed="false">
      <c r="A205" s="308" t="s">
        <v>200</v>
      </c>
      <c r="B205" s="309" t="n">
        <v>306</v>
      </c>
      <c r="C205" s="310"/>
      <c r="D205" s="314" t="str">
        <f aca="false">IFERROR(VLOOKUP(B205,'[1]detailed model'!$a$6:$C$92,3,FALSE()),"NOT CODED/ERROR")</f>
        <v>General Administrative</v>
      </c>
      <c r="E205" s="311"/>
      <c r="F205" s="312" t="e">
        <f aca="false">VLOOKUP(B205,'[1]detailed model'!a187:C265,3,FALSE())</f>
        <v>#NAME?</v>
      </c>
      <c r="G205" s="0" t="s">
        <v>330</v>
      </c>
      <c r="H205" s="315"/>
      <c r="I205" s="315"/>
      <c r="J205" s="315"/>
      <c r="K205" s="315"/>
      <c r="L205" s="315"/>
      <c r="M205" s="315"/>
      <c r="N205" s="315"/>
      <c r="O205" s="315"/>
      <c r="P205" s="315"/>
      <c r="Q205" s="315"/>
      <c r="R205" s="315"/>
      <c r="S205" s="315"/>
      <c r="T205" s="315"/>
      <c r="U205" s="315"/>
      <c r="V205" s="315"/>
      <c r="W205" s="315"/>
      <c r="X205" s="315"/>
      <c r="Y205" s="319" t="n">
        <v>112.66</v>
      </c>
      <c r="Z205" s="319" t="n">
        <v>0</v>
      </c>
      <c r="AA205" s="319" t="n">
        <v>0</v>
      </c>
      <c r="AB205" s="319" t="n">
        <v>-112.66</v>
      </c>
      <c r="AC205" s="319" t="n">
        <v>0</v>
      </c>
      <c r="AD205" s="319" t="n">
        <v>0</v>
      </c>
      <c r="AE205" s="319" t="n">
        <v>0</v>
      </c>
      <c r="AF205" s="319" t="n">
        <v>0</v>
      </c>
      <c r="AG205" s="319" t="n">
        <v>0</v>
      </c>
      <c r="AH205" s="319" t="n">
        <v>0</v>
      </c>
      <c r="AI205" s="319" t="n">
        <v>0</v>
      </c>
      <c r="AJ205" s="319" t="n">
        <v>0</v>
      </c>
    </row>
    <row r="206" customFormat="false" ht="17.35" hidden="false" customHeight="false" outlineLevel="0" collapsed="false">
      <c r="A206" s="308" t="s">
        <v>200</v>
      </c>
      <c r="B206" s="309" t="n">
        <v>306</v>
      </c>
      <c r="C206" s="310"/>
      <c r="D206" s="314" t="str">
        <f aca="false">IFERROR(VLOOKUP(B206,'[1]detailed model'!$a$6:$C$92,3,FALSE()),"NOT CODED/ERROR")</f>
        <v>General Administrative</v>
      </c>
      <c r="E206" s="311"/>
      <c r="F206" s="312" t="e">
        <f aca="false">VLOOKUP(B206,'[1]detailed model'!a188:C266,3,FALSE())</f>
        <v>#NAME?</v>
      </c>
      <c r="G206" s="0" t="s">
        <v>331</v>
      </c>
      <c r="H206" s="315"/>
      <c r="I206" s="315"/>
      <c r="J206" s="315"/>
      <c r="K206" s="315"/>
      <c r="L206" s="315"/>
      <c r="M206" s="315"/>
      <c r="N206" s="315"/>
      <c r="O206" s="315"/>
      <c r="P206" s="315"/>
      <c r="Q206" s="315"/>
      <c r="R206" s="315"/>
      <c r="S206" s="315"/>
      <c r="T206" s="315"/>
      <c r="U206" s="315"/>
      <c r="V206" s="315"/>
      <c r="W206" s="315"/>
      <c r="X206" s="315"/>
      <c r="Y206" s="319" t="n">
        <v>1071.54</v>
      </c>
      <c r="Z206" s="319" t="n">
        <v>373.5</v>
      </c>
      <c r="AA206" s="319" t="n">
        <v>1600.82</v>
      </c>
      <c r="AB206" s="319" t="n">
        <v>1406.21</v>
      </c>
      <c r="AC206" s="319" t="n">
        <v>1211.7</v>
      </c>
      <c r="AD206" s="319" t="n">
        <v>884.04</v>
      </c>
      <c r="AE206" s="319" t="n">
        <v>1107.05</v>
      </c>
      <c r="AF206" s="319" t="n">
        <v>1153.66</v>
      </c>
      <c r="AG206" s="319" t="n">
        <v>761.86</v>
      </c>
      <c r="AH206" s="319" t="n">
        <v>1010.87</v>
      </c>
      <c r="AI206" s="319" t="n">
        <v>2165.86</v>
      </c>
      <c r="AJ206" s="319" t="n">
        <v>1066.24</v>
      </c>
    </row>
    <row r="207" customFormat="false" ht="17.35" hidden="false" customHeight="false" outlineLevel="0" collapsed="false">
      <c r="A207" s="308" t="s">
        <v>200</v>
      </c>
      <c r="B207" s="309" t="n">
        <v>306</v>
      </c>
      <c r="C207" s="310"/>
      <c r="D207" s="314" t="str">
        <f aca="false">IFERROR(VLOOKUP(B207,'[1]detailed model'!$a$6:$C$92,3,FALSE()),"NOT CODED/ERROR")</f>
        <v>General Administrative</v>
      </c>
      <c r="E207" s="311"/>
      <c r="F207" s="312" t="e">
        <f aca="false">VLOOKUP(B207,'[1]detailed model'!a189:C267,3,FALSE())</f>
        <v>#NAME?</v>
      </c>
      <c r="G207" s="0" t="s">
        <v>332</v>
      </c>
      <c r="H207" s="315"/>
      <c r="I207" s="315"/>
      <c r="J207" s="315"/>
      <c r="K207" s="315"/>
      <c r="L207" s="315"/>
      <c r="M207" s="315"/>
      <c r="N207" s="315"/>
      <c r="O207" s="315"/>
      <c r="P207" s="315"/>
      <c r="Q207" s="315"/>
      <c r="R207" s="315"/>
      <c r="S207" s="315"/>
      <c r="T207" s="315"/>
      <c r="U207" s="315"/>
      <c r="V207" s="315"/>
      <c r="W207" s="315"/>
      <c r="X207" s="315"/>
      <c r="Y207" s="319" t="n">
        <v>497.1</v>
      </c>
      <c r="Z207" s="319" t="n">
        <v>-2122.56</v>
      </c>
      <c r="AA207" s="319" t="n">
        <v>754</v>
      </c>
      <c r="AB207" s="319" t="n">
        <v>400.25</v>
      </c>
      <c r="AC207" s="319" t="n">
        <v>483</v>
      </c>
      <c r="AD207" s="319" t="n">
        <v>219.16</v>
      </c>
      <c r="AE207" s="319" t="n">
        <v>164.61</v>
      </c>
      <c r="AF207" s="319" t="n">
        <v>134.31</v>
      </c>
      <c r="AG207" s="319" t="n">
        <v>339.84</v>
      </c>
      <c r="AH207" s="319" t="n">
        <v>229.21</v>
      </c>
      <c r="AI207" s="319" t="n">
        <v>271.65</v>
      </c>
      <c r="AJ207" s="319" t="n">
        <v>321.31</v>
      </c>
    </row>
    <row r="208" customFormat="false" ht="17.35" hidden="false" customHeight="false" outlineLevel="0" collapsed="false">
      <c r="A208" s="308" t="s">
        <v>200</v>
      </c>
      <c r="B208" s="309" t="n">
        <v>306</v>
      </c>
      <c r="C208" s="310"/>
      <c r="D208" s="314" t="str">
        <f aca="false">IFERROR(VLOOKUP(B208,'[1]detailed model'!$a$6:$C$92,3,FALSE()),"NOT CODED/ERROR")</f>
        <v>General Administrative</v>
      </c>
      <c r="E208" s="311"/>
      <c r="F208" s="312" t="e">
        <f aca="false">VLOOKUP(B208,'[1]detailed model'!a190:C268,3,FALSE())</f>
        <v>#NAME?</v>
      </c>
      <c r="G208" s="0" t="s">
        <v>333</v>
      </c>
      <c r="H208" s="315"/>
      <c r="I208" s="315"/>
      <c r="J208" s="315"/>
      <c r="K208" s="315"/>
      <c r="L208" s="315"/>
      <c r="M208" s="315"/>
      <c r="N208" s="315"/>
      <c r="O208" s="315"/>
      <c r="P208" s="315"/>
      <c r="Q208" s="315"/>
      <c r="R208" s="315"/>
      <c r="S208" s="315"/>
      <c r="T208" s="315"/>
      <c r="U208" s="315"/>
      <c r="V208" s="315"/>
      <c r="W208" s="315"/>
      <c r="X208" s="315"/>
      <c r="Y208" s="319" t="n">
        <v>140</v>
      </c>
      <c r="Z208" s="319" t="n">
        <v>20.84</v>
      </c>
      <c r="AA208" s="319" t="n">
        <v>145</v>
      </c>
      <c r="AB208" s="319" t="n">
        <v>140</v>
      </c>
      <c r="AC208" s="319" t="n">
        <v>325.89</v>
      </c>
      <c r="AD208" s="319" t="n">
        <v>140</v>
      </c>
      <c r="AE208" s="319" t="n">
        <v>307.5</v>
      </c>
      <c r="AF208" s="319" t="n">
        <v>0</v>
      </c>
      <c r="AG208" s="319" t="n">
        <v>195</v>
      </c>
      <c r="AH208" s="319" t="n">
        <v>0</v>
      </c>
      <c r="AI208" s="319" t="n">
        <v>0</v>
      </c>
      <c r="AJ208" s="319" t="n">
        <v>2805.5</v>
      </c>
    </row>
    <row r="209" customFormat="false" ht="17.35" hidden="false" customHeight="false" outlineLevel="0" collapsed="false">
      <c r="A209" s="308" t="s">
        <v>200</v>
      </c>
      <c r="B209" s="309" t="n">
        <v>306</v>
      </c>
      <c r="C209" s="310"/>
      <c r="D209" s="314" t="str">
        <f aca="false">IFERROR(VLOOKUP(B209,'[1]detailed model'!$a$6:$C$92,3,FALSE()),"NOT CODED/ERROR")</f>
        <v>General Administrative</v>
      </c>
      <c r="E209" s="311"/>
      <c r="F209" s="312" t="e">
        <f aca="false">VLOOKUP(B209,'[1]detailed model'!a191:C269,3,FALSE())</f>
        <v>#NAME?</v>
      </c>
      <c r="G209" s="0" t="s">
        <v>334</v>
      </c>
      <c r="H209" s="315"/>
      <c r="I209" s="315"/>
      <c r="J209" s="315"/>
      <c r="K209" s="315"/>
      <c r="L209" s="315"/>
      <c r="M209" s="315"/>
      <c r="N209" s="315"/>
      <c r="O209" s="315"/>
      <c r="P209" s="315"/>
      <c r="Q209" s="315"/>
      <c r="R209" s="315"/>
      <c r="S209" s="315"/>
      <c r="T209" s="315"/>
      <c r="U209" s="315"/>
      <c r="V209" s="315"/>
      <c r="W209" s="315"/>
      <c r="X209" s="315"/>
      <c r="Y209" s="319" t="n">
        <v>6472.7</v>
      </c>
      <c r="Z209" s="319" t="n">
        <v>16662.81</v>
      </c>
      <c r="AA209" s="319" t="n">
        <v>18782.16</v>
      </c>
      <c r="AB209" s="319" t="n">
        <v>13336.95</v>
      </c>
      <c r="AC209" s="319" t="n">
        <v>4034.46</v>
      </c>
      <c r="AD209" s="319" t="n">
        <v>16117.85</v>
      </c>
      <c r="AE209" s="319" t="n">
        <v>15983.39</v>
      </c>
      <c r="AF209" s="319" t="n">
        <v>14425.22</v>
      </c>
      <c r="AG209" s="319" t="n">
        <v>1361.05</v>
      </c>
      <c r="AH209" s="319" t="n">
        <v>6610.73</v>
      </c>
      <c r="AI209" s="319" t="n">
        <v>1933.31</v>
      </c>
      <c r="AJ209" s="319" t="n">
        <v>295.63</v>
      </c>
    </row>
    <row r="210" customFormat="false" ht="17.35" hidden="false" customHeight="false" outlineLevel="0" collapsed="false">
      <c r="A210" s="308" t="s">
        <v>200</v>
      </c>
      <c r="B210" s="309" t="n">
        <v>306</v>
      </c>
      <c r="C210" s="310"/>
      <c r="D210" s="314" t="str">
        <f aca="false">IFERROR(VLOOKUP(B210,'[1]detailed model'!$a$6:$C$92,3,FALSE()),"NOT CODED/ERROR")</f>
        <v>General Administrative</v>
      </c>
      <c r="E210" s="311"/>
      <c r="F210" s="312" t="e">
        <f aca="false">VLOOKUP(B210,'[1]detailed model'!a192:C270,3,FALSE())</f>
        <v>#NAME?</v>
      </c>
      <c r="G210" s="0" t="s">
        <v>335</v>
      </c>
      <c r="H210" s="315"/>
      <c r="I210" s="315"/>
      <c r="J210" s="315"/>
      <c r="K210" s="315"/>
      <c r="L210" s="315"/>
      <c r="M210" s="315"/>
      <c r="N210" s="315"/>
      <c r="O210" s="315"/>
      <c r="P210" s="315"/>
      <c r="Q210" s="315"/>
      <c r="R210" s="315"/>
      <c r="S210" s="315"/>
      <c r="T210" s="315"/>
      <c r="U210" s="315"/>
      <c r="V210" s="315"/>
      <c r="W210" s="315"/>
      <c r="X210" s="315"/>
      <c r="Y210" s="319" t="n">
        <v>0</v>
      </c>
      <c r="Z210" s="319" t="n">
        <v>806.4</v>
      </c>
      <c r="AA210" s="319" t="n">
        <v>0</v>
      </c>
      <c r="AB210" s="319" t="n">
        <v>270.39</v>
      </c>
      <c r="AC210" s="319" t="n">
        <v>136.88</v>
      </c>
      <c r="AD210" s="319" t="n">
        <v>242.57</v>
      </c>
      <c r="AE210" s="319" t="n">
        <v>5295.65</v>
      </c>
      <c r="AF210" s="319" t="n">
        <v>0</v>
      </c>
      <c r="AG210" s="319" t="n">
        <v>0</v>
      </c>
      <c r="AH210" s="319" t="n">
        <v>24.08</v>
      </c>
      <c r="AI210" s="319" t="n">
        <v>56.9</v>
      </c>
      <c r="AJ210" s="319" t="n">
        <v>0</v>
      </c>
    </row>
    <row r="211" customFormat="false" ht="17.35" hidden="false" customHeight="false" outlineLevel="0" collapsed="false">
      <c r="A211" s="308" t="s">
        <v>200</v>
      </c>
      <c r="B211" s="309"/>
      <c r="C211" s="310"/>
      <c r="D211" s="314" t="str">
        <f aca="false">IFERROR(VLOOKUP(B211,'[1]detailed model'!$a$6:$C$92,3,FALSE()),"NOT CODED/ERROR")</f>
        <v>NOT CODED/ERROR</v>
      </c>
      <c r="E211" s="311"/>
      <c r="F211" s="312" t="e">
        <f aca="false">VLOOKUP(B211,'[1]detailed model'!a193:C271,3,FALSE())</f>
        <v>#NAME?</v>
      </c>
      <c r="G211" s="0" t="s">
        <v>336</v>
      </c>
      <c r="H211" s="315"/>
      <c r="I211" s="315"/>
      <c r="J211" s="315"/>
      <c r="K211" s="315"/>
      <c r="L211" s="315"/>
      <c r="M211" s="315"/>
      <c r="N211" s="315"/>
      <c r="O211" s="315"/>
      <c r="P211" s="315"/>
      <c r="Q211" s="315"/>
      <c r="R211" s="315"/>
      <c r="S211" s="315"/>
      <c r="T211" s="315"/>
      <c r="U211" s="315"/>
      <c r="V211" s="315"/>
      <c r="W211" s="315"/>
      <c r="X211" s="315"/>
      <c r="Y211" s="319" t="n">
        <v>67370.87</v>
      </c>
      <c r="Z211" s="319" t="n">
        <v>74776.2</v>
      </c>
      <c r="AA211" s="319" t="n">
        <v>75466.26</v>
      </c>
      <c r="AB211" s="319" t="n">
        <v>82538.32</v>
      </c>
      <c r="AC211" s="319" t="n">
        <v>66347.8</v>
      </c>
      <c r="AD211" s="319" t="n">
        <v>67704.58</v>
      </c>
      <c r="AE211" s="319" t="n">
        <v>72342.24</v>
      </c>
      <c r="AF211" s="319" t="n">
        <v>76567.15</v>
      </c>
      <c r="AG211" s="319" t="n">
        <v>62297.78</v>
      </c>
      <c r="AH211" s="319" t="n">
        <v>60769.16</v>
      </c>
      <c r="AI211" s="319" t="n">
        <v>55789.29</v>
      </c>
      <c r="AJ211" s="319" t="n">
        <v>58909.82</v>
      </c>
    </row>
    <row r="212" customFormat="false" ht="17.35" hidden="false" customHeight="false" outlineLevel="0" collapsed="false">
      <c r="A212" s="308" t="s">
        <v>200</v>
      </c>
      <c r="B212" s="309"/>
      <c r="C212" s="310"/>
      <c r="D212" s="314" t="str">
        <f aca="false">IFERROR(VLOOKUP(B212,'[1]detailed model'!$a$6:$C$92,3,FALSE()),"NOT CODED/ERROR")</f>
        <v>NOT CODED/ERROR</v>
      </c>
      <c r="E212" s="311"/>
      <c r="F212" s="312" t="e">
        <f aca="false">VLOOKUP(B212,'[1]detailed model'!a194:C272,3,FALSE())</f>
        <v>#NAME?</v>
      </c>
      <c r="G212" s="0" t="s">
        <v>171</v>
      </c>
    </row>
    <row r="213" customFormat="false" ht="17.35" hidden="false" customHeight="false" outlineLevel="0" collapsed="false">
      <c r="A213" s="308" t="s">
        <v>200</v>
      </c>
      <c r="B213" s="309"/>
      <c r="C213" s="310"/>
      <c r="D213" s="314" t="str">
        <f aca="false">IFERROR(VLOOKUP(B213,'[1]detailed model'!$a$6:$C$92,3,FALSE()),"NOT CODED/ERROR")</f>
        <v>NOT CODED/ERROR</v>
      </c>
      <c r="E213" s="311"/>
      <c r="F213" s="312" t="e">
        <f aca="false">VLOOKUP(B213,'[1]detailed model'!a195:C273,3,FALSE())</f>
        <v>#NAME?</v>
      </c>
      <c r="G213" s="0" t="s">
        <v>337</v>
      </c>
      <c r="H213" s="315"/>
      <c r="I213" s="315"/>
      <c r="J213" s="315"/>
      <c r="K213" s="315"/>
      <c r="L213" s="315"/>
      <c r="M213" s="315"/>
      <c r="N213" s="315"/>
      <c r="O213" s="315"/>
      <c r="P213" s="315"/>
      <c r="Q213" s="315"/>
      <c r="R213" s="315"/>
      <c r="S213" s="315"/>
      <c r="T213" s="315"/>
      <c r="U213" s="315"/>
      <c r="V213" s="315"/>
      <c r="W213" s="315"/>
      <c r="X213" s="315"/>
      <c r="Y213" s="0" t="s">
        <v>176</v>
      </c>
      <c r="Z213" s="0" t="s">
        <v>176</v>
      </c>
      <c r="AA213" s="0" t="s">
        <v>176</v>
      </c>
      <c r="AB213" s="0" t="s">
        <v>176</v>
      </c>
      <c r="AC213" s="0" t="s">
        <v>176</v>
      </c>
      <c r="AD213" s="0" t="s">
        <v>176</v>
      </c>
      <c r="AE213" s="0" t="s">
        <v>176</v>
      </c>
      <c r="AF213" s="0" t="s">
        <v>176</v>
      </c>
      <c r="AG213" s="0" t="s">
        <v>176</v>
      </c>
      <c r="AH213" s="0" t="s">
        <v>176</v>
      </c>
      <c r="AI213" s="0" t="s">
        <v>176</v>
      </c>
      <c r="AJ213" s="0" t="s">
        <v>176</v>
      </c>
    </row>
    <row r="214" customFormat="false" ht="17.35" hidden="false" customHeight="false" outlineLevel="0" collapsed="false">
      <c r="A214" s="308" t="s">
        <v>200</v>
      </c>
      <c r="B214" s="309" t="n">
        <v>312</v>
      </c>
      <c r="C214" s="310"/>
      <c r="D214" s="314" t="str">
        <f aca="false">IFERROR(VLOOKUP(B214,'[1]detailed model'!$a$6:$C$92,3,FALSE()),"NOT CODED/ERROR")</f>
        <v>Real Estate Taxes</v>
      </c>
      <c r="E214" s="311"/>
      <c r="F214" s="312" t="e">
        <f aca="false">VLOOKUP(B214,'[1]detailed model'!a196:C274,3,FALSE())</f>
        <v>#NAME?</v>
      </c>
      <c r="G214" s="0" t="s">
        <v>338</v>
      </c>
      <c r="H214" s="315"/>
      <c r="I214" s="315"/>
      <c r="J214" s="315"/>
      <c r="K214" s="315"/>
      <c r="L214" s="315"/>
      <c r="M214" s="315"/>
      <c r="N214" s="315"/>
      <c r="O214" s="315"/>
      <c r="P214" s="315"/>
      <c r="Q214" s="315"/>
      <c r="R214" s="315"/>
      <c r="S214" s="315"/>
      <c r="T214" s="315"/>
      <c r="U214" s="315"/>
      <c r="V214" s="315"/>
      <c r="W214" s="315"/>
      <c r="X214" s="315"/>
      <c r="Y214" s="319" t="n">
        <v>0</v>
      </c>
      <c r="Z214" s="319" t="n">
        <v>0</v>
      </c>
      <c r="AA214" s="319" t="n">
        <v>0</v>
      </c>
      <c r="AB214" s="319" t="n">
        <v>0</v>
      </c>
      <c r="AC214" s="319" t="n">
        <v>0</v>
      </c>
      <c r="AD214" s="319" t="n">
        <v>0</v>
      </c>
      <c r="AE214" s="319" t="n">
        <v>0</v>
      </c>
      <c r="AF214" s="319" t="n">
        <v>0</v>
      </c>
      <c r="AG214" s="319" t="n">
        <v>0</v>
      </c>
      <c r="AH214" s="319" t="n">
        <v>0</v>
      </c>
      <c r="AI214" s="319" t="n">
        <v>47911.52</v>
      </c>
      <c r="AJ214" s="319" t="n">
        <v>11977.85</v>
      </c>
    </row>
    <row r="215" customFormat="false" ht="17.35" hidden="false" customHeight="false" outlineLevel="0" collapsed="false">
      <c r="A215" s="308" t="s">
        <v>200</v>
      </c>
      <c r="B215" s="309" t="n">
        <v>310</v>
      </c>
      <c r="C215" s="310"/>
      <c r="D215" s="314" t="str">
        <f aca="false">IFERROR(VLOOKUP(B215,'[1]detailed model'!$a$6:$C$92,3,FALSE()),"NOT CODED/ERROR")</f>
        <v>Payroll Taxes</v>
      </c>
      <c r="E215" s="311"/>
      <c r="F215" s="312" t="e">
        <f aca="false">VLOOKUP(B215,'[1]detailed model'!a197:C275,3,FALSE())</f>
        <v>#NAME?</v>
      </c>
      <c r="G215" s="0" t="s">
        <v>339</v>
      </c>
      <c r="H215" s="315"/>
      <c r="I215" s="315"/>
      <c r="J215" s="315"/>
      <c r="K215" s="315"/>
      <c r="L215" s="315"/>
      <c r="M215" s="315"/>
      <c r="N215" s="315"/>
      <c r="O215" s="315"/>
      <c r="P215" s="315"/>
      <c r="Q215" s="315"/>
      <c r="R215" s="315"/>
      <c r="S215" s="315"/>
      <c r="T215" s="315"/>
      <c r="U215" s="315"/>
      <c r="V215" s="315"/>
      <c r="W215" s="315"/>
      <c r="X215" s="315"/>
      <c r="Y215" s="319" t="n">
        <v>0</v>
      </c>
      <c r="Z215" s="319" t="n">
        <v>0</v>
      </c>
      <c r="AA215" s="319" t="n">
        <v>0</v>
      </c>
      <c r="AB215" s="319" t="n">
        <v>1291.92</v>
      </c>
      <c r="AC215" s="319" t="n">
        <v>430.64</v>
      </c>
      <c r="AD215" s="319" t="n">
        <v>430.64</v>
      </c>
      <c r="AE215" s="319" t="n">
        <v>430.64</v>
      </c>
      <c r="AF215" s="319" t="n">
        <v>430.64</v>
      </c>
      <c r="AG215" s="319" t="n">
        <v>430.64</v>
      </c>
      <c r="AH215" s="319" t="n">
        <v>430.64</v>
      </c>
      <c r="AI215" s="319" t="n">
        <v>430.64</v>
      </c>
      <c r="AJ215" s="319" t="n">
        <v>430.64</v>
      </c>
    </row>
    <row r="216" customFormat="false" ht="17.35" hidden="false" customHeight="false" outlineLevel="0" collapsed="false">
      <c r="A216" s="308" t="s">
        <v>200</v>
      </c>
      <c r="B216" s="309" t="n">
        <v>311</v>
      </c>
      <c r="C216" s="310"/>
      <c r="D216" s="314" t="str">
        <f aca="false">IFERROR(VLOOKUP(B216,'[1]detailed model'!$a$6:$C$92,3,FALSE()),"NOT CODED/ERROR")</f>
        <v>Insurance</v>
      </c>
      <c r="E216" s="311"/>
      <c r="F216" s="312" t="e">
        <f aca="false">VLOOKUP(B216,'[1]detailed model'!a198:C276,3,FALSE())</f>
        <v>#NAME?</v>
      </c>
      <c r="G216" s="0" t="s">
        <v>340</v>
      </c>
      <c r="H216" s="315"/>
      <c r="I216" s="315"/>
      <c r="J216" s="315"/>
      <c r="K216" s="315"/>
      <c r="L216" s="315"/>
      <c r="M216" s="315"/>
      <c r="N216" s="315"/>
      <c r="O216" s="315"/>
      <c r="P216" s="315"/>
      <c r="Q216" s="315"/>
      <c r="R216" s="315"/>
      <c r="S216" s="315"/>
      <c r="T216" s="315"/>
      <c r="U216" s="315"/>
      <c r="V216" s="315"/>
      <c r="W216" s="315"/>
      <c r="X216" s="315"/>
      <c r="Y216" s="319" t="n">
        <v>19520.15</v>
      </c>
      <c r="Z216" s="319" t="n">
        <v>19520.15</v>
      </c>
      <c r="AA216" s="319" t="n">
        <v>19590.09</v>
      </c>
      <c r="AB216" s="319" t="n">
        <v>19998.99</v>
      </c>
      <c r="AC216" s="319" t="n">
        <v>19998.99</v>
      </c>
      <c r="AD216" s="319" t="n">
        <v>19998.99</v>
      </c>
      <c r="AE216" s="319" t="n">
        <v>19998.99</v>
      </c>
      <c r="AF216" s="319" t="n">
        <v>20106.05</v>
      </c>
      <c r="AG216" s="319" t="n">
        <v>20106.05</v>
      </c>
      <c r="AH216" s="319" t="n">
        <v>20106.05</v>
      </c>
      <c r="AI216" s="319" t="n">
        <v>20106.06</v>
      </c>
      <c r="AJ216" s="319" t="n">
        <v>20106.05</v>
      </c>
    </row>
    <row r="217" customFormat="false" ht="17.35" hidden="false" customHeight="false" outlineLevel="0" collapsed="false">
      <c r="A217" s="308" t="s">
        <v>200</v>
      </c>
      <c r="B217" s="309" t="n">
        <v>320</v>
      </c>
      <c r="C217" s="310"/>
      <c r="D217" s="314" t="str">
        <f aca="false">IFERROR(VLOOKUP(B217,'[1]detailed model'!$a$6:$C$92,3,FALSE()),"NOT CODED/ERROR")</f>
        <v>Non-Operational &amp; Excluded4</v>
      </c>
      <c r="E217" s="311"/>
      <c r="F217" s="312" t="e">
        <f aca="false">VLOOKUP(B217,'[1]detailed model'!a199:C277,3,FALSE())</f>
        <v>#NAME?</v>
      </c>
      <c r="G217" s="0" t="s">
        <v>341</v>
      </c>
      <c r="H217" s="315"/>
      <c r="I217" s="315"/>
      <c r="J217" s="315"/>
      <c r="K217" s="315"/>
      <c r="L217" s="315"/>
      <c r="M217" s="315"/>
      <c r="N217" s="315"/>
      <c r="O217" s="315"/>
      <c r="P217" s="315"/>
      <c r="Q217" s="315"/>
      <c r="R217" s="315"/>
      <c r="S217" s="315"/>
      <c r="T217" s="315"/>
      <c r="U217" s="315"/>
      <c r="V217" s="315"/>
      <c r="W217" s="315"/>
      <c r="X217" s="315"/>
      <c r="Y217" s="319" t="n">
        <v>184.91</v>
      </c>
      <c r="Z217" s="319" t="n">
        <v>184.91</v>
      </c>
      <c r="AA217" s="319" t="n">
        <v>844.5</v>
      </c>
      <c r="AB217" s="319" t="n">
        <v>226.06</v>
      </c>
      <c r="AC217" s="319" t="n">
        <v>185.61</v>
      </c>
      <c r="AD217" s="319" t="n">
        <v>183.26</v>
      </c>
      <c r="AE217" s="319" t="n">
        <v>292.89</v>
      </c>
      <c r="AF217" s="319" t="n">
        <v>308.27</v>
      </c>
      <c r="AG217" s="319" t="n">
        <v>286.35</v>
      </c>
      <c r="AH217" s="319" t="n">
        <v>263.36</v>
      </c>
      <c r="AI217" s="319" t="n">
        <v>261.22</v>
      </c>
      <c r="AJ217" s="319" t="n">
        <v>1995.22</v>
      </c>
    </row>
    <row r="218" customFormat="false" ht="17.35" hidden="false" customHeight="false" outlineLevel="0" collapsed="false">
      <c r="A218" s="308" t="s">
        <v>200</v>
      </c>
      <c r="B218" s="309" t="n">
        <v>320</v>
      </c>
      <c r="C218" s="310"/>
      <c r="D218" s="314" t="str">
        <f aca="false">IFERROR(VLOOKUP(B218,'[1]detailed model'!$a$6:$C$92,3,FALSE()),"NOT CODED/ERROR")</f>
        <v>Non-Operational &amp; Excluded4</v>
      </c>
      <c r="E218" s="311"/>
      <c r="F218" s="312" t="e">
        <f aca="false">VLOOKUP(B218,'[1]detailed model'!a200:C278,3,FALSE())</f>
        <v>#NAME?</v>
      </c>
      <c r="G218" s="0" t="s">
        <v>342</v>
      </c>
      <c r="H218" s="315"/>
      <c r="I218" s="315"/>
      <c r="J218" s="315"/>
      <c r="K218" s="315"/>
      <c r="L218" s="315"/>
      <c r="M218" s="315"/>
      <c r="N218" s="315"/>
      <c r="O218" s="315"/>
      <c r="P218" s="315"/>
      <c r="Q218" s="315"/>
      <c r="R218" s="315"/>
      <c r="S218" s="315"/>
      <c r="T218" s="315"/>
      <c r="U218" s="315"/>
      <c r="V218" s="315"/>
      <c r="W218" s="315"/>
      <c r="X218" s="315"/>
      <c r="Y218" s="319" t="n">
        <v>35716.17</v>
      </c>
      <c r="Z218" s="319" t="n">
        <v>31060.28</v>
      </c>
      <c r="AA218" s="319" t="n">
        <v>33768.62</v>
      </c>
      <c r="AB218" s="319" t="n">
        <v>34551.02</v>
      </c>
      <c r="AC218" s="319" t="n">
        <v>34123.55</v>
      </c>
      <c r="AD218" s="319" t="n">
        <v>35017.58</v>
      </c>
      <c r="AE218" s="319" t="n">
        <v>41269.98</v>
      </c>
      <c r="AF218" s="319" t="n">
        <v>34430.1</v>
      </c>
      <c r="AG218" s="319" t="n">
        <v>35651.95</v>
      </c>
      <c r="AH218" s="319" t="n">
        <v>34474.96</v>
      </c>
      <c r="AI218" s="319" t="n">
        <v>36833.77</v>
      </c>
      <c r="AJ218" s="319" t="n">
        <v>35636.68</v>
      </c>
    </row>
    <row r="219" customFormat="false" ht="17.35" hidden="false" customHeight="false" outlineLevel="0" collapsed="false">
      <c r="A219" s="308" t="s">
        <v>200</v>
      </c>
      <c r="B219" s="312" t="n">
        <v>315</v>
      </c>
      <c r="C219" s="312"/>
      <c r="D219" s="314" t="str">
        <f aca="false">IFERROR(VLOOKUP(B219,'[1]detailed model'!$a$6:$C$92,3,FALSE()),"NOT CODED/ERROR")</f>
        <v>Bad Debt</v>
      </c>
      <c r="E219" s="311"/>
      <c r="F219" s="312" t="e">
        <f aca="false">VLOOKUP(B219,'[1]detailed model'!a201:C279,3,FALSE())</f>
        <v>#NAME?</v>
      </c>
      <c r="G219" s="0" t="s">
        <v>343</v>
      </c>
      <c r="H219" s="315"/>
      <c r="I219" s="315"/>
      <c r="J219" s="315"/>
      <c r="K219" s="315"/>
      <c r="L219" s="315"/>
      <c r="M219" s="315"/>
      <c r="N219" s="315"/>
      <c r="O219" s="315"/>
      <c r="P219" s="315"/>
      <c r="Q219" s="315"/>
      <c r="R219" s="315"/>
      <c r="S219" s="315"/>
      <c r="T219" s="315"/>
      <c r="U219" s="315"/>
      <c r="V219" s="315"/>
      <c r="W219" s="315"/>
      <c r="X219" s="315"/>
      <c r="Y219" s="319" t="n">
        <v>6135.7</v>
      </c>
      <c r="Z219" s="319" t="n">
        <v>3466.59</v>
      </c>
      <c r="AA219" s="319" t="n">
        <v>52.21</v>
      </c>
      <c r="AB219" s="319" t="n">
        <v>52.21</v>
      </c>
      <c r="AC219" s="319" t="n">
        <v>0</v>
      </c>
      <c r="AD219" s="319" t="n">
        <v>0</v>
      </c>
      <c r="AE219" s="319" t="n">
        <v>0</v>
      </c>
      <c r="AF219" s="319" t="n">
        <v>2258.77</v>
      </c>
      <c r="AG219" s="319" t="n">
        <v>-2258.24</v>
      </c>
      <c r="AH219" s="319" t="n">
        <v>0</v>
      </c>
      <c r="AI219" s="319" t="n">
        <v>3767.8</v>
      </c>
      <c r="AJ219" s="319" t="n">
        <v>6814.51</v>
      </c>
    </row>
    <row r="220" customFormat="false" ht="17.35" hidden="false" customHeight="false" outlineLevel="0" collapsed="false">
      <c r="A220" s="308" t="s">
        <v>200</v>
      </c>
      <c r="B220" s="312"/>
      <c r="C220" s="312"/>
      <c r="D220" s="314" t="str">
        <f aca="false">IFERROR(VLOOKUP(B220,'[1]detailed model'!$a$6:$C$92,3,FALSE()),"NOT CODED/ERROR")</f>
        <v>NOT CODED/ERROR</v>
      </c>
      <c r="E220" s="311"/>
      <c r="F220" s="312" t="e">
        <f aca="false">VLOOKUP(B220,'[1]detailed model'!a202:C280,3,FALSE())</f>
        <v>#NAME?</v>
      </c>
      <c r="G220" s="0" t="s">
        <v>344</v>
      </c>
      <c r="H220" s="315"/>
      <c r="I220" s="315"/>
      <c r="J220" s="315"/>
      <c r="K220" s="315"/>
      <c r="L220" s="315"/>
      <c r="M220" s="315"/>
      <c r="N220" s="315"/>
      <c r="O220" s="315"/>
      <c r="P220" s="315"/>
      <c r="Q220" s="315"/>
      <c r="R220" s="315"/>
      <c r="S220" s="315"/>
      <c r="T220" s="315"/>
      <c r="U220" s="315"/>
      <c r="V220" s="315"/>
      <c r="W220" s="315"/>
      <c r="X220" s="315"/>
      <c r="Y220" s="319" t="n">
        <v>61556.93</v>
      </c>
      <c r="Z220" s="319" t="n">
        <v>54231.93</v>
      </c>
      <c r="AA220" s="319" t="n">
        <v>54255.42</v>
      </c>
      <c r="AB220" s="319" t="n">
        <v>56120.2</v>
      </c>
      <c r="AC220" s="319" t="n">
        <v>54738.79</v>
      </c>
      <c r="AD220" s="319" t="n">
        <v>55630.47</v>
      </c>
      <c r="AE220" s="319" t="n">
        <v>61992.5</v>
      </c>
      <c r="AF220" s="319" t="n">
        <v>57533.83</v>
      </c>
      <c r="AG220" s="319" t="n">
        <v>54216.75</v>
      </c>
      <c r="AH220" s="319" t="n">
        <v>55275.01</v>
      </c>
      <c r="AI220" s="319" t="n">
        <v>109311.01</v>
      </c>
      <c r="AJ220" s="319" t="n">
        <v>76960.95</v>
      </c>
    </row>
    <row r="221" customFormat="false" ht="17.35" hidden="false" customHeight="false" outlineLevel="0" collapsed="false">
      <c r="A221" s="308" t="s">
        <v>200</v>
      </c>
      <c r="B221" s="312"/>
      <c r="C221" s="312"/>
      <c r="D221" s="314" t="str">
        <f aca="false">IFERROR(VLOOKUP(B221,'[1]detailed model'!$a$6:$C$92,3,FALSE()),"NOT CODED/ERROR")</f>
        <v>NOT CODED/ERROR</v>
      </c>
      <c r="E221" s="311"/>
      <c r="F221" s="312" t="e">
        <f aca="false">VLOOKUP(B221,'[1]detailed model'!a203:C281,3,FALSE())</f>
        <v>#NAME?</v>
      </c>
      <c r="G221" s="0" t="s">
        <v>171</v>
      </c>
    </row>
    <row r="222" customFormat="false" ht="17.35" hidden="false" customHeight="false" outlineLevel="0" collapsed="false">
      <c r="A222" s="308" t="s">
        <v>200</v>
      </c>
      <c r="B222" s="312"/>
      <c r="C222" s="312"/>
      <c r="D222" s="314" t="str">
        <f aca="false">IFERROR(VLOOKUP(B222,'[1]detailed model'!$a$6:$C$92,3,FALSE()),"NOT CODED/ERROR")</f>
        <v>NOT CODED/ERROR</v>
      </c>
      <c r="E222" s="311"/>
      <c r="F222" s="312" t="e">
        <f aca="false">VLOOKUP(B222,'[1]detailed model'!a204:C282,3,FALSE())</f>
        <v>#NAME?</v>
      </c>
      <c r="G222" s="0" t="s">
        <v>345</v>
      </c>
      <c r="H222" s="315"/>
      <c r="I222" s="315"/>
      <c r="J222" s="315"/>
      <c r="K222" s="315"/>
      <c r="L222" s="315"/>
      <c r="M222" s="315"/>
      <c r="N222" s="315"/>
      <c r="O222" s="315"/>
      <c r="P222" s="315"/>
      <c r="Q222" s="315"/>
      <c r="R222" s="315"/>
      <c r="S222" s="315"/>
      <c r="T222" s="315"/>
      <c r="U222" s="315"/>
      <c r="V222" s="315"/>
      <c r="W222" s="315"/>
      <c r="X222" s="315"/>
      <c r="Y222" s="319" t="n">
        <v>572113.18</v>
      </c>
      <c r="Z222" s="319" t="n">
        <v>566932.26</v>
      </c>
      <c r="AA222" s="319" t="n">
        <v>548796.56</v>
      </c>
      <c r="AB222" s="319" t="n">
        <v>541336.19</v>
      </c>
      <c r="AC222" s="319" t="n">
        <v>554973.15</v>
      </c>
      <c r="AD222" s="319" t="n">
        <v>544645.2</v>
      </c>
      <c r="AE222" s="319" t="n">
        <v>550529.24</v>
      </c>
      <c r="AF222" s="319" t="n">
        <v>588637.43</v>
      </c>
      <c r="AG222" s="319" t="n">
        <v>511573.87</v>
      </c>
      <c r="AH222" s="319" t="n">
        <v>537152.38</v>
      </c>
      <c r="AI222" s="319" t="n">
        <v>544879.12</v>
      </c>
      <c r="AJ222" s="319" t="n">
        <v>552150.51</v>
      </c>
    </row>
    <row r="223" customFormat="false" ht="17.35" hidden="false" customHeight="false" outlineLevel="0" collapsed="false">
      <c r="A223" s="308" t="s">
        <v>200</v>
      </c>
      <c r="B223" s="312"/>
      <c r="C223" s="312"/>
      <c r="D223" s="314" t="str">
        <f aca="false">IFERROR(VLOOKUP(B223,'[1]detailed model'!$a$6:$C$92,3,FALSE()),"NOT CODED/ERROR")</f>
        <v>NOT CODED/ERROR</v>
      </c>
      <c r="E223" s="311"/>
      <c r="F223" s="312" t="e">
        <f aca="false">VLOOKUP(B223,'[1]detailed model'!a205:C283,3,FALSE())</f>
        <v>#NAME?</v>
      </c>
      <c r="G223" s="0" t="s">
        <v>171</v>
      </c>
    </row>
    <row r="224" customFormat="false" ht="17.35" hidden="false" customHeight="false" outlineLevel="0" collapsed="false">
      <c r="A224" s="308" t="s">
        <v>200</v>
      </c>
      <c r="B224" s="322"/>
      <c r="C224" s="312"/>
      <c r="D224" s="314" t="str">
        <f aca="false">IFERROR(VLOOKUP(B224,'[1]detailed model'!$a$6:$C$92,3,FALSE()),"NOT CODED/ERROR")</f>
        <v>NOT CODED/ERROR</v>
      </c>
      <c r="E224" s="311"/>
      <c r="F224" s="312" t="e">
        <f aca="false">VLOOKUP(B224,'[1]detailed model'!a206:C284,3,FALSE())</f>
        <v>#NAME?</v>
      </c>
      <c r="G224" s="0" t="s">
        <v>346</v>
      </c>
      <c r="H224" s="315"/>
      <c r="I224" s="315"/>
      <c r="J224" s="315"/>
      <c r="K224" s="315"/>
      <c r="L224" s="315"/>
      <c r="M224" s="315"/>
      <c r="N224" s="315"/>
      <c r="O224" s="315"/>
      <c r="P224" s="315"/>
      <c r="Q224" s="315"/>
      <c r="R224" s="315"/>
      <c r="S224" s="315"/>
      <c r="T224" s="315"/>
      <c r="U224" s="315"/>
      <c r="V224" s="315"/>
      <c r="W224" s="315"/>
      <c r="X224" s="315"/>
      <c r="Y224" s="319" t="n">
        <v>23156.4</v>
      </c>
      <c r="Z224" s="319" t="n">
        <v>-49260.93</v>
      </c>
      <c r="AA224" s="319" t="n">
        <v>14013.8</v>
      </c>
      <c r="AB224" s="319" t="n">
        <v>34514.15</v>
      </c>
      <c r="AC224" s="319" t="n">
        <v>13752.74</v>
      </c>
      <c r="AD224" s="319" t="n">
        <v>38981.12</v>
      </c>
      <c r="AE224" s="319" t="n">
        <v>11859.58</v>
      </c>
      <c r="AF224" s="319" t="n">
        <v>-14802.4</v>
      </c>
      <c r="AG224" s="319" t="n">
        <v>82625.31</v>
      </c>
      <c r="AH224" s="319" t="n">
        <v>37430.31</v>
      </c>
      <c r="AI224" s="319" t="n">
        <v>69017</v>
      </c>
      <c r="AJ224" s="319" t="n">
        <v>41794.18</v>
      </c>
    </row>
    <row r="225" customFormat="false" ht="17.35" hidden="false" customHeight="false" outlineLevel="0" collapsed="false">
      <c r="A225" s="308" t="s">
        <v>200</v>
      </c>
      <c r="B225" s="322"/>
      <c r="C225" s="312"/>
      <c r="D225" s="314" t="str">
        <f aca="false">IFERROR(VLOOKUP(B225,'[1]detailed model'!$a$6:$C$92,3,FALSE()),"NOT CODED/ERROR")</f>
        <v>NOT CODED/ERROR</v>
      </c>
      <c r="E225" s="311"/>
      <c r="F225" s="312" t="e">
        <f aca="false">VLOOKUP(B225,'[1]detailed model'!a207:C285,3,FALSE())</f>
        <v>#NAME?</v>
      </c>
      <c r="G225" s="0" t="s">
        <v>347</v>
      </c>
      <c r="H225" s="315"/>
      <c r="I225" s="315"/>
      <c r="J225" s="315"/>
      <c r="K225" s="315"/>
      <c r="L225" s="315"/>
      <c r="M225" s="315"/>
      <c r="N225" s="315"/>
      <c r="O225" s="315"/>
      <c r="P225" s="315"/>
      <c r="Q225" s="315"/>
      <c r="R225" s="315"/>
      <c r="S225" s="315"/>
      <c r="T225" s="315"/>
      <c r="U225" s="315"/>
      <c r="V225" s="315"/>
      <c r="W225" s="315"/>
      <c r="X225" s="315"/>
      <c r="Y225" s="323" t="n">
        <v>0.039</v>
      </c>
      <c r="Z225" s="323" t="n">
        <v>-0.095</v>
      </c>
      <c r="AA225" s="323" t="n">
        <v>0.025</v>
      </c>
      <c r="AB225" s="323" t="n">
        <v>0.06</v>
      </c>
      <c r="AC225" s="323" t="n">
        <v>0.024</v>
      </c>
      <c r="AD225" s="323" t="n">
        <v>0.067</v>
      </c>
      <c r="AE225" s="323" t="n">
        <v>0.021</v>
      </c>
      <c r="AF225" s="323" t="n">
        <v>-0.026</v>
      </c>
      <c r="AG225" s="323" t="n">
        <v>0.139</v>
      </c>
      <c r="AH225" s="323" t="n">
        <v>0.065</v>
      </c>
      <c r="AI225" s="323" t="n">
        <v>0.112</v>
      </c>
      <c r="AJ225" s="323" t="n">
        <v>0.07</v>
      </c>
    </row>
    <row r="226" customFormat="false" ht="17.35" hidden="false" customHeight="false" outlineLevel="0" collapsed="false">
      <c r="A226" s="308" t="s">
        <v>200</v>
      </c>
      <c r="B226" s="322"/>
      <c r="C226" s="312"/>
      <c r="D226" s="314" t="str">
        <f aca="false">IFERROR(VLOOKUP(B226,'[1]detailed model'!$a$6:$C$92,3,FALSE()),"NOT CODED/ERROR")</f>
        <v>NOT CODED/ERROR</v>
      </c>
      <c r="E226" s="311"/>
      <c r="F226" s="312" t="e">
        <f aca="false">VLOOKUP(B226,'[1]detailed model'!a208:C286,3,FALSE())</f>
        <v>#NAME?</v>
      </c>
      <c r="G226" s="0" t="s">
        <v>171</v>
      </c>
    </row>
    <row r="227" customFormat="false" ht="17.35" hidden="false" customHeight="false" outlineLevel="0" collapsed="false">
      <c r="A227" s="308" t="s">
        <v>200</v>
      </c>
      <c r="B227" s="322"/>
      <c r="C227" s="312"/>
      <c r="D227" s="314" t="str">
        <f aca="false">IFERROR(VLOOKUP(B227,'[1]detailed model'!$a$6:$C$92,3,FALSE()),"NOT CODED/ERROR")</f>
        <v>NOT CODED/ERROR</v>
      </c>
      <c r="E227" s="311"/>
      <c r="F227" s="312" t="e">
        <f aca="false">VLOOKUP(B227,'[1]detailed model'!a209:C287,3,FALSE())</f>
        <v>#NAME?</v>
      </c>
      <c r="G227" s="0" t="s">
        <v>348</v>
      </c>
      <c r="H227" s="315"/>
      <c r="I227" s="315"/>
      <c r="J227" s="315"/>
      <c r="K227" s="315"/>
      <c r="L227" s="315"/>
      <c r="M227" s="315"/>
      <c r="N227" s="315"/>
      <c r="O227" s="315"/>
      <c r="P227" s="315"/>
      <c r="Q227" s="315"/>
      <c r="R227" s="315"/>
      <c r="S227" s="315"/>
      <c r="T227" s="315"/>
      <c r="U227" s="315"/>
      <c r="V227" s="315"/>
      <c r="W227" s="315"/>
      <c r="X227" s="315"/>
      <c r="Y227" s="0" t="s">
        <v>349</v>
      </c>
      <c r="Z227" s="0" t="s">
        <v>349</v>
      </c>
      <c r="AA227" s="0" t="s">
        <v>349</v>
      </c>
      <c r="AB227" s="0" t="s">
        <v>349</v>
      </c>
      <c r="AC227" s="0" t="s">
        <v>349</v>
      </c>
      <c r="AD227" s="0" t="s">
        <v>349</v>
      </c>
      <c r="AE227" s="0" t="s">
        <v>349</v>
      </c>
      <c r="AF227" s="0" t="s">
        <v>349</v>
      </c>
      <c r="AG227" s="0" t="s">
        <v>349</v>
      </c>
      <c r="AH227" s="0" t="s">
        <v>349</v>
      </c>
      <c r="AI227" s="0" t="s">
        <v>349</v>
      </c>
      <c r="AJ227" s="0" t="s">
        <v>349</v>
      </c>
    </row>
    <row r="228" customFormat="false" ht="17.35" hidden="false" customHeight="false" outlineLevel="0" collapsed="false">
      <c r="A228" s="308" t="s">
        <v>200</v>
      </c>
      <c r="B228" s="322"/>
      <c r="C228" s="312"/>
      <c r="D228" s="314" t="str">
        <f aca="false">IFERROR(VLOOKUP(B228,'[1]detailed model'!$a$6:$C$92,3,FALSE()),"NOT CODED/ERROR")</f>
        <v>NOT CODED/ERROR</v>
      </c>
      <c r="E228" s="311"/>
      <c r="F228" s="312" t="e">
        <f aca="false">VLOOKUP(B228,'[1]detailed model'!a210:C288,3,FALSE())</f>
        <v>#NAME?</v>
      </c>
      <c r="G228" s="0" t="s">
        <v>350</v>
      </c>
      <c r="H228" s="315"/>
      <c r="I228" s="315"/>
      <c r="J228" s="315"/>
      <c r="K228" s="315"/>
      <c r="L228" s="315"/>
      <c r="M228" s="315"/>
      <c r="N228" s="315"/>
      <c r="O228" s="315"/>
      <c r="P228" s="315"/>
      <c r="Q228" s="315"/>
      <c r="R228" s="315"/>
      <c r="S228" s="315"/>
      <c r="T228" s="315"/>
      <c r="U228" s="315"/>
      <c r="V228" s="315"/>
      <c r="W228" s="315"/>
      <c r="X228" s="315"/>
      <c r="Y228" s="319" t="n">
        <v>0</v>
      </c>
      <c r="Z228" s="319" t="n">
        <v>0</v>
      </c>
      <c r="AA228" s="319" t="n">
        <v>0</v>
      </c>
      <c r="AB228" s="319" t="n">
        <v>0</v>
      </c>
      <c r="AC228" s="319" t="n">
        <v>0</v>
      </c>
      <c r="AD228" s="319" t="n">
        <v>0</v>
      </c>
      <c r="AE228" s="319" t="n">
        <v>0</v>
      </c>
      <c r="AF228" s="319" t="n">
        <v>0</v>
      </c>
      <c r="AG228" s="319" t="n">
        <v>0</v>
      </c>
      <c r="AH228" s="319" t="n">
        <v>0</v>
      </c>
      <c r="AI228" s="319" t="n">
        <v>0</v>
      </c>
      <c r="AJ228" s="319" t="n">
        <v>37157.21</v>
      </c>
    </row>
    <row r="229" customFormat="false" ht="17.35" hidden="false" customHeight="false" outlineLevel="0" collapsed="false">
      <c r="A229" s="308" t="s">
        <v>200</v>
      </c>
      <c r="B229" s="322"/>
      <c r="C229" s="312"/>
      <c r="D229" s="314" t="str">
        <f aca="false">IFERROR(VLOOKUP(B229,'[1]detailed model'!$a$6:$C$92,3,FALSE()),"NOT CODED/ERROR")</f>
        <v>NOT CODED/ERROR</v>
      </c>
      <c r="E229" s="311"/>
      <c r="F229" s="312" t="e">
        <f aca="false">VLOOKUP(B229,'[1]detailed model'!a211:C289,3,FALSE())</f>
        <v>#NAME?</v>
      </c>
      <c r="G229" s="0" t="s">
        <v>351</v>
      </c>
      <c r="H229" s="315"/>
      <c r="I229" s="315"/>
      <c r="J229" s="315"/>
      <c r="K229" s="315"/>
      <c r="L229" s="315"/>
      <c r="M229" s="315"/>
      <c r="N229" s="315"/>
      <c r="O229" s="315"/>
      <c r="P229" s="315"/>
      <c r="Q229" s="315"/>
      <c r="R229" s="315"/>
      <c r="S229" s="315"/>
      <c r="T229" s="315"/>
      <c r="U229" s="315"/>
      <c r="V229" s="315"/>
      <c r="W229" s="315"/>
      <c r="X229" s="315"/>
      <c r="Y229" s="319" t="n">
        <v>0</v>
      </c>
      <c r="Z229" s="319" t="n">
        <v>42565.78</v>
      </c>
      <c r="AA229" s="319" t="n">
        <v>0</v>
      </c>
      <c r="AB229" s="319" t="n">
        <v>0</v>
      </c>
      <c r="AC229" s="319" t="n">
        <v>0</v>
      </c>
      <c r="AD229" s="319" t="n">
        <v>0</v>
      </c>
      <c r="AE229" s="319" t="n">
        <v>0</v>
      </c>
      <c r="AF229" s="319" t="n">
        <v>0</v>
      </c>
      <c r="AG229" s="319" t="n">
        <v>0</v>
      </c>
      <c r="AH229" s="319" t="n">
        <v>0</v>
      </c>
      <c r="AI229" s="319" t="n">
        <v>71867.28</v>
      </c>
      <c r="AJ229" s="319" t="n">
        <v>0</v>
      </c>
    </row>
    <row r="230" customFormat="false" ht="17.35" hidden="false" customHeight="false" outlineLevel="0" collapsed="false">
      <c r="A230" s="308" t="s">
        <v>200</v>
      </c>
      <c r="B230" s="312"/>
      <c r="C230" s="312"/>
      <c r="D230" s="314" t="str">
        <f aca="false">IFERROR(VLOOKUP(B230,'[1]detailed model'!$a$6:$C$92,3,FALSE()),"NOT CODED/ERROR")</f>
        <v>NOT CODED/ERROR</v>
      </c>
      <c r="E230" s="311"/>
      <c r="F230" s="312" t="e">
        <f aca="false">VLOOKUP(B230,'[1]detailed model'!a212:C290,3,FALSE())</f>
        <v>#NAME?</v>
      </c>
      <c r="G230" s="0" t="s">
        <v>352</v>
      </c>
      <c r="H230" s="315"/>
      <c r="I230" s="315"/>
      <c r="J230" s="315"/>
      <c r="K230" s="315"/>
      <c r="L230" s="315"/>
      <c r="M230" s="315"/>
      <c r="N230" s="315"/>
      <c r="O230" s="315"/>
      <c r="P230" s="315"/>
      <c r="Q230" s="315"/>
      <c r="R230" s="315"/>
      <c r="S230" s="315"/>
      <c r="T230" s="315"/>
      <c r="U230" s="315"/>
      <c r="V230" s="315"/>
      <c r="W230" s="315"/>
      <c r="X230" s="315"/>
      <c r="Y230" s="319" t="n">
        <v>6658.6</v>
      </c>
      <c r="Z230" s="319" t="n">
        <v>17367.3</v>
      </c>
      <c r="AA230" s="319" t="n">
        <v>0</v>
      </c>
      <c r="AB230" s="319" t="n">
        <v>10510.35</v>
      </c>
      <c r="AC230" s="319" t="n">
        <v>25885.61</v>
      </c>
      <c r="AD230" s="319" t="n">
        <v>0</v>
      </c>
      <c r="AE230" s="319" t="n">
        <v>39550.4</v>
      </c>
      <c r="AF230" s="319" t="n">
        <v>8894.69</v>
      </c>
      <c r="AG230" s="319" t="n">
        <v>0</v>
      </c>
      <c r="AH230" s="319" t="n">
        <v>61968.98</v>
      </c>
      <c r="AI230" s="319" t="n">
        <v>28072.73</v>
      </c>
      <c r="AJ230" s="319" t="n">
        <v>51762.75</v>
      </c>
    </row>
    <row r="231" customFormat="false" ht="17.35" hidden="false" customHeight="false" outlineLevel="0" collapsed="false">
      <c r="A231" s="308" t="s">
        <v>200</v>
      </c>
      <c r="B231" s="312"/>
      <c r="C231" s="312"/>
      <c r="D231" s="314" t="str">
        <f aca="false">IFERROR(VLOOKUP(B231,'[1]detailed model'!$a$6:$C$92,3,FALSE()),"NOT CODED/ERROR")</f>
        <v>NOT CODED/ERROR</v>
      </c>
      <c r="E231" s="311"/>
      <c r="F231" s="312" t="e">
        <f aca="false">VLOOKUP(B231,'[1]detailed model'!a213:C291,3,FALSE())</f>
        <v>#NAME?</v>
      </c>
      <c r="G231" s="0" t="s">
        <v>353</v>
      </c>
      <c r="H231" s="315"/>
      <c r="I231" s="315"/>
      <c r="J231" s="315"/>
      <c r="K231" s="315"/>
      <c r="L231" s="315"/>
      <c r="M231" s="315"/>
      <c r="N231" s="315"/>
      <c r="O231" s="315"/>
      <c r="P231" s="315"/>
      <c r="Q231" s="315"/>
      <c r="R231" s="315"/>
      <c r="S231" s="315"/>
      <c r="T231" s="315"/>
      <c r="U231" s="315"/>
      <c r="V231" s="315"/>
      <c r="W231" s="315"/>
      <c r="X231" s="315"/>
      <c r="Y231" s="319" t="n">
        <v>6658.6</v>
      </c>
      <c r="Z231" s="319" t="n">
        <v>59933.08</v>
      </c>
      <c r="AA231" s="319" t="n">
        <v>0</v>
      </c>
      <c r="AB231" s="319" t="n">
        <v>10510.35</v>
      </c>
      <c r="AC231" s="319" t="n">
        <v>25885.61</v>
      </c>
      <c r="AD231" s="319" t="n">
        <v>0</v>
      </c>
      <c r="AE231" s="319" t="n">
        <v>39550.4</v>
      </c>
      <c r="AF231" s="319" t="n">
        <v>8894.69</v>
      </c>
      <c r="AG231" s="319" t="n">
        <v>0</v>
      </c>
      <c r="AH231" s="319" t="n">
        <v>61968.98</v>
      </c>
      <c r="AI231" s="319" t="n">
        <v>99940.01</v>
      </c>
      <c r="AJ231" s="319" t="n">
        <v>88919.96</v>
      </c>
    </row>
    <row r="232" customFormat="false" ht="17.35" hidden="false" customHeight="false" outlineLevel="0" collapsed="false">
      <c r="A232" s="308" t="s">
        <v>200</v>
      </c>
      <c r="B232" s="312"/>
      <c r="C232" s="312"/>
      <c r="D232" s="314" t="str">
        <f aca="false">IFERROR(VLOOKUP(B232,'[1]detailed model'!$a$6:$C$92,3,FALSE()),"NOT CODED/ERROR")</f>
        <v>NOT CODED/ERROR</v>
      </c>
      <c r="E232" s="311"/>
      <c r="F232" s="312" t="e">
        <f aca="false">VLOOKUP(B232,'[1]detailed model'!a214:C292,3,FALSE())</f>
        <v>#NAME?</v>
      </c>
      <c r="G232" s="0" t="s">
        <v>171</v>
      </c>
    </row>
    <row r="233" customFormat="false" ht="17.35" hidden="false" customHeight="false" outlineLevel="0" collapsed="false">
      <c r="A233" s="308" t="s">
        <v>200</v>
      </c>
      <c r="B233" s="312"/>
      <c r="C233" s="312"/>
      <c r="D233" s="314" t="str">
        <f aca="false">IFERROR(VLOOKUP(B233,'[1]detailed model'!$a$6:$C$92,3,FALSE()),"NOT CODED/ERROR")</f>
        <v>NOT CODED/ERROR</v>
      </c>
      <c r="E233" s="311"/>
      <c r="F233" s="312" t="e">
        <f aca="false">VLOOKUP(B233,'[1]detailed model'!a215:C293,3,FALSE())</f>
        <v>#NAME?</v>
      </c>
      <c r="G233" s="0" t="s">
        <v>354</v>
      </c>
      <c r="H233" s="315"/>
      <c r="I233" s="315"/>
      <c r="J233" s="315"/>
      <c r="K233" s="315"/>
      <c r="L233" s="315"/>
      <c r="M233" s="315"/>
      <c r="N233" s="315"/>
      <c r="O233" s="315"/>
      <c r="P233" s="315"/>
      <c r="Q233" s="315"/>
      <c r="R233" s="315"/>
      <c r="S233" s="315"/>
      <c r="T233" s="315"/>
      <c r="U233" s="315"/>
      <c r="V233" s="315"/>
      <c r="W233" s="315"/>
      <c r="X233" s="315"/>
      <c r="Y233" s="324" t="n">
        <v>16498</v>
      </c>
      <c r="Z233" s="324" t="n">
        <v>-109194</v>
      </c>
      <c r="AA233" s="324" t="n">
        <v>14014</v>
      </c>
      <c r="AB233" s="324" t="n">
        <v>24004</v>
      </c>
      <c r="AC233" s="324" t="n">
        <v>-12133</v>
      </c>
      <c r="AD233" s="324" t="n">
        <v>38981</v>
      </c>
      <c r="AE233" s="324" t="n">
        <v>-27691</v>
      </c>
      <c r="AF233" s="324" t="n">
        <v>-23697</v>
      </c>
      <c r="AG233" s="324" t="n">
        <v>82625</v>
      </c>
      <c r="AH233" s="324" t="n">
        <v>-24539</v>
      </c>
      <c r="AI233" s="324" t="n">
        <v>-30923</v>
      </c>
      <c r="AJ233" s="324" t="n">
        <v>-47126</v>
      </c>
    </row>
    <row r="234" customFormat="false" ht="17.35" hidden="false" customHeight="false" outlineLevel="0" collapsed="false">
      <c r="A234" s="308" t="s">
        <v>200</v>
      </c>
      <c r="B234" s="312"/>
      <c r="C234" s="312"/>
      <c r="D234" s="314" t="str">
        <f aca="false">IFERROR(VLOOKUP(B234,'[1]detailed model'!$a$6:$C$92,3,FALSE()),"NOT CODED/ERROR")</f>
        <v>NOT CODED/ERROR</v>
      </c>
      <c r="E234" s="311"/>
      <c r="F234" s="312" t="e">
        <f aca="false">VLOOKUP(B234,'[1]detailed model'!a216:C294,3,FALSE())</f>
        <v>#NAME?</v>
      </c>
      <c r="G234" s="0" t="s">
        <v>171</v>
      </c>
    </row>
    <row r="235" customFormat="false" ht="17.35" hidden="false" customHeight="false" outlineLevel="0" collapsed="false">
      <c r="A235" s="317" t="s">
        <v>200</v>
      </c>
      <c r="B235" s="312"/>
      <c r="C235" s="325"/>
      <c r="D235" s="314" t="str">
        <f aca="false">IFERROR(VLOOKUP(B235,'[1]detailed model'!$a$6:$C$92,3,FALSE()),"NOT CODED/ERROR")</f>
        <v>NOT CODED/ERROR</v>
      </c>
      <c r="E235" s="326"/>
      <c r="F235" s="312" t="e">
        <f aca="false">VLOOKUP(B235,'[1]detailed model'!a217:C295,3,FALSE())</f>
        <v>#NAME?</v>
      </c>
      <c r="G235" s="0" t="s">
        <v>171</v>
      </c>
    </row>
    <row r="236" customFormat="false" ht="17.35" hidden="false" customHeight="false" outlineLevel="0" collapsed="false">
      <c r="A236" s="317" t="s">
        <v>200</v>
      </c>
      <c r="B236" s="312"/>
      <c r="C236" s="312"/>
      <c r="D236" s="314" t="str">
        <f aca="false">IFERROR(VLOOKUP(B236,'[1]detailed model'!$a$6:$C$92,3,FALSE()),"NOT CODED/ERROR")</f>
        <v>NOT CODED/ERROR</v>
      </c>
      <c r="E236" s="311"/>
      <c r="F236" s="312" t="e">
        <f aca="false">VLOOKUP(B236,'[1]detailed model'!a218:C296,3,FALSE())</f>
        <v>#NAME?</v>
      </c>
      <c r="G236" s="0" t="s">
        <v>355</v>
      </c>
      <c r="H236" s="315"/>
      <c r="I236" s="315"/>
      <c r="J236" s="315"/>
      <c r="K236" s="315"/>
      <c r="L236" s="315"/>
      <c r="M236" s="315"/>
      <c r="N236" s="315"/>
      <c r="O236" s="315"/>
      <c r="P236" s="315"/>
      <c r="Q236" s="315"/>
      <c r="R236" s="315"/>
      <c r="S236" s="315"/>
      <c r="T236" s="315"/>
      <c r="U236" s="315"/>
      <c r="V236" s="315"/>
      <c r="W236" s="315"/>
      <c r="X236" s="315"/>
      <c r="Y236" s="0" t="s">
        <v>349</v>
      </c>
      <c r="Z236" s="0" t="s">
        <v>349</v>
      </c>
      <c r="AA236" s="0" t="s">
        <v>349</v>
      </c>
      <c r="AB236" s="0" t="s">
        <v>349</v>
      </c>
      <c r="AC236" s="0" t="s">
        <v>349</v>
      </c>
      <c r="AD236" s="0" t="s">
        <v>349</v>
      </c>
      <c r="AE236" s="0" t="s">
        <v>349</v>
      </c>
      <c r="AF236" s="0" t="s">
        <v>349</v>
      </c>
      <c r="AG236" s="0" t="s">
        <v>349</v>
      </c>
      <c r="AH236" s="0" t="s">
        <v>349</v>
      </c>
      <c r="AI236" s="0" t="s">
        <v>349</v>
      </c>
      <c r="AJ236" s="0" t="s">
        <v>349</v>
      </c>
    </row>
    <row r="237" customFormat="false" ht="17.35" hidden="false" customHeight="false" outlineLevel="0" collapsed="false">
      <c r="A237" s="317" t="s">
        <v>200</v>
      </c>
      <c r="B237" s="312"/>
      <c r="C237" s="312"/>
      <c r="D237" s="314" t="str">
        <f aca="false">IFERROR(VLOOKUP(B237,'[1]detailed model'!$a$6:$C$92,3,FALSE()),"NOT CODED/ERROR")</f>
        <v>NOT CODED/ERROR</v>
      </c>
      <c r="E237" s="311"/>
      <c r="F237" s="312" t="e">
        <f aca="false">VLOOKUP(B237,'[1]detailed model'!a219:C297,3,FALSE())</f>
        <v>#NAME?</v>
      </c>
      <c r="G237" s="0" t="s">
        <v>356</v>
      </c>
      <c r="H237" s="315"/>
      <c r="I237" s="315"/>
      <c r="J237" s="315"/>
      <c r="K237" s="315"/>
      <c r="L237" s="315"/>
      <c r="M237" s="315"/>
      <c r="N237" s="315"/>
      <c r="O237" s="315"/>
      <c r="P237" s="315"/>
      <c r="Q237" s="315"/>
      <c r="R237" s="315"/>
      <c r="S237" s="315"/>
      <c r="T237" s="315"/>
      <c r="U237" s="315"/>
      <c r="V237" s="315"/>
      <c r="W237" s="315"/>
      <c r="X237" s="315"/>
      <c r="Y237" s="319" t="n">
        <v>246991.28</v>
      </c>
      <c r="Z237" s="319" t="n">
        <v>231017.54</v>
      </c>
      <c r="AA237" s="319" t="n">
        <v>244496.03</v>
      </c>
      <c r="AB237" s="319" t="n">
        <v>246430.88</v>
      </c>
      <c r="AC237" s="319" t="n">
        <v>260949.19</v>
      </c>
      <c r="AD237" s="319" t="n">
        <v>248014.36</v>
      </c>
      <c r="AE237" s="319" t="n">
        <v>242987.83</v>
      </c>
      <c r="AF237" s="319" t="n">
        <v>266173.37</v>
      </c>
      <c r="AG237" s="319" t="n">
        <v>254486.13</v>
      </c>
      <c r="AH237" s="319" t="n">
        <v>241943.84</v>
      </c>
      <c r="AI237" s="319" t="n">
        <v>240006.29</v>
      </c>
      <c r="AJ237" s="319" t="n">
        <v>246424.09</v>
      </c>
    </row>
    <row r="238" customFormat="false" ht="17.35" hidden="false" customHeight="false" outlineLevel="0" collapsed="false">
      <c r="A238" s="317" t="s">
        <v>200</v>
      </c>
      <c r="B238" s="312"/>
      <c r="C238" s="312"/>
      <c r="D238" s="314" t="str">
        <f aca="false">IFERROR(VLOOKUP(B238,'[1]detailed model'!$a$6:$C$92,3,FALSE()),"NOT CODED/ERROR")</f>
        <v>NOT CODED/ERROR</v>
      </c>
      <c r="E238" s="311"/>
      <c r="F238" s="312" t="e">
        <f aca="false">VLOOKUP(B238,'[1]detailed model'!a220:C298,3,FALSE())</f>
        <v>#NAME?</v>
      </c>
      <c r="G238" s="0" t="s">
        <v>357</v>
      </c>
      <c r="H238" s="315"/>
      <c r="I238" s="315"/>
      <c r="J238" s="315"/>
      <c r="K238" s="315"/>
      <c r="L238" s="315"/>
      <c r="M238" s="315"/>
      <c r="N238" s="315"/>
      <c r="O238" s="315"/>
      <c r="P238" s="315"/>
      <c r="Q238" s="315"/>
      <c r="R238" s="315"/>
      <c r="S238" s="315"/>
      <c r="T238" s="315"/>
      <c r="U238" s="315"/>
      <c r="V238" s="315"/>
      <c r="W238" s="315"/>
      <c r="X238" s="315"/>
      <c r="Y238" s="319" t="n">
        <v>54561.48</v>
      </c>
      <c r="Z238" s="319" t="n">
        <v>53114.95</v>
      </c>
      <c r="AA238" s="319" t="n">
        <v>52114.36</v>
      </c>
      <c r="AB238" s="319" t="n">
        <v>52760.39</v>
      </c>
      <c r="AC238" s="319" t="n">
        <v>56137.07</v>
      </c>
      <c r="AD238" s="319" t="n">
        <v>54966.03</v>
      </c>
      <c r="AE238" s="319" t="n">
        <v>57489.12</v>
      </c>
      <c r="AF238" s="319" t="n">
        <v>64824.89</v>
      </c>
      <c r="AG238" s="319" t="n">
        <v>52827.82</v>
      </c>
      <c r="AH238" s="319" t="n">
        <v>51919.68</v>
      </c>
      <c r="AI238" s="319" t="n">
        <v>50352.33</v>
      </c>
      <c r="AJ238" s="319" t="n">
        <v>53668.53</v>
      </c>
    </row>
    <row r="239" customFormat="false" ht="17.35" hidden="false" customHeight="false" outlineLevel="0" collapsed="false">
      <c r="A239" s="317" t="s">
        <v>200</v>
      </c>
      <c r="B239" s="312"/>
      <c r="C239" s="312"/>
      <c r="D239" s="314" t="str">
        <f aca="false">IFERROR(VLOOKUP(B239,'[1]detailed model'!$a$6:$C$92,3,FALSE()),"NOT CODED/ERROR")</f>
        <v>NOT CODED/ERROR</v>
      </c>
      <c r="E239" s="311"/>
      <c r="F239" s="312" t="e">
        <f aca="false">VLOOKUP(B239,'[1]detailed model'!a221:C299,3,FALSE())</f>
        <v>#NAME?</v>
      </c>
      <c r="G239" s="0" t="s">
        <v>358</v>
      </c>
      <c r="H239" s="315"/>
      <c r="I239" s="315"/>
      <c r="J239" s="315"/>
      <c r="K239" s="315"/>
      <c r="L239" s="315"/>
      <c r="M239" s="315"/>
      <c r="N239" s="315"/>
      <c r="O239" s="315"/>
      <c r="P239" s="315"/>
      <c r="Q239" s="315"/>
      <c r="R239" s="315"/>
      <c r="S239" s="315"/>
      <c r="T239" s="315"/>
      <c r="U239" s="315"/>
      <c r="V239" s="315"/>
      <c r="W239" s="315"/>
      <c r="X239" s="315"/>
      <c r="Y239" s="319" t="n">
        <v>11647.8</v>
      </c>
      <c r="Z239" s="319" t="n">
        <v>17558.19</v>
      </c>
      <c r="AA239" s="319" t="n">
        <v>12407.41</v>
      </c>
      <c r="AB239" s="319" t="n">
        <v>20442.51</v>
      </c>
      <c r="AC239" s="319" t="n">
        <v>14818.14</v>
      </c>
      <c r="AD239" s="319" t="n">
        <v>19315.5</v>
      </c>
      <c r="AE239" s="319" t="n">
        <v>22448.82</v>
      </c>
      <c r="AF239" s="319" t="n">
        <v>20067.2</v>
      </c>
      <c r="AG239" s="319" t="n">
        <v>11095.37</v>
      </c>
      <c r="AH239" s="319" t="n">
        <v>11165.7</v>
      </c>
      <c r="AI239" s="319" t="n">
        <v>10090.19</v>
      </c>
      <c r="AJ239" s="319" t="n">
        <v>19778.4</v>
      </c>
    </row>
    <row r="240" customFormat="false" ht="17.35" hidden="false" customHeight="false" outlineLevel="0" collapsed="false">
      <c r="A240" s="317" t="s">
        <v>200</v>
      </c>
      <c r="B240" s="312"/>
      <c r="C240" s="312"/>
      <c r="D240" s="314" t="str">
        <f aca="false">IFERROR(VLOOKUP(B240,'[1]detailed model'!$a$6:$C$92,3,FALSE()),"NOT CODED/ERROR")</f>
        <v>NOT CODED/ERROR</v>
      </c>
      <c r="E240" s="311"/>
      <c r="F240" s="312" t="e">
        <f aca="false">VLOOKUP(B240,'[1]detailed model'!a222:C300,3,FALSE())</f>
        <v>#NAME?</v>
      </c>
      <c r="G240" s="0" t="s">
        <v>359</v>
      </c>
      <c r="H240" s="315"/>
      <c r="I240" s="315"/>
      <c r="J240" s="315"/>
      <c r="K240" s="315"/>
      <c r="L240" s="315"/>
      <c r="M240" s="315"/>
      <c r="N240" s="315"/>
      <c r="O240" s="315"/>
      <c r="P240" s="315"/>
      <c r="Q240" s="315"/>
      <c r="R240" s="315"/>
      <c r="S240" s="315"/>
      <c r="T240" s="315"/>
      <c r="U240" s="315"/>
      <c r="V240" s="315"/>
      <c r="W240" s="315"/>
      <c r="X240" s="315"/>
      <c r="Y240" s="319" t="n">
        <v>27283.99</v>
      </c>
      <c r="Z240" s="319" t="n">
        <v>28773.76</v>
      </c>
      <c r="AA240" s="319" t="n">
        <v>26210.25</v>
      </c>
      <c r="AB240" s="319" t="n">
        <v>23632.56</v>
      </c>
      <c r="AC240" s="319" t="n">
        <v>31083.23</v>
      </c>
      <c r="AD240" s="319" t="n">
        <v>23085.06</v>
      </c>
      <c r="AE240" s="319" t="n">
        <v>23854.14</v>
      </c>
      <c r="AF240" s="319" t="n">
        <v>18648.23</v>
      </c>
      <c r="AG240" s="319" t="n">
        <v>18118.83</v>
      </c>
      <c r="AH240" s="319" t="n">
        <v>23400.13</v>
      </c>
      <c r="AI240" s="319" t="n">
        <v>23174.15</v>
      </c>
      <c r="AJ240" s="319" t="n">
        <v>29321.2</v>
      </c>
    </row>
    <row r="241" customFormat="false" ht="17.35" hidden="false" customHeight="false" outlineLevel="0" collapsed="false">
      <c r="A241" s="317" t="s">
        <v>200</v>
      </c>
      <c r="B241" s="312"/>
      <c r="C241" s="312"/>
      <c r="D241" s="314" t="str">
        <f aca="false">IFERROR(VLOOKUP(B241,'[1]detailed model'!$a$6:$C$92,3,FALSE()),"NOT CODED/ERROR")</f>
        <v>NOT CODED/ERROR</v>
      </c>
      <c r="E241" s="311"/>
      <c r="F241" s="312" t="e">
        <f aca="false">VLOOKUP(B241,'[1]detailed model'!a223:C301,3,FALSE())</f>
        <v>#NAME?</v>
      </c>
      <c r="G241" s="0" t="s">
        <v>360</v>
      </c>
      <c r="H241" s="315"/>
      <c r="I241" s="315"/>
      <c r="J241" s="315"/>
      <c r="K241" s="315"/>
      <c r="L241" s="315"/>
      <c r="M241" s="315"/>
      <c r="N241" s="315"/>
      <c r="O241" s="315"/>
      <c r="P241" s="315"/>
      <c r="Q241" s="315"/>
      <c r="R241" s="315"/>
      <c r="S241" s="315"/>
      <c r="T241" s="315"/>
      <c r="U241" s="315"/>
      <c r="V241" s="315"/>
      <c r="W241" s="315"/>
      <c r="X241" s="315"/>
      <c r="Y241" s="319" t="n">
        <v>7558.77</v>
      </c>
      <c r="Z241" s="319" t="n">
        <v>8534.81</v>
      </c>
      <c r="AA241" s="319" t="n">
        <v>7117.07</v>
      </c>
      <c r="AB241" s="319" t="n">
        <v>5713.4</v>
      </c>
      <c r="AC241" s="319" t="n">
        <v>7830.38</v>
      </c>
      <c r="AD241" s="319" t="n">
        <v>6509.75</v>
      </c>
      <c r="AE241" s="319" t="n">
        <v>7760.13</v>
      </c>
      <c r="AF241" s="319" t="n">
        <v>6255.87</v>
      </c>
      <c r="AG241" s="319" t="n">
        <v>5511.34</v>
      </c>
      <c r="AH241" s="319" t="n">
        <v>7537.98</v>
      </c>
      <c r="AI241" s="319" t="n">
        <v>7858.5</v>
      </c>
      <c r="AJ241" s="319" t="n">
        <v>7240.64</v>
      </c>
    </row>
    <row r="242" customFormat="false" ht="17.35" hidden="false" customHeight="false" outlineLevel="0" collapsed="false">
      <c r="A242" s="317" t="s">
        <v>200</v>
      </c>
      <c r="B242" s="312"/>
      <c r="C242" s="312"/>
      <c r="D242" s="314" t="str">
        <f aca="false">IFERROR(VLOOKUP(B242,'[1]detailed model'!$a$6:$C$92,3,FALSE()),"NOT CODED/ERROR")</f>
        <v>NOT CODED/ERROR</v>
      </c>
      <c r="E242" s="311"/>
      <c r="F242" s="312" t="e">
        <f aca="false">VLOOKUP(B242,'[1]detailed model'!a224:C302,3,FALSE())</f>
        <v>#NAME?</v>
      </c>
      <c r="G242" s="0" t="s">
        <v>361</v>
      </c>
      <c r="H242" s="315"/>
      <c r="I242" s="315"/>
      <c r="J242" s="315"/>
      <c r="K242" s="315"/>
      <c r="L242" s="315"/>
      <c r="M242" s="315"/>
      <c r="N242" s="315"/>
      <c r="O242" s="315"/>
      <c r="P242" s="315"/>
      <c r="Q242" s="315"/>
      <c r="R242" s="315"/>
      <c r="S242" s="315"/>
      <c r="T242" s="315"/>
      <c r="U242" s="315"/>
      <c r="V242" s="315"/>
      <c r="W242" s="315"/>
      <c r="X242" s="315"/>
      <c r="Y242" s="319" t="n">
        <v>11654.39</v>
      </c>
      <c r="Z242" s="319" t="n">
        <v>15895.45</v>
      </c>
      <c r="AA242" s="319" t="n">
        <v>5611.65</v>
      </c>
      <c r="AB242" s="319" t="n">
        <v>9699.76</v>
      </c>
      <c r="AC242" s="319" t="n">
        <v>12803.32</v>
      </c>
      <c r="AD242" s="319" t="n">
        <v>17177.53</v>
      </c>
      <c r="AE242" s="319" t="n">
        <v>5500</v>
      </c>
      <c r="AF242" s="319" t="n">
        <v>25785.67</v>
      </c>
      <c r="AG242" s="319" t="n">
        <v>11646</v>
      </c>
      <c r="AH242" s="319" t="n">
        <v>8147</v>
      </c>
      <c r="AI242" s="319" t="n">
        <v>2100</v>
      </c>
      <c r="AJ242" s="319" t="n">
        <v>6161</v>
      </c>
    </row>
    <row r="243" customFormat="false" ht="17.35" hidden="false" customHeight="false" outlineLevel="0" collapsed="false">
      <c r="A243" s="317" t="s">
        <v>200</v>
      </c>
      <c r="B243" s="312"/>
      <c r="C243" s="312"/>
      <c r="D243" s="314" t="str">
        <f aca="false">IFERROR(VLOOKUP(B243,'[1]detailed model'!$a$6:$C$92,3,FALSE()),"NOT CODED/ERROR")</f>
        <v>NOT CODED/ERROR</v>
      </c>
      <c r="E243" s="311"/>
      <c r="F243" s="312" t="e">
        <f aca="false">VLOOKUP(B243,'[1]detailed model'!a225:C303,3,FALSE())</f>
        <v>#NAME?</v>
      </c>
      <c r="G243" s="0" t="s">
        <v>362</v>
      </c>
      <c r="H243" s="315"/>
      <c r="I243" s="315"/>
      <c r="J243" s="315"/>
      <c r="K243" s="315"/>
      <c r="L243" s="315"/>
      <c r="M243" s="315"/>
      <c r="N243" s="315"/>
      <c r="O243" s="315"/>
      <c r="P243" s="315"/>
      <c r="Q243" s="315"/>
      <c r="R243" s="315"/>
      <c r="S243" s="315"/>
      <c r="T243" s="315"/>
      <c r="U243" s="315"/>
      <c r="V243" s="315"/>
      <c r="W243" s="315"/>
      <c r="X243" s="315"/>
      <c r="Y243" s="319" t="n">
        <v>2242.95</v>
      </c>
      <c r="Z243" s="319" t="n">
        <v>3016.02</v>
      </c>
      <c r="AA243" s="319" t="n">
        <v>3194.75</v>
      </c>
      <c r="AB243" s="319" t="n">
        <v>741.94</v>
      </c>
      <c r="AC243" s="319" t="n">
        <v>727.06</v>
      </c>
      <c r="AD243" s="319" t="n">
        <v>3363.28</v>
      </c>
      <c r="AE243" s="319" t="n">
        <v>1270.53</v>
      </c>
      <c r="AF243" s="319" t="n">
        <v>2176.24</v>
      </c>
      <c r="AG243" s="319" t="n">
        <v>2751.01</v>
      </c>
      <c r="AH243" s="319" t="n">
        <v>1341.54</v>
      </c>
      <c r="AI243" s="319" t="n">
        <v>446.1</v>
      </c>
      <c r="AJ243" s="319" t="n">
        <v>2172.43</v>
      </c>
    </row>
    <row r="244" customFormat="false" ht="17.35" hidden="false" customHeight="false" outlineLevel="0" collapsed="false">
      <c r="A244" s="317" t="s">
        <v>200</v>
      </c>
      <c r="B244" s="312"/>
      <c r="C244" s="312"/>
      <c r="D244" s="314" t="str">
        <f aca="false">IFERROR(VLOOKUP(B244,'[1]detailed model'!$a$6:$C$92,3,FALSE()),"NOT CODED/ERROR")</f>
        <v>NOT CODED/ERROR</v>
      </c>
      <c r="E244" s="311"/>
      <c r="F244" s="312" t="e">
        <f aca="false">VLOOKUP(B244,'[1]detailed model'!a226:C304,3,FALSE())</f>
        <v>#NAME?</v>
      </c>
      <c r="G244" s="0" t="s">
        <v>363</v>
      </c>
      <c r="H244" s="315"/>
      <c r="I244" s="315"/>
      <c r="J244" s="315"/>
      <c r="K244" s="315"/>
      <c r="L244" s="315"/>
      <c r="M244" s="315"/>
      <c r="N244" s="315"/>
      <c r="O244" s="315"/>
      <c r="P244" s="315"/>
      <c r="Q244" s="315"/>
      <c r="R244" s="315"/>
      <c r="S244" s="315"/>
      <c r="T244" s="315"/>
      <c r="U244" s="315"/>
      <c r="V244" s="315"/>
      <c r="W244" s="315"/>
      <c r="X244" s="315"/>
      <c r="Y244" s="319" t="n">
        <v>13326.13</v>
      </c>
      <c r="Z244" s="319" t="n">
        <v>34510.23</v>
      </c>
      <c r="AA244" s="319" t="n">
        <v>18159.59</v>
      </c>
      <c r="AB244" s="319" t="n">
        <v>425.09</v>
      </c>
      <c r="AC244" s="319" t="n">
        <v>790.68</v>
      </c>
      <c r="AD244" s="319" t="n">
        <v>0</v>
      </c>
      <c r="AE244" s="319" t="n">
        <v>1850</v>
      </c>
      <c r="AF244" s="319" t="n">
        <v>3808.01</v>
      </c>
      <c r="AG244" s="319" t="n">
        <v>3000</v>
      </c>
      <c r="AH244" s="319" t="n">
        <v>7262.76</v>
      </c>
      <c r="AI244" s="319" t="n">
        <v>1021.99</v>
      </c>
      <c r="AJ244" s="319" t="n">
        <v>7958.77</v>
      </c>
    </row>
    <row r="245" customFormat="false" ht="17.35" hidden="false" customHeight="false" outlineLevel="0" collapsed="false">
      <c r="A245" s="317" t="s">
        <v>200</v>
      </c>
      <c r="B245" s="312"/>
      <c r="C245" s="312"/>
      <c r="D245" s="314" t="str">
        <f aca="false">IFERROR(VLOOKUP(B245,'[1]detailed model'!$a$6:$C$92,3,FALSE()),"NOT CODED/ERROR")</f>
        <v>NOT CODED/ERROR</v>
      </c>
      <c r="E245" s="311"/>
      <c r="F245" s="312" t="e">
        <f aca="false">VLOOKUP(B245,'[1]detailed model'!a227:C305,3,FALSE())</f>
        <v>#NAME?</v>
      </c>
      <c r="G245" s="0" t="s">
        <v>171</v>
      </c>
    </row>
    <row r="246" customFormat="false" ht="17.35" hidden="false" customHeight="false" outlineLevel="0" collapsed="false">
      <c r="A246" s="317" t="s">
        <v>200</v>
      </c>
      <c r="B246" s="312"/>
      <c r="C246" s="312"/>
      <c r="D246" s="314" t="str">
        <f aca="false">IFERROR(VLOOKUP(B246,'[1]detailed model'!$a$6:$C$92,3,FALSE()),"NOT CODED/ERROR")</f>
        <v>NOT CODED/ERROR</v>
      </c>
      <c r="E246" s="311"/>
      <c r="F246" s="312" t="e">
        <f aca="false">VLOOKUP(B246,'[1]detailed model'!a228:C306,3,FALSE())</f>
        <v>#NAME?</v>
      </c>
      <c r="G246" s="0" t="s">
        <v>364</v>
      </c>
      <c r="H246" s="315"/>
      <c r="I246" s="315"/>
      <c r="J246" s="315"/>
      <c r="K246" s="315"/>
      <c r="L246" s="315"/>
      <c r="M246" s="315"/>
      <c r="N246" s="315"/>
      <c r="O246" s="315"/>
      <c r="P246" s="315"/>
      <c r="Q246" s="315"/>
      <c r="R246" s="315"/>
      <c r="S246" s="315"/>
      <c r="T246" s="315"/>
      <c r="U246" s="315"/>
      <c r="V246" s="315"/>
      <c r="W246" s="315"/>
      <c r="X246" s="315"/>
      <c r="Y246" s="319" t="n">
        <v>375266.79</v>
      </c>
      <c r="Z246" s="319" t="n">
        <v>392420.95</v>
      </c>
      <c r="AA246" s="319" t="n">
        <v>369311.11</v>
      </c>
      <c r="AB246" s="319" t="n">
        <v>359846.53</v>
      </c>
      <c r="AC246" s="319" t="n">
        <v>385139.07</v>
      </c>
      <c r="AD246" s="319" t="n">
        <v>372431.51</v>
      </c>
      <c r="AE246" s="319" t="n">
        <v>363160.57</v>
      </c>
      <c r="AF246" s="319" t="n">
        <v>407739.48</v>
      </c>
      <c r="AG246" s="319" t="n">
        <v>359436.5</v>
      </c>
      <c r="AH246" s="319" t="n">
        <v>352718.63</v>
      </c>
      <c r="AI246" s="319" t="n">
        <v>335049.55</v>
      </c>
      <c r="AJ246" s="319" t="n">
        <v>372725.06</v>
      </c>
    </row>
    <row r="247" customFormat="false" ht="17.35" hidden="false" customHeight="false" outlineLevel="0" collapsed="false">
      <c r="A247" s="317" t="s">
        <v>200</v>
      </c>
      <c r="B247" s="312"/>
      <c r="C247" s="312"/>
      <c r="D247" s="314" t="str">
        <f aca="false">IFERROR(VLOOKUP(B247,'[1]detailed model'!$a$6:$C$92,3,FALSE()),"NOT CODED/ERROR")</f>
        <v>NOT CODED/ERROR</v>
      </c>
      <c r="E247" s="311"/>
      <c r="F247" s="312" t="e">
        <f aca="false">VLOOKUP(B247,'[1]detailed model'!a229:C307,3,FALSE())</f>
        <v>#NAME?</v>
      </c>
    </row>
    <row r="248" customFormat="false" ht="17.35" hidden="false" customHeight="false" outlineLevel="0" collapsed="false">
      <c r="A248" s="317" t="s">
        <v>200</v>
      </c>
      <c r="B248" s="312"/>
      <c r="C248" s="312"/>
      <c r="D248" s="314" t="str">
        <f aca="false">IFERROR(VLOOKUP(B248,'[1]detailed model'!$a$6:$C$92,3,FALSE()),"NOT CODED/ERROR")</f>
        <v>NOT CODED/ERROR</v>
      </c>
      <c r="E248" s="311"/>
      <c r="F248" s="312" t="e">
        <f aca="false">VLOOKUP(B248,'[1]detailed model'!a230:C308,3,FALSE())</f>
        <v>#NAME?</v>
      </c>
    </row>
    <row r="249" customFormat="false" ht="17.35" hidden="false" customHeight="false" outlineLevel="0" collapsed="false">
      <c r="A249" s="317" t="s">
        <v>200</v>
      </c>
      <c r="B249" s="312"/>
      <c r="C249" s="312"/>
      <c r="D249" s="314" t="str">
        <f aca="false">IFERROR(VLOOKUP(B249,'[1]detailed model'!$a$6:$C$92,3,FALSE()),"NOT CODED/ERROR")</f>
        <v>NOT CODED/ERROR</v>
      </c>
      <c r="E249" s="311"/>
      <c r="F249" s="312" t="e">
        <f aca="false">VLOOKUP(B249,'[1]detailed model'!a231:C309,3,FALSE())</f>
        <v>#NAME?</v>
      </c>
    </row>
    <row r="250" customFormat="false" ht="17.35" hidden="false" customHeight="false" outlineLevel="0" collapsed="false">
      <c r="A250" s="317" t="s">
        <v>200</v>
      </c>
      <c r="B250" s="312"/>
      <c r="C250" s="312"/>
      <c r="D250" s="314" t="str">
        <f aca="false">IFERROR(VLOOKUP(B250,'[1]detailed model'!$a$6:$C$92,3,FALSE()),"NOT CODED/ERROR")</f>
        <v>NOT CODED/ERROR</v>
      </c>
      <c r="E250" s="311"/>
      <c r="F250" s="312" t="e">
        <f aca="false">VLOOKUP(B250,'[1]detailed model'!a232:C310,3,FALSE())</f>
        <v>#NAME?</v>
      </c>
      <c r="G250" s="312"/>
      <c r="H250" s="315"/>
      <c r="I250" s="315"/>
      <c r="J250" s="315"/>
      <c r="K250" s="315"/>
      <c r="L250" s="315"/>
      <c r="M250" s="315"/>
      <c r="N250" s="315"/>
      <c r="O250" s="315"/>
      <c r="P250" s="315"/>
      <c r="Q250" s="315"/>
      <c r="R250" s="315"/>
      <c r="S250" s="315"/>
      <c r="T250" s="315"/>
      <c r="U250" s="315"/>
      <c r="V250" s="315"/>
      <c r="W250" s="315"/>
      <c r="X250" s="315"/>
      <c r="Y250" s="327"/>
      <c r="Z250" s="327"/>
    </row>
    <row r="251" customFormat="false" ht="17.35" hidden="false" customHeight="false" outlineLevel="0" collapsed="false">
      <c r="A251" s="317" t="s">
        <v>200</v>
      </c>
      <c r="B251" s="312"/>
      <c r="C251" s="312"/>
      <c r="D251" s="314" t="str">
        <f aca="false">IFERROR(VLOOKUP(B251,'[1]detailed model'!$a$6:$C$92,3,FALSE()),"NOT CODED/ERROR")</f>
        <v>NOT CODED/ERROR</v>
      </c>
      <c r="E251" s="311"/>
      <c r="F251" s="312" t="e">
        <f aca="false">VLOOKUP(B251,'[1]detailed model'!a233:C311,3,FALSE())</f>
        <v>#NAME?</v>
      </c>
      <c r="G251" s="312"/>
      <c r="H251" s="315"/>
      <c r="I251" s="315"/>
      <c r="J251" s="315"/>
      <c r="K251" s="315"/>
      <c r="L251" s="315"/>
      <c r="M251" s="315"/>
      <c r="N251" s="315"/>
      <c r="O251" s="315"/>
      <c r="P251" s="315"/>
      <c r="Q251" s="315"/>
      <c r="R251" s="315"/>
      <c r="S251" s="315"/>
      <c r="T251" s="315"/>
      <c r="U251" s="315"/>
      <c r="V251" s="315"/>
      <c r="W251" s="315"/>
      <c r="X251" s="315"/>
      <c r="Y251" s="327"/>
      <c r="Z251" s="327"/>
    </row>
    <row r="252" customFormat="false" ht="17.35" hidden="false" customHeight="false" outlineLevel="0" collapsed="false">
      <c r="A252" s="317" t="s">
        <v>200</v>
      </c>
      <c r="B252" s="312"/>
      <c r="C252" s="312"/>
      <c r="D252" s="314" t="str">
        <f aca="false">IFERROR(VLOOKUP(B252,'[1]detailed model'!$a$6:$C$92,3,FALSE()),"NOT CODED/ERROR")</f>
        <v>NOT CODED/ERROR</v>
      </c>
      <c r="E252" s="311"/>
      <c r="F252" s="312" t="e">
        <f aca="false">VLOOKUP(B252,'[1]detailed model'!a234:C312,3,FALSE())</f>
        <v>#NAME?</v>
      </c>
      <c r="G252" s="312"/>
      <c r="H252" s="315"/>
      <c r="I252" s="315"/>
      <c r="J252" s="315"/>
      <c r="K252" s="315"/>
      <c r="L252" s="315"/>
      <c r="M252" s="315"/>
      <c r="N252" s="315"/>
      <c r="O252" s="315"/>
      <c r="P252" s="315"/>
      <c r="Q252" s="315"/>
      <c r="R252" s="315"/>
      <c r="S252" s="315"/>
      <c r="T252" s="315"/>
      <c r="U252" s="315"/>
      <c r="V252" s="315"/>
      <c r="W252" s="315"/>
      <c r="X252" s="315"/>
      <c r="Y252" s="327"/>
      <c r="Z252" s="327"/>
    </row>
    <row r="253" customFormat="false" ht="17.35" hidden="false" customHeight="false" outlineLevel="0" collapsed="false">
      <c r="A253" s="317" t="s">
        <v>200</v>
      </c>
      <c r="B253" s="312"/>
      <c r="C253" s="312"/>
      <c r="D253" s="314" t="str">
        <f aca="false">IFERROR(VLOOKUP(B253,'[1]detailed model'!$a$6:$C$92,3,FALSE()),"NOT CODED/ERROR")</f>
        <v>NOT CODED/ERROR</v>
      </c>
      <c r="E253" s="311"/>
      <c r="F253" s="312" t="e">
        <f aca="false">VLOOKUP(B253,'[1]detailed model'!a235:C313,3,FALSE())</f>
        <v>#NAME?</v>
      </c>
      <c r="G253" s="312"/>
      <c r="H253" s="315"/>
      <c r="I253" s="315"/>
      <c r="J253" s="315"/>
      <c r="K253" s="315"/>
      <c r="L253" s="315"/>
      <c r="M253" s="315"/>
      <c r="N253" s="315"/>
      <c r="O253" s="315"/>
      <c r="P253" s="315"/>
      <c r="Q253" s="315"/>
      <c r="R253" s="315"/>
      <c r="S253" s="315"/>
      <c r="T253" s="315"/>
      <c r="U253" s="315"/>
      <c r="V253" s="315"/>
      <c r="W253" s="315"/>
      <c r="X253" s="315"/>
      <c r="Y253" s="327"/>
      <c r="Z253" s="327"/>
    </row>
    <row r="254" customFormat="false" ht="17.35" hidden="false" customHeight="false" outlineLevel="0" collapsed="false">
      <c r="A254" s="317" t="s">
        <v>200</v>
      </c>
      <c r="B254" s="312"/>
      <c r="C254" s="312"/>
      <c r="D254" s="314" t="str">
        <f aca="false">IFERROR(VLOOKUP(B254,'[1]detailed model'!$a$6:$C$92,3,FALSE()),"NOT CODED/ERROR")</f>
        <v>NOT CODED/ERROR</v>
      </c>
      <c r="E254" s="311"/>
      <c r="F254" s="312" t="e">
        <f aca="false">VLOOKUP(B254,'[1]detailed model'!a236:C314,3,FALSE())</f>
        <v>#NAME?</v>
      </c>
      <c r="G254" s="312"/>
      <c r="H254" s="315"/>
      <c r="I254" s="315"/>
      <c r="J254" s="315"/>
      <c r="K254" s="315"/>
      <c r="L254" s="315"/>
      <c r="M254" s="315"/>
      <c r="N254" s="315"/>
      <c r="O254" s="315"/>
      <c r="P254" s="315"/>
      <c r="Q254" s="315"/>
      <c r="R254" s="315"/>
      <c r="S254" s="315"/>
      <c r="T254" s="315"/>
      <c r="U254" s="315"/>
      <c r="V254" s="315"/>
      <c r="W254" s="315"/>
      <c r="X254" s="315"/>
      <c r="Y254" s="327"/>
      <c r="Z254" s="327"/>
    </row>
    <row r="255" customFormat="false" ht="17.35" hidden="false" customHeight="false" outlineLevel="0" collapsed="false">
      <c r="A255" s="317" t="s">
        <v>200</v>
      </c>
      <c r="B255" s="312"/>
      <c r="C255" s="312"/>
      <c r="D255" s="314" t="str">
        <f aca="false">IFERROR(VLOOKUP(B255,'[1]detailed model'!$a$6:$C$92,3,FALSE()),"NOT CODED/ERROR")</f>
        <v>NOT CODED/ERROR</v>
      </c>
      <c r="E255" s="311"/>
      <c r="F255" s="312" t="e">
        <f aca="false">VLOOKUP(B255,'[1]detailed model'!a237:C315,3,FALSE())</f>
        <v>#NAME?</v>
      </c>
      <c r="G255" s="312"/>
      <c r="H255" s="315"/>
      <c r="I255" s="315"/>
      <c r="J255" s="315"/>
      <c r="K255" s="315"/>
      <c r="L255" s="315"/>
      <c r="M255" s="315"/>
      <c r="N255" s="315"/>
      <c r="O255" s="315"/>
      <c r="P255" s="315"/>
      <c r="Q255" s="315"/>
      <c r="R255" s="315"/>
      <c r="S255" s="315"/>
      <c r="T255" s="315"/>
      <c r="U255" s="315"/>
      <c r="V255" s="315"/>
      <c r="W255" s="315"/>
      <c r="X255" s="315"/>
      <c r="Y255" s="327"/>
      <c r="Z255" s="327"/>
    </row>
    <row r="256" customFormat="false" ht="17.35" hidden="false" customHeight="false" outlineLevel="0" collapsed="false">
      <c r="A256" s="317" t="s">
        <v>200</v>
      </c>
      <c r="B256" s="312"/>
      <c r="C256" s="312"/>
      <c r="D256" s="314" t="str">
        <f aca="false">IFERROR(VLOOKUP(B256,'[1]detailed model'!$a$6:$C$92,3,FALSE()),"NOT CODED/ERROR")</f>
        <v>NOT CODED/ERROR</v>
      </c>
      <c r="E256" s="311"/>
      <c r="F256" s="312" t="e">
        <f aca="false">VLOOKUP(B256,'[1]detailed model'!a238:C316,3,FALSE())</f>
        <v>#NAME?</v>
      </c>
      <c r="G256" s="312"/>
      <c r="H256" s="315"/>
      <c r="I256" s="315"/>
      <c r="J256" s="315"/>
      <c r="K256" s="315"/>
      <c r="L256" s="315"/>
      <c r="M256" s="315"/>
      <c r="N256" s="315"/>
      <c r="O256" s="315"/>
      <c r="P256" s="315"/>
      <c r="Q256" s="315"/>
      <c r="R256" s="315"/>
      <c r="S256" s="315"/>
      <c r="T256" s="315"/>
      <c r="U256" s="315"/>
      <c r="V256" s="315"/>
      <c r="W256" s="315"/>
      <c r="X256" s="315"/>
      <c r="Y256" s="327"/>
      <c r="Z256" s="327"/>
    </row>
    <row r="257" customFormat="false" ht="17.35" hidden="false" customHeight="false" outlineLevel="0" collapsed="false">
      <c r="A257" s="317" t="s">
        <v>200</v>
      </c>
      <c r="B257" s="312"/>
      <c r="C257" s="312"/>
      <c r="D257" s="314" t="str">
        <f aca="false">IFERROR(VLOOKUP(B257,'[1]detailed model'!$a$6:$C$92,3,FALSE()),"NOT CODED/ERROR")</f>
        <v>NOT CODED/ERROR</v>
      </c>
      <c r="E257" s="311"/>
      <c r="F257" s="312" t="e">
        <f aca="false">VLOOKUP(B257,'[1]detailed model'!a239:C317,3,FALSE())</f>
        <v>#NAME?</v>
      </c>
      <c r="G257" s="312"/>
      <c r="H257" s="315"/>
      <c r="I257" s="315"/>
      <c r="J257" s="315"/>
      <c r="K257" s="315"/>
      <c r="L257" s="315"/>
      <c r="M257" s="315"/>
      <c r="N257" s="315"/>
      <c r="O257" s="315"/>
      <c r="P257" s="315"/>
      <c r="Q257" s="315"/>
      <c r="R257" s="315"/>
      <c r="S257" s="315"/>
      <c r="T257" s="315"/>
      <c r="U257" s="315"/>
      <c r="V257" s="315"/>
      <c r="W257" s="315"/>
      <c r="X257" s="315"/>
      <c r="Y257" s="327"/>
      <c r="Z257" s="327"/>
    </row>
    <row r="258" customFormat="false" ht="17.35" hidden="false" customHeight="false" outlineLevel="0" collapsed="false">
      <c r="A258" s="317" t="s">
        <v>200</v>
      </c>
      <c r="B258" s="312"/>
      <c r="C258" s="312"/>
      <c r="D258" s="314" t="str">
        <f aca="false">IFERROR(VLOOKUP(B258,'[1]detailed model'!$a$6:$C$92,3,FALSE()),"NOT CODED/ERROR")</f>
        <v>NOT CODED/ERROR</v>
      </c>
      <c r="E258" s="311"/>
      <c r="F258" s="312" t="e">
        <f aca="false">VLOOKUP(B258,'[1]detailed model'!a240:C318,3,FALSE())</f>
        <v>#NAME?</v>
      </c>
      <c r="G258" s="312"/>
      <c r="H258" s="315"/>
      <c r="I258" s="315"/>
      <c r="J258" s="315"/>
      <c r="K258" s="315"/>
      <c r="L258" s="315"/>
      <c r="M258" s="315"/>
      <c r="N258" s="315"/>
      <c r="O258" s="315"/>
      <c r="P258" s="315"/>
      <c r="Q258" s="315"/>
      <c r="R258" s="315"/>
      <c r="S258" s="315"/>
      <c r="T258" s="315"/>
      <c r="U258" s="315"/>
      <c r="V258" s="315"/>
      <c r="W258" s="315"/>
      <c r="X258" s="315"/>
      <c r="Y258" s="327"/>
      <c r="Z258" s="327"/>
    </row>
    <row r="259" customFormat="false" ht="17.35" hidden="false" customHeight="false" outlineLevel="0" collapsed="false">
      <c r="A259" s="317" t="s">
        <v>200</v>
      </c>
      <c r="B259" s="312"/>
      <c r="C259" s="312"/>
      <c r="D259" s="314" t="str">
        <f aca="false">IFERROR(VLOOKUP(B259,'[1]detailed model'!$a$6:$C$92,3,FALSE()),"NOT CODED/ERROR")</f>
        <v>NOT CODED/ERROR</v>
      </c>
      <c r="E259" s="311"/>
      <c r="F259" s="312" t="e">
        <f aca="false">VLOOKUP(B259,'[1]detailed model'!a241:C319,3,FALSE())</f>
        <v>#NAME?</v>
      </c>
      <c r="G259" s="312"/>
      <c r="H259" s="315"/>
      <c r="I259" s="315"/>
      <c r="J259" s="315"/>
      <c r="K259" s="315"/>
      <c r="L259" s="315"/>
      <c r="M259" s="315"/>
      <c r="N259" s="315"/>
      <c r="O259" s="315"/>
      <c r="P259" s="315"/>
      <c r="Q259" s="315"/>
      <c r="R259" s="315"/>
      <c r="S259" s="315"/>
      <c r="T259" s="315"/>
      <c r="U259" s="315"/>
      <c r="V259" s="315"/>
      <c r="W259" s="315"/>
      <c r="X259" s="315"/>
      <c r="Y259" s="327"/>
      <c r="Z259" s="327"/>
    </row>
    <row r="260" customFormat="false" ht="17.35" hidden="false" customHeight="false" outlineLevel="0" collapsed="false">
      <c r="A260" s="317" t="s">
        <v>200</v>
      </c>
      <c r="B260" s="312"/>
      <c r="C260" s="312"/>
      <c r="D260" s="314" t="str">
        <f aca="false">IFERROR(VLOOKUP(B260,'[1]detailed model'!$a$6:$C$92,3,FALSE()),"NOT CODED/ERROR")</f>
        <v>NOT CODED/ERROR</v>
      </c>
      <c r="E260" s="311"/>
      <c r="F260" s="312" t="e">
        <f aca="false">VLOOKUP(B260,'[1]detailed model'!a242:C320,3,FALSE())</f>
        <v>#NAME?</v>
      </c>
      <c r="G260" s="312"/>
      <c r="H260" s="315"/>
      <c r="I260" s="315"/>
      <c r="J260" s="315"/>
      <c r="K260" s="315"/>
      <c r="L260" s="315"/>
      <c r="M260" s="315"/>
      <c r="N260" s="315"/>
      <c r="O260" s="315"/>
      <c r="P260" s="315"/>
      <c r="Q260" s="315"/>
      <c r="R260" s="315"/>
      <c r="S260" s="315"/>
      <c r="T260" s="315"/>
      <c r="U260" s="315"/>
      <c r="V260" s="315"/>
      <c r="W260" s="315"/>
      <c r="X260" s="315"/>
      <c r="Y260" s="327"/>
      <c r="Z260" s="327"/>
    </row>
    <row r="261" customFormat="false" ht="17.35" hidden="false" customHeight="false" outlineLevel="0" collapsed="false">
      <c r="A261" s="317" t="s">
        <v>200</v>
      </c>
      <c r="B261" s="312"/>
      <c r="C261" s="312"/>
      <c r="D261" s="314" t="str">
        <f aca="false">IFERROR(VLOOKUP(B261,'[1]detailed model'!$a$6:$C$92,3,FALSE()),"NOT CODED/ERROR")</f>
        <v>NOT CODED/ERROR</v>
      </c>
      <c r="E261" s="311"/>
      <c r="F261" s="312" t="e">
        <f aca="false">VLOOKUP(B261,'[1]detailed model'!a243:C321,3,FALSE())</f>
        <v>#NAME?</v>
      </c>
      <c r="G261" s="312"/>
      <c r="H261" s="315"/>
      <c r="I261" s="315"/>
      <c r="J261" s="315"/>
      <c r="K261" s="315"/>
      <c r="L261" s="315"/>
      <c r="M261" s="315"/>
      <c r="N261" s="315"/>
      <c r="O261" s="315"/>
      <c r="P261" s="315"/>
      <c r="Q261" s="315"/>
      <c r="R261" s="315"/>
      <c r="S261" s="315"/>
      <c r="T261" s="315"/>
      <c r="U261" s="315"/>
      <c r="V261" s="315"/>
      <c r="W261" s="315"/>
      <c r="X261" s="315"/>
      <c r="Y261" s="327"/>
      <c r="Z261" s="327"/>
    </row>
    <row r="262" customFormat="false" ht="17.35" hidden="false" customHeight="false" outlineLevel="0" collapsed="false">
      <c r="A262" s="317" t="s">
        <v>200</v>
      </c>
      <c r="B262" s="312"/>
      <c r="C262" s="312"/>
      <c r="D262" s="314" t="str">
        <f aca="false">IFERROR(VLOOKUP(B262,'[1]detailed model'!$a$6:$C$92,3,FALSE()),"NOT CODED/ERROR")</f>
        <v>NOT CODED/ERROR</v>
      </c>
      <c r="E262" s="311"/>
      <c r="F262" s="312" t="e">
        <f aca="false">VLOOKUP(B262,'[1]detailed model'!a244:C322,3,FALSE())</f>
        <v>#NAME?</v>
      </c>
      <c r="G262" s="312"/>
      <c r="H262" s="315"/>
      <c r="I262" s="315"/>
      <c r="J262" s="315"/>
      <c r="K262" s="315"/>
      <c r="L262" s="315"/>
      <c r="M262" s="315"/>
      <c r="N262" s="315"/>
      <c r="O262" s="315"/>
      <c r="P262" s="315"/>
      <c r="Q262" s="315"/>
      <c r="R262" s="315"/>
      <c r="S262" s="315"/>
      <c r="T262" s="315"/>
      <c r="U262" s="315"/>
      <c r="V262" s="315"/>
      <c r="W262" s="315"/>
      <c r="X262" s="315"/>
      <c r="Y262" s="327"/>
      <c r="Z262" s="327"/>
    </row>
    <row r="263" customFormat="false" ht="17.35" hidden="false" customHeight="false" outlineLevel="0" collapsed="false">
      <c r="A263" s="317" t="s">
        <v>200</v>
      </c>
      <c r="B263" s="312"/>
      <c r="C263" s="312"/>
      <c r="D263" s="314" t="str">
        <f aca="false">IFERROR(VLOOKUP(B263,'[1]detailed model'!$a$6:$C$92,3,FALSE()),"NOT CODED/ERROR")</f>
        <v>NOT CODED/ERROR</v>
      </c>
      <c r="E263" s="311"/>
      <c r="F263" s="312" t="e">
        <f aca="false">VLOOKUP(B263,'[1]detailed model'!a245:C323,3,FALSE())</f>
        <v>#NAME?</v>
      </c>
      <c r="G263" s="312"/>
      <c r="H263" s="315"/>
      <c r="I263" s="315"/>
      <c r="J263" s="315"/>
      <c r="K263" s="315"/>
      <c r="L263" s="315"/>
      <c r="M263" s="315"/>
      <c r="N263" s="315"/>
      <c r="O263" s="315"/>
      <c r="P263" s="315"/>
      <c r="Q263" s="315"/>
      <c r="R263" s="315"/>
      <c r="S263" s="315"/>
      <c r="T263" s="315"/>
      <c r="U263" s="315"/>
      <c r="V263" s="315"/>
      <c r="W263" s="315"/>
      <c r="X263" s="315"/>
      <c r="Y263" s="327"/>
      <c r="Z263" s="327"/>
    </row>
    <row r="264" customFormat="false" ht="17.35" hidden="false" customHeight="false" outlineLevel="0" collapsed="false">
      <c r="A264" s="317" t="s">
        <v>200</v>
      </c>
      <c r="B264" s="312"/>
      <c r="C264" s="312"/>
      <c r="D264" s="314" t="str">
        <f aca="false">IFERROR(VLOOKUP(B264,'[1]detailed model'!$a$6:$C$92,3,FALSE()),"NOT CODED/ERROR")</f>
        <v>NOT CODED/ERROR</v>
      </c>
      <c r="E264" s="311"/>
      <c r="F264" s="312" t="e">
        <f aca="false">VLOOKUP(B264,'[1]detailed model'!a246:C324,3,FALSE())</f>
        <v>#NAME?</v>
      </c>
      <c r="G264" s="312"/>
      <c r="H264" s="315"/>
      <c r="I264" s="315"/>
      <c r="J264" s="315"/>
      <c r="K264" s="315"/>
      <c r="L264" s="315"/>
      <c r="M264" s="315"/>
      <c r="N264" s="315"/>
      <c r="O264" s="315"/>
      <c r="P264" s="315"/>
      <c r="Q264" s="315"/>
      <c r="R264" s="315"/>
      <c r="S264" s="315"/>
      <c r="T264" s="315"/>
      <c r="U264" s="315"/>
      <c r="V264" s="315"/>
      <c r="W264" s="315"/>
      <c r="X264" s="315"/>
      <c r="Y264" s="327"/>
      <c r="Z264" s="327"/>
    </row>
    <row r="265" customFormat="false" ht="17.35" hidden="false" customHeight="false" outlineLevel="0" collapsed="false">
      <c r="A265" s="317" t="s">
        <v>200</v>
      </c>
      <c r="B265" s="312"/>
      <c r="C265" s="312"/>
      <c r="D265" s="314" t="str">
        <f aca="false">IFERROR(VLOOKUP(B265,'[1]detailed model'!$a$6:$C$92,3,FALSE()),"NOT CODED/ERROR")</f>
        <v>NOT CODED/ERROR</v>
      </c>
      <c r="E265" s="311"/>
      <c r="F265" s="312" t="e">
        <f aca="false">VLOOKUP(B265,'[1]detailed model'!a247:C325,3,FALSE())</f>
        <v>#NAME?</v>
      </c>
      <c r="G265" s="312"/>
      <c r="H265" s="315"/>
      <c r="I265" s="315"/>
      <c r="J265" s="315"/>
      <c r="K265" s="315"/>
      <c r="L265" s="315"/>
      <c r="M265" s="315"/>
      <c r="N265" s="315"/>
      <c r="O265" s="315"/>
      <c r="P265" s="315"/>
      <c r="Q265" s="315"/>
      <c r="R265" s="315"/>
      <c r="S265" s="315"/>
      <c r="T265" s="315"/>
      <c r="U265" s="315"/>
      <c r="V265" s="315"/>
      <c r="W265" s="315"/>
      <c r="X265" s="315"/>
      <c r="Y265" s="327"/>
      <c r="Z265" s="327"/>
    </row>
    <row r="266" customFormat="false" ht="17.35" hidden="false" customHeight="false" outlineLevel="0" collapsed="false">
      <c r="A266" s="317" t="s">
        <v>200</v>
      </c>
      <c r="B266" s="312"/>
      <c r="C266" s="312"/>
      <c r="D266" s="314" t="str">
        <f aca="false">IFERROR(VLOOKUP(B266,'[1]detailed model'!$a$6:$C$92,3,FALSE()),"NOT CODED/ERROR")</f>
        <v>NOT CODED/ERROR</v>
      </c>
      <c r="E266" s="311"/>
      <c r="F266" s="312" t="e">
        <f aca="false">VLOOKUP(B266,'[1]detailed model'!a248:C326,3,FALSE())</f>
        <v>#NAME?</v>
      </c>
      <c r="G266" s="312"/>
      <c r="H266" s="315"/>
      <c r="I266" s="315"/>
      <c r="J266" s="315"/>
      <c r="K266" s="315"/>
      <c r="L266" s="315"/>
      <c r="M266" s="315"/>
      <c r="N266" s="315"/>
      <c r="O266" s="315"/>
      <c r="P266" s="315"/>
      <c r="Q266" s="315"/>
      <c r="R266" s="315"/>
      <c r="S266" s="315"/>
      <c r="T266" s="315"/>
      <c r="U266" s="315"/>
      <c r="V266" s="315"/>
      <c r="W266" s="315"/>
      <c r="X266" s="315"/>
      <c r="Y266" s="327"/>
      <c r="Z266" s="327"/>
    </row>
    <row r="267" customFormat="false" ht="17.35" hidden="false" customHeight="false" outlineLevel="0" collapsed="false">
      <c r="A267" s="317" t="s">
        <v>200</v>
      </c>
      <c r="B267" s="312"/>
      <c r="C267" s="312"/>
      <c r="D267" s="314" t="str">
        <f aca="false">IFERROR(VLOOKUP(B267,'[1]detailed model'!$a$6:$C$92,3,FALSE()),"NOT CODED/ERROR")</f>
        <v>NOT CODED/ERROR</v>
      </c>
      <c r="E267" s="311"/>
      <c r="F267" s="312" t="e">
        <f aca="false">VLOOKUP(B267,'[1]detailed model'!a249:C327,3,FALSE())</f>
        <v>#NAME?</v>
      </c>
      <c r="G267" s="312"/>
      <c r="H267" s="315"/>
      <c r="I267" s="315"/>
      <c r="J267" s="315"/>
      <c r="K267" s="315"/>
      <c r="L267" s="315"/>
      <c r="M267" s="315"/>
      <c r="N267" s="315"/>
      <c r="O267" s="315"/>
      <c r="P267" s="315"/>
      <c r="Q267" s="315"/>
      <c r="R267" s="315"/>
      <c r="S267" s="315"/>
      <c r="T267" s="315"/>
      <c r="U267" s="315"/>
      <c r="V267" s="315"/>
      <c r="W267" s="315"/>
      <c r="X267" s="315"/>
      <c r="Y267" s="327"/>
      <c r="Z267" s="327"/>
    </row>
    <row r="268" customFormat="false" ht="17.35" hidden="false" customHeight="false" outlineLevel="0" collapsed="false">
      <c r="A268" s="317" t="s">
        <v>200</v>
      </c>
      <c r="B268" s="312"/>
      <c r="C268" s="312"/>
      <c r="D268" s="314" t="str">
        <f aca="false">IFERROR(VLOOKUP(B268,'[1]detailed model'!$a$6:$C$92,3,FALSE()),"NOT CODED/ERROR")</f>
        <v>NOT CODED/ERROR</v>
      </c>
      <c r="E268" s="311"/>
      <c r="F268" s="312" t="e">
        <f aca="false">VLOOKUP(B268,'[1]detailed model'!a250:C328,3,FALSE())</f>
        <v>#NAME?</v>
      </c>
      <c r="G268" s="312"/>
      <c r="H268" s="315"/>
      <c r="I268" s="315"/>
      <c r="J268" s="315"/>
      <c r="K268" s="315"/>
      <c r="L268" s="315"/>
      <c r="M268" s="315"/>
      <c r="N268" s="315"/>
      <c r="O268" s="315"/>
      <c r="P268" s="315"/>
      <c r="Q268" s="315"/>
      <c r="R268" s="315"/>
      <c r="S268" s="315"/>
      <c r="T268" s="315"/>
      <c r="U268" s="315"/>
      <c r="V268" s="315"/>
      <c r="W268" s="315"/>
      <c r="X268" s="315"/>
      <c r="Y268" s="327"/>
      <c r="Z268" s="327"/>
    </row>
    <row r="269" customFormat="false" ht="17.35" hidden="false" customHeight="false" outlineLevel="0" collapsed="false">
      <c r="A269" s="317" t="s">
        <v>200</v>
      </c>
      <c r="B269" s="312"/>
      <c r="C269" s="312"/>
      <c r="D269" s="314" t="str">
        <f aca="false">IFERROR(VLOOKUP(B269,'[1]detailed model'!$a$6:$C$92,3,FALSE()),"NOT CODED/ERROR")</f>
        <v>NOT CODED/ERROR</v>
      </c>
      <c r="E269" s="311"/>
      <c r="F269" s="312" t="e">
        <f aca="false">VLOOKUP(B269,'[1]detailed model'!a251:C329,3,FALSE())</f>
        <v>#NAME?</v>
      </c>
      <c r="G269" s="312"/>
      <c r="H269" s="315"/>
      <c r="I269" s="315"/>
      <c r="J269" s="315"/>
      <c r="K269" s="315"/>
      <c r="L269" s="315"/>
      <c r="M269" s="315"/>
      <c r="N269" s="315"/>
      <c r="O269" s="315"/>
      <c r="P269" s="315"/>
      <c r="Q269" s="315"/>
      <c r="R269" s="315"/>
      <c r="S269" s="315"/>
      <c r="T269" s="315"/>
      <c r="U269" s="315"/>
      <c r="V269" s="315"/>
      <c r="W269" s="315"/>
      <c r="X269" s="315"/>
      <c r="Y269" s="327"/>
      <c r="Z269" s="327"/>
    </row>
    <row r="270" customFormat="false" ht="17.35" hidden="false" customHeight="false" outlineLevel="0" collapsed="false">
      <c r="A270" s="317" t="s">
        <v>200</v>
      </c>
      <c r="B270" s="312"/>
      <c r="C270" s="312"/>
      <c r="D270" s="314" t="str">
        <f aca="false">IFERROR(VLOOKUP(B270,'[1]detailed model'!$a$6:$C$92,3,FALSE()),"NOT CODED/ERROR")</f>
        <v>NOT CODED/ERROR</v>
      </c>
      <c r="E270" s="311"/>
      <c r="F270" s="312" t="e">
        <f aca="false">VLOOKUP(B270,'[1]detailed model'!a252:C330,3,FALSE())</f>
        <v>#NAME?</v>
      </c>
      <c r="G270" s="312"/>
      <c r="H270" s="315"/>
      <c r="I270" s="315"/>
      <c r="J270" s="315"/>
      <c r="K270" s="315"/>
      <c r="L270" s="315"/>
      <c r="M270" s="315"/>
      <c r="N270" s="315"/>
      <c r="O270" s="315"/>
      <c r="P270" s="315"/>
      <c r="Q270" s="315"/>
      <c r="R270" s="315"/>
      <c r="S270" s="315"/>
      <c r="T270" s="315"/>
      <c r="U270" s="315"/>
      <c r="V270" s="315"/>
      <c r="W270" s="315"/>
      <c r="X270" s="315"/>
      <c r="Y270" s="327"/>
      <c r="Z270" s="327"/>
    </row>
    <row r="271" customFormat="false" ht="17.35" hidden="false" customHeight="false" outlineLevel="0" collapsed="false">
      <c r="A271" s="317" t="s">
        <v>200</v>
      </c>
      <c r="B271" s="312"/>
      <c r="C271" s="312"/>
      <c r="D271" s="314" t="str">
        <f aca="false">IFERROR(VLOOKUP(B271,'[1]detailed model'!$a$6:$C$92,3,FALSE()),"NOT CODED/ERROR")</f>
        <v>NOT CODED/ERROR</v>
      </c>
      <c r="E271" s="311"/>
      <c r="F271" s="312" t="e">
        <f aca="false">VLOOKUP(B271,'[1]detailed model'!a253:C331,3,FALSE())</f>
        <v>#NAME?</v>
      </c>
      <c r="G271" s="312"/>
      <c r="H271" s="315"/>
      <c r="I271" s="315"/>
      <c r="J271" s="315"/>
      <c r="K271" s="315"/>
      <c r="L271" s="315"/>
      <c r="M271" s="315"/>
      <c r="N271" s="315"/>
      <c r="O271" s="315"/>
      <c r="P271" s="315"/>
      <c r="Q271" s="315"/>
      <c r="R271" s="315"/>
      <c r="S271" s="315"/>
      <c r="T271" s="315"/>
      <c r="U271" s="315"/>
      <c r="V271" s="315"/>
      <c r="W271" s="315"/>
      <c r="X271" s="315"/>
      <c r="Y271" s="327"/>
      <c r="Z271" s="327"/>
    </row>
    <row r="272" customFormat="false" ht="17.35" hidden="false" customHeight="false" outlineLevel="0" collapsed="false">
      <c r="A272" s="317" t="s">
        <v>200</v>
      </c>
      <c r="B272" s="312"/>
      <c r="C272" s="312"/>
      <c r="D272" s="314" t="str">
        <f aca="false">IFERROR(VLOOKUP(B272,'[1]detailed model'!$a$6:$C$92,3,FALSE()),"NOT CODED/ERROR")</f>
        <v>NOT CODED/ERROR</v>
      </c>
      <c r="E272" s="311"/>
      <c r="F272" s="312" t="e">
        <f aca="false">VLOOKUP(B272,'[1]detailed model'!a254:C332,3,FALSE())</f>
        <v>#NAME?</v>
      </c>
      <c r="G272" s="312"/>
      <c r="H272" s="315"/>
      <c r="I272" s="315"/>
      <c r="J272" s="315"/>
      <c r="K272" s="315"/>
      <c r="L272" s="315"/>
      <c r="M272" s="315"/>
      <c r="N272" s="315"/>
      <c r="O272" s="315"/>
      <c r="P272" s="315"/>
      <c r="Q272" s="315"/>
      <c r="R272" s="315"/>
      <c r="S272" s="315"/>
      <c r="T272" s="315"/>
      <c r="U272" s="315"/>
      <c r="V272" s="315"/>
      <c r="W272" s="315"/>
      <c r="X272" s="315"/>
      <c r="Y272" s="327"/>
      <c r="Z272" s="327"/>
    </row>
    <row r="273" customFormat="false" ht="17.35" hidden="false" customHeight="false" outlineLevel="0" collapsed="false">
      <c r="A273" s="317" t="s">
        <v>200</v>
      </c>
      <c r="B273" s="312"/>
      <c r="C273" s="312"/>
      <c r="D273" s="314" t="str">
        <f aca="false">IFERROR(VLOOKUP(B273,'[1]detailed model'!$a$6:$C$92,3,FALSE()),"NOT CODED/ERROR")</f>
        <v>NOT CODED/ERROR</v>
      </c>
      <c r="E273" s="311"/>
      <c r="F273" s="312" t="e">
        <f aca="false">VLOOKUP(B273,'[1]detailed model'!a255:C333,3,FALSE())</f>
        <v>#NAME?</v>
      </c>
      <c r="G273" s="312"/>
      <c r="H273" s="315"/>
      <c r="I273" s="315"/>
      <c r="J273" s="315"/>
      <c r="K273" s="315"/>
      <c r="L273" s="315"/>
      <c r="M273" s="315"/>
      <c r="N273" s="315"/>
      <c r="O273" s="315"/>
      <c r="P273" s="315"/>
      <c r="Q273" s="315"/>
      <c r="R273" s="315"/>
      <c r="S273" s="315"/>
      <c r="T273" s="315"/>
      <c r="U273" s="315"/>
      <c r="V273" s="315"/>
      <c r="W273" s="315"/>
      <c r="X273" s="315"/>
      <c r="Y273" s="327"/>
      <c r="Z273" s="327"/>
    </row>
    <row r="274" customFormat="false" ht="17.35" hidden="false" customHeight="false" outlineLevel="0" collapsed="false">
      <c r="A274" s="317" t="s">
        <v>200</v>
      </c>
      <c r="B274" s="312"/>
      <c r="C274" s="312"/>
      <c r="D274" s="314" t="str">
        <f aca="false">IFERROR(VLOOKUP(B274,'[1]detailed model'!$a$6:$C$92,3,FALSE()),"NOT CODED/ERROR")</f>
        <v>NOT CODED/ERROR</v>
      </c>
      <c r="E274" s="311"/>
      <c r="F274" s="312" t="e">
        <f aca="false">VLOOKUP(B274,'[1]detailed model'!a256:C334,3,FALSE())</f>
        <v>#NAME?</v>
      </c>
      <c r="G274" s="312"/>
      <c r="H274" s="315"/>
      <c r="I274" s="315"/>
      <c r="J274" s="315"/>
      <c r="K274" s="315"/>
      <c r="L274" s="315"/>
      <c r="M274" s="315"/>
      <c r="N274" s="315"/>
      <c r="O274" s="315"/>
      <c r="P274" s="315"/>
      <c r="Q274" s="315"/>
      <c r="R274" s="315"/>
      <c r="S274" s="315"/>
      <c r="T274" s="315"/>
      <c r="U274" s="315"/>
      <c r="V274" s="315"/>
      <c r="W274" s="315"/>
      <c r="X274" s="315"/>
      <c r="Y274" s="327"/>
      <c r="Z274" s="327"/>
    </row>
    <row r="275" customFormat="false" ht="17.35" hidden="false" customHeight="false" outlineLevel="0" collapsed="false">
      <c r="A275" s="317" t="s">
        <v>200</v>
      </c>
      <c r="B275" s="312"/>
      <c r="C275" s="312"/>
      <c r="D275" s="314" t="str">
        <f aca="false">IFERROR(VLOOKUP(B275,'[1]detailed model'!$a$6:$C$92,3,FALSE()),"NOT CODED/ERROR")</f>
        <v>NOT CODED/ERROR</v>
      </c>
      <c r="E275" s="311"/>
      <c r="F275" s="312" t="e">
        <f aca="false">VLOOKUP(B275,'[1]detailed model'!a257:C335,3,FALSE())</f>
        <v>#NAME?</v>
      </c>
      <c r="G275" s="312"/>
      <c r="H275" s="315"/>
      <c r="I275" s="315"/>
      <c r="J275" s="315"/>
      <c r="K275" s="315"/>
      <c r="L275" s="315"/>
      <c r="M275" s="315"/>
      <c r="N275" s="315"/>
      <c r="O275" s="315"/>
      <c r="P275" s="315"/>
      <c r="Q275" s="315"/>
      <c r="R275" s="315"/>
      <c r="S275" s="315"/>
      <c r="T275" s="315"/>
      <c r="U275" s="315"/>
      <c r="V275" s="315"/>
      <c r="W275" s="315"/>
      <c r="X275" s="315"/>
      <c r="Y275" s="327"/>
      <c r="Z275" s="327"/>
    </row>
    <row r="276" customFormat="false" ht="17.35" hidden="false" customHeight="false" outlineLevel="0" collapsed="false">
      <c r="A276" s="317" t="s">
        <v>200</v>
      </c>
      <c r="B276" s="312"/>
      <c r="C276" s="312"/>
      <c r="D276" s="314" t="str">
        <f aca="false">IFERROR(VLOOKUP(B276,'[1]detailed model'!$a$6:$C$92,3,FALSE()),"NOT CODED/ERROR")</f>
        <v>NOT CODED/ERROR</v>
      </c>
      <c r="E276" s="311"/>
      <c r="F276" s="312" t="e">
        <f aca="false">VLOOKUP(B276,'[1]detailed model'!a258:C336,3,FALSE())</f>
        <v>#NAME?</v>
      </c>
      <c r="G276" s="312"/>
      <c r="H276" s="315"/>
      <c r="I276" s="315"/>
      <c r="J276" s="315"/>
      <c r="K276" s="315"/>
      <c r="L276" s="315"/>
      <c r="M276" s="315"/>
      <c r="N276" s="315"/>
      <c r="O276" s="315"/>
      <c r="P276" s="315"/>
      <c r="Q276" s="315"/>
      <c r="R276" s="315"/>
      <c r="S276" s="315"/>
      <c r="T276" s="315"/>
      <c r="U276" s="315"/>
      <c r="V276" s="315"/>
      <c r="W276" s="315"/>
      <c r="X276" s="315"/>
      <c r="Y276" s="327"/>
      <c r="Z276" s="327"/>
    </row>
    <row r="277" customFormat="false" ht="17.35" hidden="false" customHeight="false" outlineLevel="0" collapsed="false">
      <c r="A277" s="317" t="s">
        <v>200</v>
      </c>
      <c r="B277" s="312"/>
      <c r="C277" s="312"/>
      <c r="D277" s="314" t="str">
        <f aca="false">IFERROR(VLOOKUP(B277,'[1]detailed model'!$a$6:$C$92,3,FALSE()),"NOT CODED/ERROR")</f>
        <v>NOT CODED/ERROR</v>
      </c>
      <c r="E277" s="311"/>
      <c r="F277" s="312" t="e">
        <f aca="false">VLOOKUP(B277,'[1]detailed model'!a259:C337,3,FALSE())</f>
        <v>#NAME?</v>
      </c>
      <c r="G277" s="312"/>
      <c r="H277" s="315"/>
      <c r="I277" s="315"/>
      <c r="J277" s="315"/>
      <c r="K277" s="315"/>
      <c r="L277" s="315"/>
      <c r="M277" s="315"/>
      <c r="N277" s="315"/>
      <c r="O277" s="315"/>
      <c r="P277" s="315"/>
      <c r="Q277" s="315"/>
      <c r="R277" s="315"/>
      <c r="S277" s="315"/>
      <c r="T277" s="315"/>
      <c r="U277" s="315"/>
      <c r="V277" s="315"/>
      <c r="W277" s="315"/>
      <c r="X277" s="315"/>
      <c r="Y277" s="327"/>
      <c r="Z277" s="327"/>
    </row>
    <row r="278" customFormat="false" ht="17.35" hidden="false" customHeight="false" outlineLevel="0" collapsed="false">
      <c r="A278" s="317" t="s">
        <v>200</v>
      </c>
      <c r="B278" s="312"/>
      <c r="C278" s="312"/>
      <c r="D278" s="314" t="str">
        <f aca="false">IFERROR(VLOOKUP(B278,'[1]detailed model'!$a$6:$C$92,3,FALSE()),"NOT CODED/ERROR")</f>
        <v>NOT CODED/ERROR</v>
      </c>
      <c r="E278" s="311"/>
      <c r="F278" s="312" t="e">
        <f aca="false">VLOOKUP(B278,'[1]detailed model'!a260:C338,3,FALSE())</f>
        <v>#NAME?</v>
      </c>
      <c r="G278" s="312"/>
      <c r="H278" s="315"/>
      <c r="I278" s="315"/>
      <c r="J278" s="315"/>
      <c r="K278" s="315"/>
      <c r="L278" s="315"/>
      <c r="M278" s="315"/>
      <c r="N278" s="315"/>
      <c r="O278" s="315"/>
      <c r="P278" s="315"/>
      <c r="Q278" s="315"/>
      <c r="R278" s="315"/>
      <c r="S278" s="315"/>
      <c r="T278" s="315"/>
      <c r="U278" s="315"/>
      <c r="V278" s="315"/>
      <c r="W278" s="315"/>
      <c r="X278" s="315"/>
      <c r="Y278" s="327"/>
      <c r="Z278" s="327"/>
    </row>
    <row r="279" customFormat="false" ht="17.35" hidden="false" customHeight="false" outlineLevel="0" collapsed="false">
      <c r="A279" s="317" t="s">
        <v>200</v>
      </c>
      <c r="B279" s="312"/>
      <c r="C279" s="312"/>
      <c r="D279" s="314" t="str">
        <f aca="false">IFERROR(VLOOKUP(B279,'[1]detailed model'!$a$6:$C$92,3,FALSE()),"NOT CODED/ERROR")</f>
        <v>NOT CODED/ERROR</v>
      </c>
      <c r="E279" s="311"/>
      <c r="F279" s="312" t="e">
        <f aca="false">VLOOKUP(B279,'[1]detailed model'!a261:C339,3,FALSE())</f>
        <v>#NAME?</v>
      </c>
      <c r="G279" s="312"/>
      <c r="H279" s="315"/>
      <c r="I279" s="315"/>
      <c r="J279" s="315"/>
      <c r="K279" s="315"/>
      <c r="L279" s="315"/>
      <c r="M279" s="315"/>
      <c r="N279" s="315"/>
      <c r="O279" s="315"/>
      <c r="P279" s="315"/>
      <c r="Q279" s="315"/>
      <c r="R279" s="315"/>
      <c r="S279" s="315"/>
      <c r="T279" s="315"/>
      <c r="U279" s="315"/>
      <c r="V279" s="315"/>
      <c r="W279" s="315"/>
      <c r="X279" s="315"/>
      <c r="Y279" s="327"/>
      <c r="Z279" s="327"/>
    </row>
    <row r="280" customFormat="false" ht="17.35" hidden="false" customHeight="false" outlineLevel="0" collapsed="false">
      <c r="A280" s="317" t="s">
        <v>200</v>
      </c>
      <c r="B280" s="312"/>
      <c r="C280" s="312"/>
      <c r="D280" s="314" t="str">
        <f aca="false">IFERROR(VLOOKUP(B280,'[1]detailed model'!$a$6:$C$92,3,FALSE()),"NOT CODED/ERROR")</f>
        <v>NOT CODED/ERROR</v>
      </c>
      <c r="E280" s="311"/>
      <c r="F280" s="312" t="e">
        <f aca="false">VLOOKUP(B280,'[1]detailed model'!a262:C340,3,FALSE())</f>
        <v>#NAME?</v>
      </c>
      <c r="G280" s="312"/>
      <c r="H280" s="315"/>
      <c r="I280" s="315"/>
      <c r="J280" s="315"/>
      <c r="K280" s="315"/>
      <c r="L280" s="315"/>
      <c r="M280" s="315"/>
      <c r="N280" s="315"/>
      <c r="O280" s="315"/>
      <c r="P280" s="315"/>
      <c r="Q280" s="315"/>
      <c r="R280" s="315"/>
      <c r="S280" s="315"/>
      <c r="T280" s="315"/>
      <c r="U280" s="315"/>
      <c r="V280" s="315"/>
      <c r="W280" s="315"/>
      <c r="X280" s="315"/>
      <c r="Y280" s="327"/>
      <c r="Z280" s="327"/>
    </row>
    <row r="281" customFormat="false" ht="17.35" hidden="false" customHeight="false" outlineLevel="0" collapsed="false">
      <c r="A281" s="317" t="s">
        <v>200</v>
      </c>
      <c r="B281" s="312"/>
      <c r="C281" s="312"/>
      <c r="D281" s="314" t="str">
        <f aca="false">IFERROR(VLOOKUP(B281,'[1]detailed model'!$a$6:$C$92,3,FALSE()),"NOT CODED/ERROR")</f>
        <v>NOT CODED/ERROR</v>
      </c>
      <c r="E281" s="311"/>
      <c r="F281" s="312" t="e">
        <f aca="false">VLOOKUP(B281,'[1]detailed model'!a263:C341,3,FALSE())</f>
        <v>#NAME?</v>
      </c>
      <c r="G281" s="312"/>
      <c r="H281" s="315"/>
      <c r="I281" s="315"/>
      <c r="J281" s="315"/>
      <c r="K281" s="315"/>
      <c r="L281" s="315"/>
      <c r="M281" s="315"/>
      <c r="N281" s="315"/>
      <c r="O281" s="315"/>
      <c r="P281" s="315"/>
      <c r="Q281" s="315"/>
      <c r="R281" s="315"/>
      <c r="S281" s="315"/>
      <c r="T281" s="315"/>
      <c r="U281" s="315"/>
      <c r="V281" s="315"/>
      <c r="W281" s="315"/>
      <c r="X281" s="315"/>
      <c r="Y281" s="327"/>
      <c r="Z281" s="327"/>
    </row>
    <row r="282" customFormat="false" ht="17.35" hidden="false" customHeight="false" outlineLevel="0" collapsed="false">
      <c r="A282" s="317" t="s">
        <v>200</v>
      </c>
      <c r="B282" s="312"/>
      <c r="C282" s="312"/>
      <c r="D282" s="314" t="str">
        <f aca="false">IFERROR(VLOOKUP(B282,'[1]detailed model'!$a$6:$C$92,3,FALSE()),"NOT CODED/ERROR")</f>
        <v>NOT CODED/ERROR</v>
      </c>
      <c r="E282" s="311"/>
      <c r="F282" s="312" t="e">
        <f aca="false">VLOOKUP(B282,'[1]detailed model'!a264:C342,3,FALSE())</f>
        <v>#NAME?</v>
      </c>
      <c r="G282" s="312"/>
      <c r="H282" s="315"/>
      <c r="I282" s="315"/>
      <c r="J282" s="315"/>
      <c r="K282" s="315"/>
      <c r="L282" s="315"/>
      <c r="M282" s="315"/>
      <c r="N282" s="315"/>
      <c r="O282" s="315"/>
      <c r="P282" s="315"/>
      <c r="Q282" s="315"/>
      <c r="R282" s="315"/>
      <c r="S282" s="315"/>
      <c r="T282" s="315"/>
      <c r="U282" s="315"/>
      <c r="V282" s="315"/>
      <c r="W282" s="315"/>
      <c r="X282" s="315"/>
      <c r="Y282" s="327"/>
      <c r="Z282" s="327"/>
    </row>
    <row r="283" customFormat="false" ht="17.35" hidden="false" customHeight="false" outlineLevel="0" collapsed="false">
      <c r="A283" s="317" t="s">
        <v>200</v>
      </c>
      <c r="B283" s="312"/>
      <c r="C283" s="312"/>
      <c r="D283" s="314" t="str">
        <f aca="false">IFERROR(VLOOKUP(B283,'[1]detailed model'!$a$6:$C$92,3,FALSE()),"NOT CODED/ERROR")</f>
        <v>NOT CODED/ERROR</v>
      </c>
      <c r="E283" s="311"/>
      <c r="F283" s="312" t="e">
        <f aca="false">VLOOKUP(B283,'[1]detailed model'!a265:C343,3,FALSE())</f>
        <v>#NAME?</v>
      </c>
      <c r="G283" s="312"/>
      <c r="H283" s="315"/>
      <c r="I283" s="315"/>
      <c r="J283" s="315"/>
      <c r="K283" s="315"/>
      <c r="L283" s="315"/>
      <c r="M283" s="315"/>
      <c r="N283" s="315"/>
      <c r="O283" s="315"/>
      <c r="P283" s="315"/>
      <c r="Q283" s="315"/>
      <c r="R283" s="315"/>
      <c r="S283" s="315"/>
      <c r="T283" s="315"/>
      <c r="U283" s="315"/>
      <c r="V283" s="315"/>
      <c r="W283" s="315"/>
      <c r="X283" s="315"/>
      <c r="Y283" s="327"/>
      <c r="Z283" s="327"/>
    </row>
    <row r="284" customFormat="false" ht="17.35" hidden="false" customHeight="false" outlineLevel="0" collapsed="false">
      <c r="A284" s="317" t="s">
        <v>200</v>
      </c>
      <c r="B284" s="312"/>
      <c r="C284" s="312"/>
      <c r="D284" s="314" t="str">
        <f aca="false">IFERROR(VLOOKUP(B284,'[1]detailed model'!$a$6:$C$92,3,FALSE()),"NOT CODED/ERROR")</f>
        <v>NOT CODED/ERROR</v>
      </c>
      <c r="E284" s="311"/>
      <c r="F284" s="312" t="e">
        <f aca="false">VLOOKUP(B284,'[1]detailed model'!a266:C344,3,FALSE())</f>
        <v>#NAME?</v>
      </c>
      <c r="G284" s="312"/>
      <c r="H284" s="315"/>
      <c r="I284" s="315"/>
      <c r="J284" s="315"/>
      <c r="K284" s="315"/>
      <c r="L284" s="315"/>
      <c r="M284" s="315"/>
      <c r="N284" s="315"/>
      <c r="O284" s="315"/>
      <c r="P284" s="315"/>
      <c r="Q284" s="315"/>
      <c r="R284" s="315"/>
      <c r="S284" s="315"/>
      <c r="T284" s="315"/>
      <c r="U284" s="315"/>
      <c r="V284" s="315"/>
      <c r="W284" s="315"/>
      <c r="X284" s="315"/>
      <c r="Y284" s="327"/>
      <c r="Z284" s="327"/>
    </row>
    <row r="285" customFormat="false" ht="17.35" hidden="false" customHeight="false" outlineLevel="0" collapsed="false">
      <c r="A285" s="317" t="s">
        <v>200</v>
      </c>
      <c r="B285" s="312"/>
      <c r="C285" s="312"/>
      <c r="D285" s="314" t="str">
        <f aca="false">IFERROR(VLOOKUP(B285,'[1]detailed model'!$a$6:$C$92,3,FALSE()),"NOT CODED/ERROR")</f>
        <v>NOT CODED/ERROR</v>
      </c>
      <c r="E285" s="311"/>
      <c r="F285" s="312" t="e">
        <f aca="false">VLOOKUP(B285,'[1]detailed model'!a267:C345,3,FALSE())</f>
        <v>#NAME?</v>
      </c>
      <c r="G285" s="312"/>
      <c r="H285" s="315"/>
      <c r="I285" s="315"/>
      <c r="J285" s="315"/>
      <c r="K285" s="315"/>
      <c r="L285" s="315"/>
      <c r="M285" s="315"/>
      <c r="N285" s="315"/>
      <c r="O285" s="315"/>
      <c r="P285" s="315"/>
      <c r="Q285" s="315"/>
      <c r="R285" s="315"/>
      <c r="S285" s="315"/>
      <c r="T285" s="315"/>
      <c r="U285" s="315"/>
      <c r="V285" s="315"/>
      <c r="W285" s="315"/>
      <c r="X285" s="315"/>
      <c r="Y285" s="327"/>
      <c r="Z285" s="327"/>
    </row>
    <row r="286" customFormat="false" ht="17.35" hidden="false" customHeight="false" outlineLevel="0" collapsed="false">
      <c r="A286" s="317" t="s">
        <v>200</v>
      </c>
      <c r="B286" s="312"/>
      <c r="C286" s="312"/>
      <c r="D286" s="314" t="str">
        <f aca="false">IFERROR(VLOOKUP(B286,'[1]detailed model'!$a$6:$C$92,3,FALSE()),"NOT CODED/ERROR")</f>
        <v>NOT CODED/ERROR</v>
      </c>
      <c r="E286" s="311"/>
      <c r="F286" s="312" t="e">
        <f aca="false">VLOOKUP(B286,'[1]detailed model'!a268:C346,3,FALSE())</f>
        <v>#NAME?</v>
      </c>
      <c r="G286" s="312"/>
      <c r="H286" s="315"/>
      <c r="I286" s="315"/>
      <c r="J286" s="315"/>
      <c r="K286" s="315"/>
      <c r="L286" s="315"/>
      <c r="M286" s="315"/>
      <c r="N286" s="315"/>
      <c r="O286" s="315"/>
      <c r="P286" s="315"/>
      <c r="Q286" s="315"/>
      <c r="R286" s="315"/>
      <c r="S286" s="315"/>
      <c r="T286" s="315"/>
      <c r="U286" s="315"/>
      <c r="V286" s="315"/>
      <c r="W286" s="315"/>
      <c r="X286" s="315"/>
      <c r="Y286" s="327"/>
      <c r="Z286" s="327"/>
    </row>
    <row r="287" customFormat="false" ht="17.35" hidden="false" customHeight="false" outlineLevel="0" collapsed="false">
      <c r="A287" s="317" t="s">
        <v>200</v>
      </c>
      <c r="B287" s="312"/>
      <c r="C287" s="312"/>
      <c r="D287" s="314" t="str">
        <f aca="false">IFERROR(VLOOKUP(B287,'[1]detailed model'!$a$6:$C$92,3,FALSE()),"NOT CODED/ERROR")</f>
        <v>NOT CODED/ERROR</v>
      </c>
      <c r="E287" s="311"/>
      <c r="F287" s="312" t="e">
        <f aca="false">VLOOKUP(B287,'[1]detailed model'!a269:C347,3,FALSE())</f>
        <v>#NAME?</v>
      </c>
      <c r="G287" s="312"/>
      <c r="H287" s="315"/>
      <c r="I287" s="315"/>
      <c r="J287" s="315"/>
      <c r="K287" s="315"/>
      <c r="L287" s="315"/>
      <c r="M287" s="315"/>
      <c r="N287" s="315"/>
      <c r="O287" s="315"/>
      <c r="P287" s="315"/>
      <c r="Q287" s="315"/>
      <c r="R287" s="315"/>
      <c r="S287" s="315"/>
      <c r="T287" s="315"/>
      <c r="U287" s="315"/>
      <c r="V287" s="315"/>
      <c r="W287" s="315"/>
      <c r="X287" s="315"/>
      <c r="Y287" s="327"/>
      <c r="Z287" s="327"/>
    </row>
    <row r="288" customFormat="false" ht="17.35" hidden="false" customHeight="false" outlineLevel="0" collapsed="false">
      <c r="A288" s="317" t="s">
        <v>200</v>
      </c>
      <c r="B288" s="312"/>
      <c r="C288" s="312"/>
      <c r="D288" s="314" t="str">
        <f aca="false">IFERROR(VLOOKUP(B288,'[1]detailed model'!$a$6:$C$92,3,FALSE()),"NOT CODED/ERROR")</f>
        <v>NOT CODED/ERROR</v>
      </c>
      <c r="E288" s="311"/>
      <c r="F288" s="312" t="e">
        <f aca="false">VLOOKUP(B288,'[1]detailed model'!a270:C348,3,FALSE())</f>
        <v>#NAME?</v>
      </c>
      <c r="G288" s="312"/>
      <c r="H288" s="315"/>
      <c r="I288" s="315"/>
      <c r="J288" s="315"/>
      <c r="K288" s="315"/>
      <c r="L288" s="315"/>
      <c r="M288" s="315"/>
      <c r="N288" s="315"/>
      <c r="O288" s="315"/>
      <c r="P288" s="315"/>
      <c r="Q288" s="315"/>
      <c r="R288" s="315"/>
      <c r="S288" s="315"/>
      <c r="T288" s="315"/>
      <c r="U288" s="315"/>
      <c r="V288" s="315"/>
      <c r="W288" s="315"/>
      <c r="X288" s="315"/>
      <c r="Y288" s="327"/>
      <c r="Z288" s="327"/>
    </row>
    <row r="289" customFormat="false" ht="17.35" hidden="false" customHeight="false" outlineLevel="0" collapsed="false">
      <c r="A289" s="317" t="s">
        <v>200</v>
      </c>
      <c r="B289" s="312"/>
      <c r="C289" s="312"/>
      <c r="D289" s="314" t="str">
        <f aca="false">IFERROR(VLOOKUP(B289,'[1]detailed model'!$a$6:$C$92,3,FALSE()),"NOT CODED/ERROR")</f>
        <v>NOT CODED/ERROR</v>
      </c>
      <c r="E289" s="311"/>
      <c r="F289" s="312" t="e">
        <f aca="false">VLOOKUP(B289,'[1]detailed model'!a271:C349,3,FALSE())</f>
        <v>#NAME?</v>
      </c>
      <c r="G289" s="312"/>
      <c r="H289" s="315"/>
      <c r="I289" s="315"/>
      <c r="J289" s="315"/>
      <c r="K289" s="315"/>
      <c r="L289" s="315"/>
      <c r="M289" s="315"/>
      <c r="N289" s="315"/>
      <c r="O289" s="315"/>
      <c r="P289" s="315"/>
      <c r="Q289" s="315"/>
      <c r="R289" s="315"/>
      <c r="S289" s="315"/>
      <c r="T289" s="315"/>
      <c r="U289" s="315"/>
      <c r="V289" s="315"/>
      <c r="W289" s="315"/>
      <c r="X289" s="315"/>
      <c r="Y289" s="327"/>
      <c r="Z289" s="327"/>
    </row>
    <row r="290" customFormat="false" ht="17.35" hidden="false" customHeight="false" outlineLevel="0" collapsed="false">
      <c r="A290" s="317" t="s">
        <v>200</v>
      </c>
      <c r="B290" s="312"/>
      <c r="C290" s="312"/>
      <c r="D290" s="314" t="str">
        <f aca="false">IFERROR(VLOOKUP(B290,'[1]detailed model'!$a$6:$C$92,3,FALSE()),"NOT CODED/ERROR")</f>
        <v>NOT CODED/ERROR</v>
      </c>
      <c r="E290" s="311"/>
      <c r="F290" s="312" t="e">
        <f aca="false">VLOOKUP(B290,'[1]detailed model'!a272:C350,3,FALSE())</f>
        <v>#NAME?</v>
      </c>
      <c r="G290" s="312"/>
      <c r="H290" s="315"/>
      <c r="I290" s="315"/>
      <c r="J290" s="315"/>
      <c r="K290" s="315"/>
      <c r="L290" s="315"/>
      <c r="M290" s="315"/>
      <c r="N290" s="315"/>
      <c r="O290" s="315"/>
      <c r="P290" s="315"/>
      <c r="Q290" s="315"/>
      <c r="R290" s="315"/>
      <c r="S290" s="315"/>
      <c r="T290" s="315"/>
      <c r="U290" s="315"/>
      <c r="V290" s="315"/>
      <c r="W290" s="315"/>
      <c r="X290" s="315"/>
      <c r="Y290" s="327"/>
      <c r="Z290" s="327"/>
    </row>
    <row r="291" customFormat="false" ht="17.35" hidden="false" customHeight="false" outlineLevel="0" collapsed="false">
      <c r="A291" s="317" t="s">
        <v>200</v>
      </c>
      <c r="B291" s="312"/>
      <c r="C291" s="312"/>
      <c r="D291" s="314" t="str">
        <f aca="false">IFERROR(VLOOKUP(B291,'[1]detailed model'!$a$6:$C$92,3,FALSE()),"NOT CODED/ERROR")</f>
        <v>NOT CODED/ERROR</v>
      </c>
      <c r="E291" s="311"/>
      <c r="F291" s="312" t="e">
        <f aca="false">VLOOKUP(B291,'[1]detailed model'!a273:C351,3,FALSE())</f>
        <v>#NAME?</v>
      </c>
      <c r="G291" s="312"/>
      <c r="H291" s="315"/>
      <c r="I291" s="315"/>
      <c r="J291" s="315"/>
      <c r="K291" s="315"/>
      <c r="L291" s="315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15"/>
      <c r="Y291" s="327"/>
      <c r="Z291" s="327"/>
    </row>
    <row r="292" customFormat="false" ht="17.35" hidden="false" customHeight="false" outlineLevel="0" collapsed="false">
      <c r="A292" s="317" t="s">
        <v>200</v>
      </c>
      <c r="B292" s="312"/>
      <c r="C292" s="312"/>
      <c r="D292" s="314" t="str">
        <f aca="false">IFERROR(VLOOKUP(B292,'[1]detailed model'!$a$6:$C$92,3,FALSE()),"NOT CODED/ERROR")</f>
        <v>NOT CODED/ERROR</v>
      </c>
      <c r="E292" s="311"/>
      <c r="F292" s="312" t="e">
        <f aca="false">VLOOKUP(B292,'[1]detailed model'!a274:C352,3,FALSE())</f>
        <v>#NAME?</v>
      </c>
      <c r="G292" s="312"/>
      <c r="H292" s="315"/>
      <c r="I292" s="315"/>
      <c r="J292" s="315"/>
      <c r="K292" s="315"/>
      <c r="L292" s="315"/>
      <c r="M292" s="315"/>
      <c r="N292" s="315"/>
      <c r="O292" s="315"/>
      <c r="P292" s="315"/>
      <c r="Q292" s="315"/>
      <c r="R292" s="315"/>
      <c r="S292" s="315"/>
      <c r="T292" s="315"/>
      <c r="U292" s="315"/>
      <c r="V292" s="315"/>
      <c r="W292" s="315"/>
      <c r="X292" s="315"/>
      <c r="Y292" s="327"/>
      <c r="Z292" s="327"/>
    </row>
    <row r="293" customFormat="false" ht="17.35" hidden="false" customHeight="false" outlineLevel="0" collapsed="false">
      <c r="A293" s="317" t="s">
        <v>200</v>
      </c>
      <c r="B293" s="312"/>
      <c r="C293" s="312"/>
      <c r="D293" s="314" t="str">
        <f aca="false">IFERROR(VLOOKUP(B293,'[1]detailed model'!$a$6:$C$92,3,FALSE()),"NOT CODED/ERROR")</f>
        <v>NOT CODED/ERROR</v>
      </c>
      <c r="E293" s="311"/>
      <c r="F293" s="312" t="e">
        <f aca="false">VLOOKUP(B293,'[1]detailed model'!a275:C353,3,FALSE())</f>
        <v>#NAME?</v>
      </c>
      <c r="G293" s="312"/>
      <c r="H293" s="315"/>
      <c r="I293" s="315"/>
      <c r="J293" s="315"/>
      <c r="K293" s="315"/>
      <c r="L293" s="315"/>
      <c r="M293" s="315"/>
      <c r="N293" s="315"/>
      <c r="O293" s="315"/>
      <c r="P293" s="315"/>
      <c r="Q293" s="315"/>
      <c r="R293" s="315"/>
      <c r="S293" s="315"/>
      <c r="T293" s="315"/>
      <c r="U293" s="315"/>
      <c r="V293" s="315"/>
      <c r="W293" s="315"/>
      <c r="X293" s="315"/>
      <c r="Y293" s="327"/>
      <c r="Z293" s="327"/>
    </row>
    <row r="294" customFormat="false" ht="17.35" hidden="false" customHeight="false" outlineLevel="0" collapsed="false">
      <c r="A294" s="317" t="s">
        <v>200</v>
      </c>
      <c r="B294" s="312"/>
      <c r="C294" s="312"/>
      <c r="D294" s="314" t="str">
        <f aca="false">IFERROR(VLOOKUP(B294,'[1]detailed model'!$a$6:$C$92,3,FALSE()),"NOT CODED/ERROR")</f>
        <v>NOT CODED/ERROR</v>
      </c>
      <c r="E294" s="311"/>
      <c r="F294" s="312" t="e">
        <f aca="false">VLOOKUP(B294,'[1]detailed model'!a276:C354,3,FALSE())</f>
        <v>#NAME?</v>
      </c>
      <c r="G294" s="312"/>
      <c r="H294" s="315"/>
      <c r="I294" s="315"/>
      <c r="J294" s="315"/>
      <c r="K294" s="315"/>
      <c r="L294" s="315"/>
      <c r="M294" s="315"/>
      <c r="N294" s="315"/>
      <c r="O294" s="315"/>
      <c r="P294" s="315"/>
      <c r="Q294" s="315"/>
      <c r="R294" s="315"/>
      <c r="S294" s="315"/>
      <c r="T294" s="315"/>
      <c r="U294" s="315"/>
      <c r="V294" s="315"/>
      <c r="W294" s="315"/>
      <c r="X294" s="315"/>
      <c r="Y294" s="327"/>
      <c r="Z294" s="327"/>
    </row>
    <row r="295" customFormat="false" ht="17.35" hidden="false" customHeight="false" outlineLevel="0" collapsed="false">
      <c r="A295" s="317" t="s">
        <v>200</v>
      </c>
      <c r="B295" s="312"/>
      <c r="C295" s="312"/>
      <c r="D295" s="314" t="str">
        <f aca="false">IFERROR(VLOOKUP(B295,'[1]detailed model'!$a$6:$C$92,3,FALSE()),"NOT CODED/ERROR")</f>
        <v>NOT CODED/ERROR</v>
      </c>
      <c r="E295" s="311"/>
      <c r="F295" s="312" t="e">
        <f aca="false">VLOOKUP(B295,'[1]detailed model'!a277:C355,3,FALSE())</f>
        <v>#NAME?</v>
      </c>
      <c r="G295" s="312"/>
      <c r="H295" s="315"/>
      <c r="I295" s="315"/>
      <c r="J295" s="315"/>
      <c r="K295" s="315"/>
      <c r="L295" s="315"/>
      <c r="M295" s="315"/>
      <c r="N295" s="315"/>
      <c r="O295" s="315"/>
      <c r="P295" s="315"/>
      <c r="Q295" s="315"/>
      <c r="R295" s="315"/>
      <c r="S295" s="315"/>
      <c r="T295" s="315"/>
      <c r="U295" s="315"/>
      <c r="V295" s="315"/>
      <c r="W295" s="315"/>
      <c r="X295" s="315"/>
      <c r="Y295" s="327"/>
      <c r="Z295" s="327"/>
    </row>
    <row r="296" customFormat="false" ht="17.35" hidden="false" customHeight="false" outlineLevel="0" collapsed="false">
      <c r="A296" s="317" t="s">
        <v>200</v>
      </c>
      <c r="B296" s="312"/>
      <c r="C296" s="312"/>
      <c r="D296" s="314" t="str">
        <f aca="false">IFERROR(VLOOKUP(B296,'[1]detailed model'!$a$6:$C$92,3,FALSE()),"NOT CODED/ERROR")</f>
        <v>NOT CODED/ERROR</v>
      </c>
      <c r="E296" s="311"/>
      <c r="F296" s="312" t="e">
        <f aca="false">VLOOKUP(B296,'[1]detailed model'!a278:C356,3,FALSE())</f>
        <v>#NAME?</v>
      </c>
      <c r="G296" s="312"/>
      <c r="H296" s="315"/>
      <c r="I296" s="315"/>
      <c r="J296" s="315"/>
      <c r="K296" s="315"/>
      <c r="L296" s="315"/>
      <c r="M296" s="315"/>
      <c r="N296" s="315"/>
      <c r="O296" s="315"/>
      <c r="P296" s="315"/>
      <c r="Q296" s="315"/>
      <c r="R296" s="315"/>
      <c r="S296" s="315"/>
      <c r="T296" s="315"/>
      <c r="U296" s="315"/>
      <c r="V296" s="315"/>
      <c r="W296" s="315"/>
      <c r="X296" s="315"/>
      <c r="Y296" s="327"/>
      <c r="Z296" s="327"/>
    </row>
    <row r="297" customFormat="false" ht="17.35" hidden="false" customHeight="false" outlineLevel="0" collapsed="false">
      <c r="A297" s="317" t="s">
        <v>200</v>
      </c>
      <c r="B297" s="312"/>
      <c r="C297" s="312"/>
      <c r="D297" s="314" t="str">
        <f aca="false">IFERROR(VLOOKUP(B297,'[1]detailed model'!$a$6:$C$92,3,FALSE()),"NOT CODED/ERROR")</f>
        <v>NOT CODED/ERROR</v>
      </c>
      <c r="E297" s="311"/>
      <c r="F297" s="312" t="e">
        <f aca="false">VLOOKUP(B297,'[1]detailed model'!a279:C357,3,FALSE())</f>
        <v>#NAME?</v>
      </c>
      <c r="G297" s="312"/>
      <c r="H297" s="315"/>
      <c r="I297" s="315"/>
      <c r="J297" s="315"/>
      <c r="K297" s="315"/>
      <c r="L297" s="315"/>
      <c r="M297" s="315"/>
      <c r="N297" s="315"/>
      <c r="O297" s="315"/>
      <c r="P297" s="315"/>
      <c r="Q297" s="315"/>
      <c r="R297" s="315"/>
      <c r="S297" s="315"/>
      <c r="T297" s="315"/>
      <c r="U297" s="315"/>
      <c r="V297" s="315"/>
      <c r="W297" s="315"/>
      <c r="X297" s="315"/>
      <c r="Y297" s="327"/>
      <c r="Z297" s="327"/>
    </row>
    <row r="298" customFormat="false" ht="17.35" hidden="false" customHeight="false" outlineLevel="0" collapsed="false">
      <c r="A298" s="317" t="s">
        <v>200</v>
      </c>
      <c r="B298" s="312"/>
      <c r="C298" s="312"/>
      <c r="D298" s="314" t="str">
        <f aca="false">IFERROR(VLOOKUP(B298,'[1]detailed model'!$a$6:$C$92,3,FALSE()),"NOT CODED/ERROR")</f>
        <v>NOT CODED/ERROR</v>
      </c>
      <c r="E298" s="311"/>
      <c r="F298" s="312" t="e">
        <f aca="false">VLOOKUP(B298,'[1]detailed model'!a280:C358,3,FALSE())</f>
        <v>#NAME?</v>
      </c>
      <c r="G298" s="312"/>
      <c r="H298" s="315"/>
      <c r="I298" s="315"/>
      <c r="J298" s="315"/>
      <c r="K298" s="315"/>
      <c r="L298" s="315"/>
      <c r="M298" s="315"/>
      <c r="N298" s="315"/>
      <c r="O298" s="315"/>
      <c r="P298" s="315"/>
      <c r="Q298" s="315"/>
      <c r="R298" s="315"/>
      <c r="S298" s="315"/>
      <c r="T298" s="315"/>
      <c r="U298" s="315"/>
      <c r="V298" s="315"/>
      <c r="W298" s="315"/>
      <c r="X298" s="315"/>
      <c r="Y298" s="327"/>
      <c r="Z298" s="327"/>
    </row>
    <row r="299" customFormat="false" ht="17.35" hidden="false" customHeight="false" outlineLevel="0" collapsed="false">
      <c r="A299" s="317" t="s">
        <v>200</v>
      </c>
      <c r="B299" s="312"/>
      <c r="C299" s="312"/>
      <c r="D299" s="314" t="str">
        <f aca="false">IFERROR(VLOOKUP(B299,'[1]detailed model'!$a$6:$C$92,3,FALSE()),"NOT CODED/ERROR")</f>
        <v>NOT CODED/ERROR</v>
      </c>
      <c r="E299" s="311"/>
      <c r="F299" s="312" t="e">
        <f aca="false">VLOOKUP(B299,'[1]detailed model'!a281:C359,3,FALSE())</f>
        <v>#NAME?</v>
      </c>
      <c r="G299" s="312"/>
      <c r="H299" s="315"/>
      <c r="I299" s="315"/>
      <c r="J299" s="315"/>
      <c r="K299" s="315"/>
      <c r="L299" s="315"/>
      <c r="M299" s="315"/>
      <c r="N299" s="315"/>
      <c r="O299" s="315"/>
      <c r="P299" s="315"/>
      <c r="Q299" s="315"/>
      <c r="R299" s="315"/>
      <c r="S299" s="315"/>
      <c r="T299" s="315"/>
      <c r="U299" s="315"/>
      <c r="V299" s="315"/>
      <c r="W299" s="315"/>
      <c r="X299" s="315"/>
      <c r="Y299" s="327"/>
      <c r="Z299" s="327"/>
    </row>
    <row r="300" customFormat="false" ht="17.35" hidden="false" customHeight="false" outlineLevel="0" collapsed="false">
      <c r="A300" s="317" t="s">
        <v>200</v>
      </c>
      <c r="B300" s="312"/>
      <c r="C300" s="312"/>
      <c r="D300" s="314" t="str">
        <f aca="false">IFERROR(VLOOKUP(B300,'[1]detailed model'!$a$6:$C$92,3,FALSE()),"NOT CODED/ERROR")</f>
        <v>NOT CODED/ERROR</v>
      </c>
      <c r="E300" s="311"/>
      <c r="F300" s="312" t="e">
        <f aca="false">VLOOKUP(B300,'[1]detailed model'!a282:C360,3,FALSE())</f>
        <v>#NAME?</v>
      </c>
      <c r="G300" s="312"/>
      <c r="H300" s="315"/>
      <c r="I300" s="315"/>
      <c r="J300" s="315"/>
      <c r="K300" s="315"/>
      <c r="L300" s="315"/>
      <c r="M300" s="315"/>
      <c r="N300" s="315"/>
      <c r="O300" s="315"/>
      <c r="P300" s="315"/>
      <c r="Q300" s="315"/>
      <c r="R300" s="315"/>
      <c r="S300" s="315"/>
      <c r="T300" s="315"/>
      <c r="U300" s="315"/>
      <c r="V300" s="315"/>
      <c r="W300" s="315"/>
      <c r="X300" s="315"/>
      <c r="Y300" s="327"/>
      <c r="Z300" s="327"/>
    </row>
    <row r="301" customFormat="false" ht="17.35" hidden="false" customHeight="false" outlineLevel="0" collapsed="false">
      <c r="A301" s="317" t="s">
        <v>200</v>
      </c>
      <c r="B301" s="312"/>
      <c r="C301" s="312"/>
      <c r="D301" s="314" t="str">
        <f aca="false">IFERROR(VLOOKUP(B301,'[1]detailed model'!$a$6:$C$92,3,FALSE()),"NOT CODED/ERROR")</f>
        <v>NOT CODED/ERROR</v>
      </c>
      <c r="E301" s="311"/>
      <c r="F301" s="312" t="e">
        <f aca="false">VLOOKUP(B301,'[1]detailed model'!a283:C361,3,FALSE())</f>
        <v>#NAME?</v>
      </c>
      <c r="G301" s="312"/>
      <c r="H301" s="315"/>
      <c r="I301" s="315"/>
      <c r="J301" s="315"/>
      <c r="K301" s="315"/>
      <c r="L301" s="315"/>
      <c r="M301" s="315"/>
      <c r="N301" s="315"/>
      <c r="O301" s="315"/>
      <c r="P301" s="315"/>
      <c r="Q301" s="315"/>
      <c r="R301" s="315"/>
      <c r="S301" s="315"/>
      <c r="T301" s="315"/>
      <c r="U301" s="315"/>
      <c r="V301" s="315"/>
      <c r="W301" s="315"/>
      <c r="X301" s="315"/>
      <c r="Y301" s="327"/>
      <c r="Z301" s="327"/>
    </row>
    <row r="302" customFormat="false" ht="17.35" hidden="false" customHeight="false" outlineLevel="0" collapsed="false">
      <c r="A302" s="317" t="s">
        <v>200</v>
      </c>
      <c r="B302" s="312"/>
      <c r="C302" s="312"/>
      <c r="D302" s="314" t="str">
        <f aca="false">IFERROR(VLOOKUP(B302,'[1]detailed model'!$a$6:$C$92,3,FALSE()),"NOT CODED/ERROR")</f>
        <v>NOT CODED/ERROR</v>
      </c>
      <c r="E302" s="311"/>
      <c r="F302" s="312" t="e">
        <f aca="false">VLOOKUP(B302,'[1]detailed model'!a284:C362,3,FALSE())</f>
        <v>#NAME?</v>
      </c>
      <c r="G302" s="312"/>
      <c r="H302" s="315"/>
      <c r="I302" s="315"/>
      <c r="J302" s="315"/>
      <c r="K302" s="315"/>
      <c r="L302" s="315"/>
      <c r="M302" s="315"/>
      <c r="N302" s="315"/>
      <c r="O302" s="315"/>
      <c r="P302" s="315"/>
      <c r="Q302" s="315"/>
      <c r="R302" s="315"/>
      <c r="S302" s="315"/>
      <c r="T302" s="315"/>
      <c r="U302" s="315"/>
      <c r="V302" s="315"/>
      <c r="W302" s="315"/>
      <c r="X302" s="315"/>
      <c r="Y302" s="327"/>
      <c r="Z302" s="327"/>
    </row>
    <row r="303" customFormat="false" ht="17.35" hidden="false" customHeight="false" outlineLevel="0" collapsed="false">
      <c r="A303" s="317" t="s">
        <v>200</v>
      </c>
      <c r="B303" s="312"/>
      <c r="C303" s="312"/>
      <c r="D303" s="314" t="str">
        <f aca="false">IFERROR(VLOOKUP(B303,'[1]detailed model'!$a$6:$C$92,3,FALSE()),"NOT CODED/ERROR")</f>
        <v>NOT CODED/ERROR</v>
      </c>
      <c r="E303" s="311"/>
      <c r="F303" s="312" t="e">
        <f aca="false">VLOOKUP(B303,'[1]detailed model'!a285:C363,3,FALSE())</f>
        <v>#NAME?</v>
      </c>
      <c r="G303" s="312"/>
      <c r="H303" s="315"/>
      <c r="I303" s="315"/>
      <c r="J303" s="315"/>
      <c r="K303" s="315"/>
      <c r="L303" s="315"/>
      <c r="M303" s="315"/>
      <c r="N303" s="315"/>
      <c r="O303" s="315"/>
      <c r="P303" s="315"/>
      <c r="Q303" s="315"/>
      <c r="R303" s="315"/>
      <c r="S303" s="315"/>
      <c r="T303" s="315"/>
      <c r="U303" s="315"/>
      <c r="V303" s="315"/>
      <c r="W303" s="315"/>
      <c r="X303" s="315"/>
      <c r="Y303" s="327"/>
      <c r="Z303" s="327"/>
    </row>
    <row r="304" customFormat="false" ht="17.35" hidden="false" customHeight="false" outlineLevel="0" collapsed="false">
      <c r="A304" s="317" t="s">
        <v>200</v>
      </c>
      <c r="B304" s="312"/>
      <c r="C304" s="312"/>
      <c r="D304" s="314" t="str">
        <f aca="false">IFERROR(VLOOKUP(B304,'[1]detailed model'!$a$6:$C$92,3,FALSE()),"NOT CODED/ERROR")</f>
        <v>NOT CODED/ERROR</v>
      </c>
      <c r="E304" s="311"/>
      <c r="F304" s="312" t="e">
        <f aca="false">VLOOKUP(B304,'[1]detailed model'!a286:C364,3,FALSE())</f>
        <v>#NAME?</v>
      </c>
      <c r="G304" s="312"/>
      <c r="H304" s="315"/>
      <c r="I304" s="315"/>
      <c r="J304" s="315"/>
      <c r="K304" s="315"/>
      <c r="L304" s="315"/>
      <c r="M304" s="315"/>
      <c r="N304" s="315"/>
      <c r="O304" s="315"/>
      <c r="P304" s="315"/>
      <c r="Q304" s="315"/>
      <c r="R304" s="315"/>
      <c r="S304" s="315"/>
      <c r="T304" s="315"/>
      <c r="U304" s="315"/>
      <c r="V304" s="315"/>
      <c r="W304" s="315"/>
      <c r="X304" s="315"/>
      <c r="Y304" s="327"/>
      <c r="Z304" s="327"/>
    </row>
    <row r="305" customFormat="false" ht="17.35" hidden="false" customHeight="false" outlineLevel="0" collapsed="false">
      <c r="A305" s="317" t="s">
        <v>200</v>
      </c>
      <c r="B305" s="312"/>
      <c r="C305" s="312"/>
      <c r="D305" s="314" t="str">
        <f aca="false">IFERROR(VLOOKUP(B305,'[1]detailed model'!$a$6:$C$92,3,FALSE()),"NOT CODED/ERROR")</f>
        <v>NOT CODED/ERROR</v>
      </c>
      <c r="E305" s="311"/>
      <c r="F305" s="312" t="e">
        <f aca="false">VLOOKUP(B305,'[1]detailed model'!a287:C365,3,FALSE())</f>
        <v>#NAME?</v>
      </c>
      <c r="G305" s="312"/>
      <c r="H305" s="315"/>
      <c r="I305" s="315"/>
      <c r="J305" s="315"/>
      <c r="K305" s="315"/>
      <c r="L305" s="315"/>
      <c r="M305" s="315"/>
      <c r="N305" s="315"/>
      <c r="O305" s="315"/>
      <c r="P305" s="315"/>
      <c r="Q305" s="315"/>
      <c r="R305" s="315"/>
      <c r="S305" s="315"/>
      <c r="T305" s="315"/>
      <c r="U305" s="315"/>
      <c r="V305" s="315"/>
      <c r="W305" s="315"/>
      <c r="X305" s="315"/>
      <c r="Y305" s="327"/>
      <c r="Z305" s="327"/>
    </row>
    <row r="306" customFormat="false" ht="17.35" hidden="false" customHeight="false" outlineLevel="0" collapsed="false">
      <c r="A306" s="317" t="s">
        <v>200</v>
      </c>
      <c r="B306" s="312"/>
      <c r="C306" s="312"/>
      <c r="D306" s="314" t="str">
        <f aca="false">IFERROR(VLOOKUP(B306,'[1]detailed model'!$a$6:$C$92,3,FALSE()),"NOT CODED/ERROR")</f>
        <v>NOT CODED/ERROR</v>
      </c>
      <c r="E306" s="311"/>
      <c r="F306" s="312" t="e">
        <f aca="false">VLOOKUP(B306,'[1]detailed model'!a288:C366,3,FALSE())</f>
        <v>#NAME?</v>
      </c>
      <c r="G306" s="312"/>
      <c r="H306" s="315"/>
      <c r="I306" s="315"/>
      <c r="J306" s="315"/>
      <c r="K306" s="315"/>
      <c r="L306" s="315"/>
      <c r="M306" s="315"/>
      <c r="N306" s="315"/>
      <c r="O306" s="315"/>
      <c r="P306" s="315"/>
      <c r="Q306" s="315"/>
      <c r="R306" s="315"/>
      <c r="S306" s="315"/>
      <c r="T306" s="315"/>
      <c r="U306" s="315"/>
      <c r="V306" s="315"/>
      <c r="W306" s="315"/>
      <c r="X306" s="315"/>
      <c r="Y306" s="327"/>
      <c r="Z306" s="327"/>
    </row>
    <row r="307" customFormat="false" ht="17.35" hidden="false" customHeight="false" outlineLevel="0" collapsed="false">
      <c r="A307" s="317" t="s">
        <v>200</v>
      </c>
      <c r="B307" s="312"/>
      <c r="C307" s="312"/>
      <c r="D307" s="314" t="str">
        <f aca="false">IFERROR(VLOOKUP(B307,'[1]detailed model'!$a$6:$C$92,3,FALSE()),"NOT CODED/ERROR")</f>
        <v>NOT CODED/ERROR</v>
      </c>
      <c r="E307" s="311"/>
      <c r="F307" s="312" t="e">
        <f aca="false">VLOOKUP(B307,'[1]detailed model'!a289:C367,3,FALSE())</f>
        <v>#NAME?</v>
      </c>
      <c r="G307" s="312"/>
      <c r="H307" s="315"/>
      <c r="I307" s="315"/>
      <c r="J307" s="315"/>
      <c r="K307" s="315"/>
      <c r="L307" s="315"/>
      <c r="M307" s="315"/>
      <c r="N307" s="315"/>
      <c r="O307" s="315"/>
      <c r="P307" s="315"/>
      <c r="Q307" s="315"/>
      <c r="R307" s="315"/>
      <c r="S307" s="315"/>
      <c r="T307" s="315"/>
      <c r="U307" s="315"/>
      <c r="V307" s="315"/>
      <c r="W307" s="315"/>
      <c r="X307" s="315"/>
      <c r="Y307" s="327"/>
      <c r="Z307" s="327"/>
    </row>
    <row r="308" customFormat="false" ht="17.35" hidden="false" customHeight="false" outlineLevel="0" collapsed="false">
      <c r="A308" s="317" t="s">
        <v>200</v>
      </c>
      <c r="B308" s="312"/>
      <c r="C308" s="312"/>
      <c r="D308" s="314" t="str">
        <f aca="false">IFERROR(VLOOKUP(B308,'[1]detailed model'!$a$6:$C$92,3,FALSE()),"NOT CODED/ERROR")</f>
        <v>NOT CODED/ERROR</v>
      </c>
      <c r="E308" s="311"/>
      <c r="F308" s="312" t="e">
        <f aca="false">VLOOKUP(B308,'[1]detailed model'!a290:C368,3,FALSE())</f>
        <v>#NAME?</v>
      </c>
      <c r="G308" s="312"/>
      <c r="H308" s="315"/>
      <c r="I308" s="315"/>
      <c r="J308" s="315"/>
      <c r="K308" s="315"/>
      <c r="L308" s="315"/>
      <c r="M308" s="315"/>
      <c r="N308" s="315"/>
      <c r="O308" s="315"/>
      <c r="P308" s="315"/>
      <c r="Q308" s="315"/>
      <c r="R308" s="315"/>
      <c r="S308" s="315"/>
      <c r="T308" s="315"/>
      <c r="U308" s="315"/>
      <c r="V308" s="315"/>
      <c r="W308" s="315"/>
      <c r="X308" s="315"/>
      <c r="Y308" s="327"/>
      <c r="Z308" s="327"/>
    </row>
    <row r="309" customFormat="false" ht="17.35" hidden="false" customHeight="false" outlineLevel="0" collapsed="false">
      <c r="A309" s="317" t="s">
        <v>200</v>
      </c>
      <c r="B309" s="312"/>
      <c r="C309" s="312"/>
      <c r="D309" s="314" t="str">
        <f aca="false">IFERROR(VLOOKUP(B309,'[1]detailed model'!$a$6:$C$92,3,FALSE()),"NOT CODED/ERROR")</f>
        <v>NOT CODED/ERROR</v>
      </c>
      <c r="E309" s="311"/>
      <c r="F309" s="312" t="e">
        <f aca="false">VLOOKUP(B309,'[1]detailed model'!a291:C369,3,FALSE())</f>
        <v>#NAME?</v>
      </c>
      <c r="G309" s="312"/>
      <c r="H309" s="315"/>
      <c r="I309" s="315"/>
      <c r="J309" s="315"/>
      <c r="K309" s="315"/>
      <c r="L309" s="315"/>
      <c r="M309" s="315"/>
      <c r="N309" s="315"/>
      <c r="O309" s="315"/>
      <c r="P309" s="315"/>
      <c r="Q309" s="315"/>
      <c r="R309" s="315"/>
      <c r="S309" s="315"/>
      <c r="T309" s="315"/>
      <c r="U309" s="315"/>
      <c r="V309" s="315"/>
      <c r="W309" s="315"/>
      <c r="X309" s="315"/>
      <c r="Y309" s="327"/>
      <c r="Z309" s="327"/>
    </row>
    <row r="310" customFormat="false" ht="17.35" hidden="false" customHeight="false" outlineLevel="0" collapsed="false">
      <c r="A310" s="317" t="s">
        <v>200</v>
      </c>
      <c r="B310" s="312"/>
      <c r="C310" s="312"/>
      <c r="D310" s="314" t="str">
        <f aca="false">IFERROR(VLOOKUP(B310,'[1]detailed model'!$a$6:$C$92,3,FALSE()),"NOT CODED/ERROR")</f>
        <v>NOT CODED/ERROR</v>
      </c>
      <c r="E310" s="311"/>
      <c r="F310" s="312" t="e">
        <f aca="false">VLOOKUP(B310,'[1]detailed model'!a292:C370,3,FALSE())</f>
        <v>#NAME?</v>
      </c>
      <c r="G310" s="312"/>
      <c r="H310" s="315"/>
      <c r="I310" s="315"/>
      <c r="J310" s="315"/>
      <c r="K310" s="315"/>
      <c r="L310" s="315"/>
      <c r="M310" s="315"/>
      <c r="N310" s="315"/>
      <c r="O310" s="315"/>
      <c r="P310" s="315"/>
      <c r="Q310" s="315"/>
      <c r="R310" s="315"/>
      <c r="S310" s="315"/>
      <c r="T310" s="315"/>
      <c r="U310" s="315"/>
      <c r="V310" s="315"/>
      <c r="W310" s="315"/>
      <c r="X310" s="315"/>
      <c r="Y310" s="327"/>
      <c r="Z310" s="327"/>
    </row>
    <row r="311" customFormat="false" ht="17.35" hidden="false" customHeight="false" outlineLevel="0" collapsed="false">
      <c r="A311" s="317" t="s">
        <v>200</v>
      </c>
      <c r="B311" s="312"/>
      <c r="C311" s="312"/>
      <c r="D311" s="314" t="str">
        <f aca="false">IFERROR(VLOOKUP(B311,'[1]detailed model'!$a$6:$C$92,3,FALSE()),"NOT CODED/ERROR")</f>
        <v>NOT CODED/ERROR</v>
      </c>
      <c r="E311" s="311"/>
      <c r="F311" s="312" t="e">
        <f aca="false">VLOOKUP(B311,'[1]detailed model'!a293:C371,3,FALSE())</f>
        <v>#NAME?</v>
      </c>
      <c r="G311" s="312"/>
      <c r="H311" s="315"/>
      <c r="I311" s="315"/>
      <c r="J311" s="315"/>
      <c r="K311" s="315"/>
      <c r="L311" s="315"/>
      <c r="M311" s="315"/>
      <c r="N311" s="315"/>
      <c r="O311" s="315"/>
      <c r="P311" s="315"/>
      <c r="Q311" s="315"/>
      <c r="R311" s="315"/>
      <c r="S311" s="315"/>
      <c r="T311" s="315"/>
      <c r="U311" s="315"/>
      <c r="V311" s="315"/>
      <c r="W311" s="315"/>
      <c r="X311" s="315"/>
      <c r="Y311" s="327"/>
      <c r="Z311" s="327"/>
    </row>
    <row r="312" customFormat="false" ht="17.35" hidden="false" customHeight="false" outlineLevel="0" collapsed="false">
      <c r="A312" s="317" t="s">
        <v>200</v>
      </c>
      <c r="B312" s="312"/>
      <c r="C312" s="312"/>
      <c r="D312" s="314" t="str">
        <f aca="false">IFERROR(VLOOKUP(B312,'[1]detailed model'!$a$6:$C$92,3,FALSE()),"NOT CODED/ERROR")</f>
        <v>NOT CODED/ERROR</v>
      </c>
      <c r="E312" s="311"/>
      <c r="F312" s="312" t="e">
        <f aca="false">VLOOKUP(B312,'[1]detailed model'!a294:C372,3,FALSE())</f>
        <v>#NAME?</v>
      </c>
      <c r="G312" s="312"/>
      <c r="H312" s="315"/>
      <c r="I312" s="315"/>
      <c r="J312" s="315"/>
      <c r="K312" s="315"/>
      <c r="L312" s="315"/>
      <c r="M312" s="315"/>
      <c r="N312" s="315"/>
      <c r="O312" s="315"/>
      <c r="P312" s="315"/>
      <c r="Q312" s="315"/>
      <c r="R312" s="315"/>
      <c r="S312" s="315"/>
      <c r="T312" s="315"/>
      <c r="U312" s="315"/>
      <c r="V312" s="315"/>
      <c r="W312" s="315"/>
      <c r="X312" s="315"/>
      <c r="Y312" s="327"/>
      <c r="Z312" s="327"/>
    </row>
    <row r="313" customFormat="false" ht="17.35" hidden="false" customHeight="false" outlineLevel="0" collapsed="false">
      <c r="A313" s="317" t="s">
        <v>200</v>
      </c>
      <c r="B313" s="312"/>
      <c r="C313" s="312"/>
      <c r="D313" s="314" t="str">
        <f aca="false">IFERROR(VLOOKUP(B313,'[1]detailed model'!$a$6:$C$92,3,FALSE()),"NOT CODED/ERROR")</f>
        <v>NOT CODED/ERROR</v>
      </c>
      <c r="E313" s="311"/>
      <c r="F313" s="312" t="e">
        <f aca="false">VLOOKUP(B313,'[1]detailed model'!a295:C373,3,FALSE())</f>
        <v>#NAME?</v>
      </c>
      <c r="G313" s="312"/>
      <c r="H313" s="315"/>
      <c r="I313" s="315"/>
      <c r="J313" s="315"/>
      <c r="K313" s="315"/>
      <c r="L313" s="315"/>
      <c r="M313" s="315"/>
      <c r="N313" s="315"/>
      <c r="O313" s="315"/>
      <c r="P313" s="315"/>
      <c r="Q313" s="315"/>
      <c r="R313" s="315"/>
      <c r="S313" s="315"/>
      <c r="T313" s="315"/>
      <c r="U313" s="315"/>
      <c r="V313" s="315"/>
      <c r="W313" s="315"/>
      <c r="X313" s="315"/>
      <c r="Y313" s="327"/>
      <c r="Z313" s="327"/>
    </row>
    <row r="314" customFormat="false" ht="17.35" hidden="false" customHeight="false" outlineLevel="0" collapsed="false">
      <c r="A314" s="317" t="s">
        <v>200</v>
      </c>
      <c r="B314" s="312"/>
      <c r="C314" s="312"/>
      <c r="D314" s="314" t="str">
        <f aca="false">IFERROR(VLOOKUP(B314,'[1]detailed model'!$a$6:$C$92,3,FALSE()),"NOT CODED/ERROR")</f>
        <v>NOT CODED/ERROR</v>
      </c>
      <c r="E314" s="311"/>
      <c r="F314" s="312" t="e">
        <f aca="false">VLOOKUP(B314,'[1]detailed model'!a296:C374,3,FALSE())</f>
        <v>#NAME?</v>
      </c>
      <c r="G314" s="312"/>
      <c r="H314" s="315"/>
      <c r="I314" s="315"/>
      <c r="J314" s="315"/>
      <c r="K314" s="315"/>
      <c r="L314" s="315"/>
      <c r="M314" s="315"/>
      <c r="N314" s="315"/>
      <c r="O314" s="315"/>
      <c r="P314" s="315"/>
      <c r="Q314" s="315"/>
      <c r="R314" s="315"/>
      <c r="S314" s="315"/>
      <c r="T314" s="315"/>
      <c r="U314" s="315"/>
      <c r="V314" s="315"/>
      <c r="W314" s="315"/>
      <c r="X314" s="315"/>
      <c r="Y314" s="327"/>
      <c r="Z314" s="327"/>
    </row>
    <row r="315" customFormat="false" ht="17.35" hidden="false" customHeight="false" outlineLevel="0" collapsed="false">
      <c r="A315" s="317" t="s">
        <v>200</v>
      </c>
      <c r="B315" s="312"/>
      <c r="C315" s="312"/>
      <c r="D315" s="314" t="str">
        <f aca="false">IFERROR(VLOOKUP(B315,'[1]detailed model'!$a$6:$C$92,3,FALSE()),"NOT CODED/ERROR")</f>
        <v>NOT CODED/ERROR</v>
      </c>
      <c r="E315" s="311"/>
      <c r="F315" s="312" t="e">
        <f aca="false">VLOOKUP(B315,'[1]detailed model'!a297:C375,3,FALSE())</f>
        <v>#NAME?</v>
      </c>
      <c r="G315" s="312"/>
      <c r="H315" s="315"/>
      <c r="I315" s="315"/>
      <c r="J315" s="315"/>
      <c r="K315" s="315"/>
      <c r="L315" s="315"/>
      <c r="M315" s="315"/>
      <c r="N315" s="315"/>
      <c r="O315" s="315"/>
      <c r="P315" s="315"/>
      <c r="Q315" s="315"/>
      <c r="R315" s="315"/>
      <c r="S315" s="315"/>
      <c r="T315" s="315"/>
      <c r="U315" s="315"/>
      <c r="V315" s="315"/>
      <c r="W315" s="315"/>
      <c r="X315" s="315"/>
      <c r="Y315" s="327"/>
      <c r="Z315" s="327"/>
    </row>
    <row r="316" customFormat="false" ht="17.35" hidden="false" customHeight="false" outlineLevel="0" collapsed="false">
      <c r="A316" s="317" t="s">
        <v>200</v>
      </c>
      <c r="B316" s="312"/>
      <c r="C316" s="312"/>
      <c r="D316" s="314" t="str">
        <f aca="false">IFERROR(VLOOKUP(B316,'[1]detailed model'!$a$6:$C$92,3,FALSE()),"NOT CODED/ERROR")</f>
        <v>NOT CODED/ERROR</v>
      </c>
      <c r="E316" s="311"/>
      <c r="F316" s="312" t="e">
        <f aca="false">VLOOKUP(B316,'[1]detailed model'!a298:C376,3,FALSE())</f>
        <v>#NAME?</v>
      </c>
      <c r="G316" s="312"/>
      <c r="H316" s="315"/>
      <c r="I316" s="315"/>
      <c r="J316" s="315"/>
      <c r="K316" s="315"/>
      <c r="L316" s="315"/>
      <c r="M316" s="315"/>
      <c r="N316" s="315"/>
      <c r="O316" s="315"/>
      <c r="P316" s="315"/>
      <c r="Q316" s="315"/>
      <c r="R316" s="315"/>
      <c r="S316" s="315"/>
      <c r="T316" s="315"/>
      <c r="U316" s="315"/>
      <c r="V316" s="315"/>
      <c r="W316" s="315"/>
      <c r="X316" s="315"/>
      <c r="Y316" s="327"/>
      <c r="Z316" s="327"/>
    </row>
    <row r="317" customFormat="false" ht="17.35" hidden="false" customHeight="false" outlineLevel="0" collapsed="false">
      <c r="A317" s="317" t="s">
        <v>200</v>
      </c>
      <c r="B317" s="312"/>
      <c r="C317" s="312"/>
      <c r="D317" s="314" t="str">
        <f aca="false">IFERROR(VLOOKUP(B317,'[1]detailed model'!$a$6:$C$92,3,FALSE()),"NOT CODED/ERROR")</f>
        <v>NOT CODED/ERROR</v>
      </c>
      <c r="E317" s="311"/>
      <c r="F317" s="312" t="e">
        <f aca="false">VLOOKUP(B317,'[1]detailed model'!a299:C377,3,FALSE())</f>
        <v>#NAME?</v>
      </c>
      <c r="G317" s="312"/>
      <c r="H317" s="315"/>
      <c r="I317" s="315"/>
      <c r="J317" s="315"/>
      <c r="K317" s="315"/>
      <c r="L317" s="315"/>
      <c r="M317" s="315"/>
      <c r="N317" s="315"/>
      <c r="O317" s="315"/>
      <c r="P317" s="315"/>
      <c r="Q317" s="315"/>
      <c r="R317" s="315"/>
      <c r="S317" s="315"/>
      <c r="T317" s="315"/>
      <c r="U317" s="315"/>
      <c r="V317" s="315"/>
      <c r="W317" s="315"/>
      <c r="X317" s="315"/>
      <c r="Y317" s="327"/>
      <c r="Z317" s="327"/>
    </row>
    <row r="318" customFormat="false" ht="17.35" hidden="false" customHeight="false" outlineLevel="0" collapsed="false">
      <c r="A318" s="317" t="s">
        <v>200</v>
      </c>
      <c r="B318" s="312"/>
      <c r="C318" s="312"/>
      <c r="D318" s="314" t="str">
        <f aca="false">IFERROR(VLOOKUP(B318,'[1]detailed model'!$a$6:$C$92,3,FALSE()),"NOT CODED/ERROR")</f>
        <v>NOT CODED/ERROR</v>
      </c>
      <c r="E318" s="311"/>
      <c r="F318" s="312" t="e">
        <f aca="false">VLOOKUP(B318,'[1]detailed model'!a300:C378,3,FALSE())</f>
        <v>#NAME?</v>
      </c>
      <c r="G318" s="312"/>
      <c r="H318" s="315"/>
      <c r="I318" s="315"/>
      <c r="J318" s="315"/>
      <c r="K318" s="315"/>
      <c r="L318" s="315"/>
      <c r="M318" s="315"/>
      <c r="N318" s="315"/>
      <c r="O318" s="315"/>
      <c r="P318" s="315"/>
      <c r="Q318" s="315"/>
      <c r="R318" s="315"/>
      <c r="S318" s="315"/>
      <c r="T318" s="315"/>
      <c r="U318" s="315"/>
      <c r="V318" s="315"/>
      <c r="W318" s="315"/>
      <c r="X318" s="315"/>
      <c r="Y318" s="327"/>
      <c r="Z318" s="327"/>
    </row>
    <row r="319" customFormat="false" ht="17.35" hidden="false" customHeight="false" outlineLevel="0" collapsed="false">
      <c r="A319" s="317" t="s">
        <v>200</v>
      </c>
      <c r="B319" s="312"/>
      <c r="C319" s="312"/>
      <c r="D319" s="314" t="str">
        <f aca="false">IFERROR(VLOOKUP(B319,'[1]detailed model'!$a$6:$C$92,3,FALSE()),"NOT CODED/ERROR")</f>
        <v>NOT CODED/ERROR</v>
      </c>
      <c r="E319" s="311"/>
      <c r="F319" s="312" t="e">
        <f aca="false">VLOOKUP(B319,'[1]detailed model'!a301:C379,3,FALSE())</f>
        <v>#NAME?</v>
      </c>
      <c r="G319" s="312"/>
      <c r="H319" s="315"/>
      <c r="I319" s="315"/>
      <c r="J319" s="315"/>
      <c r="K319" s="315"/>
      <c r="L319" s="315"/>
      <c r="M319" s="315"/>
      <c r="N319" s="315"/>
      <c r="O319" s="315"/>
      <c r="P319" s="315"/>
      <c r="Q319" s="315"/>
      <c r="R319" s="315"/>
      <c r="S319" s="315"/>
      <c r="T319" s="315"/>
      <c r="U319" s="315"/>
      <c r="V319" s="315"/>
      <c r="W319" s="315"/>
      <c r="X319" s="315"/>
      <c r="Y319" s="327"/>
      <c r="Z319" s="327"/>
    </row>
    <row r="320" customFormat="false" ht="17.35" hidden="false" customHeight="false" outlineLevel="0" collapsed="false">
      <c r="A320" s="317" t="s">
        <v>200</v>
      </c>
      <c r="B320" s="312"/>
      <c r="C320" s="312"/>
      <c r="D320" s="314" t="str">
        <f aca="false">IFERROR(VLOOKUP(B320,'[1]detailed model'!$a$6:$C$92,3,FALSE()),"NOT CODED/ERROR")</f>
        <v>NOT CODED/ERROR</v>
      </c>
      <c r="E320" s="311"/>
      <c r="F320" s="312" t="e">
        <f aca="false">VLOOKUP(B320,'[1]detailed model'!a302:C380,3,FALSE())</f>
        <v>#NAME?</v>
      </c>
    </row>
    <row r="321" customFormat="false" ht="17.35" hidden="false" customHeight="false" outlineLevel="0" collapsed="false">
      <c r="A321" s="317" t="s">
        <v>200</v>
      </c>
      <c r="B321" s="312"/>
      <c r="C321" s="312"/>
      <c r="D321" s="314" t="str">
        <f aca="false">IFERROR(VLOOKUP(B321,'[1]detailed model'!$a$6:$C$92,3,FALSE()),"NOT CODED/ERROR")</f>
        <v>NOT CODED/ERROR</v>
      </c>
      <c r="E321" s="311"/>
      <c r="F321" s="312" t="e">
        <f aca="false">VLOOKUP(B321,'[1]detailed model'!a303:C381,3,FALSE())</f>
        <v>#NAME?</v>
      </c>
    </row>
    <row r="322" customFormat="false" ht="17.35" hidden="false" customHeight="false" outlineLevel="0" collapsed="false">
      <c r="A322" s="317" t="s">
        <v>200</v>
      </c>
      <c r="B322" s="312"/>
      <c r="C322" s="312"/>
      <c r="D322" s="314" t="str">
        <f aca="false">IFERROR(VLOOKUP(B322,'[1]detailed model'!$a$6:$C$92,3,FALSE()),"NOT CODED/ERROR")</f>
        <v>NOT CODED/ERROR</v>
      </c>
      <c r="E322" s="311"/>
      <c r="F322" s="312" t="e">
        <f aca="false">VLOOKUP(B322,'[1]detailed model'!a304:C382,3,FALSE())</f>
        <v>#NAME?</v>
      </c>
    </row>
    <row r="323" customFormat="false" ht="17.35" hidden="false" customHeight="false" outlineLevel="0" collapsed="false">
      <c r="A323" s="317" t="s">
        <v>200</v>
      </c>
      <c r="B323" s="312"/>
      <c r="C323" s="312"/>
      <c r="D323" s="314" t="str">
        <f aca="false">IFERROR(VLOOKUP(B323,'[1]detailed model'!$a$6:$C$92,3,FALSE()),"NOT CODED/ERROR")</f>
        <v>NOT CODED/ERROR</v>
      </c>
      <c r="E323" s="311"/>
      <c r="F323" s="312" t="e">
        <f aca="false">VLOOKUP(B323,'[1]detailed model'!a305:C383,3,FALSE())</f>
        <v>#NAME?</v>
      </c>
    </row>
    <row r="324" customFormat="false" ht="17.35" hidden="false" customHeight="false" outlineLevel="0" collapsed="false">
      <c r="A324" s="317" t="s">
        <v>200</v>
      </c>
      <c r="B324" s="312"/>
      <c r="C324" s="312"/>
      <c r="D324" s="314" t="str">
        <f aca="false">IFERROR(VLOOKUP(B324,'[1]detailed model'!$a$6:$C$92,3,FALSE()),"NOT CODED/ERROR")</f>
        <v>NOT CODED/ERROR</v>
      </c>
      <c r="E324" s="311"/>
      <c r="F324" s="312" t="e">
        <f aca="false">VLOOKUP(B324,'[1]detailed model'!a306:C384,3,FALSE())</f>
        <v>#NAME?</v>
      </c>
    </row>
    <row r="325" customFormat="false" ht="17.35" hidden="false" customHeight="false" outlineLevel="0" collapsed="false">
      <c r="A325" s="317" t="s">
        <v>200</v>
      </c>
      <c r="B325" s="312"/>
      <c r="C325" s="312"/>
      <c r="D325" s="314" t="str">
        <f aca="false">IFERROR(VLOOKUP(B325,'[1]detailed model'!$a$6:$C$92,3,FALSE()),"NOT CODED/ERROR")</f>
        <v>NOT CODED/ERROR</v>
      </c>
      <c r="E325" s="311"/>
      <c r="F325" s="312" t="e">
        <f aca="false">VLOOKUP(B325,'[1]detailed model'!a307:C385,3,FALSE())</f>
        <v>#NAME?</v>
      </c>
    </row>
    <row r="326" customFormat="false" ht="17.35" hidden="false" customHeight="false" outlineLevel="0" collapsed="false">
      <c r="A326" s="317" t="s">
        <v>200</v>
      </c>
      <c r="B326" s="312"/>
      <c r="C326" s="312"/>
      <c r="D326" s="314" t="str">
        <f aca="false">IFERROR(VLOOKUP(B326,'[1]detailed model'!$a$6:$C$92,3,FALSE()),"NOT CODED/ERROR")</f>
        <v>NOT CODED/ERROR</v>
      </c>
      <c r="E326" s="311"/>
      <c r="F326" s="312" t="e">
        <f aca="false">VLOOKUP(B326,'[1]detailed model'!a308:C386,3,FALSE())</f>
        <v>#NAME?</v>
      </c>
    </row>
    <row r="327" customFormat="false" ht="17.35" hidden="false" customHeight="false" outlineLevel="0" collapsed="false">
      <c r="A327" s="317" t="s">
        <v>200</v>
      </c>
      <c r="B327" s="312"/>
      <c r="C327" s="312"/>
      <c r="D327" s="314" t="str">
        <f aca="false">IFERROR(VLOOKUP(B327,'[1]detailed model'!$a$6:$C$92,3,FALSE()),"NOT CODED/ERROR")</f>
        <v>NOT CODED/ERROR</v>
      </c>
      <c r="E327" s="311"/>
      <c r="F327" s="312" t="e">
        <f aca="false">VLOOKUP(B327,'[1]detailed model'!a309:C387,3,FALSE())</f>
        <v>#NAME?</v>
      </c>
    </row>
    <row r="328" customFormat="false" ht="17.35" hidden="false" customHeight="false" outlineLevel="0" collapsed="false">
      <c r="A328" s="317" t="s">
        <v>200</v>
      </c>
      <c r="B328" s="312"/>
      <c r="C328" s="312"/>
      <c r="D328" s="314" t="str">
        <f aca="false">IFERROR(VLOOKUP(B328,'[1]detailed model'!$a$6:$C$92,3,FALSE()),"NOT CODED/ERROR")</f>
        <v>NOT CODED/ERROR</v>
      </c>
      <c r="E328" s="311"/>
      <c r="F328" s="312" t="e">
        <f aca="false">VLOOKUP(B328,'[1]detailed model'!a310:C388,3,FALSE())</f>
        <v>#NAME?</v>
      </c>
    </row>
    <row r="329" customFormat="false" ht="17.35" hidden="false" customHeight="false" outlineLevel="0" collapsed="false">
      <c r="A329" s="317" t="s">
        <v>200</v>
      </c>
      <c r="B329" s="312"/>
      <c r="C329" s="312"/>
      <c r="D329" s="314" t="str">
        <f aca="false">IFERROR(VLOOKUP(B329,'[1]detailed model'!$a$6:$C$92,3,FALSE()),"NOT CODED/ERROR")</f>
        <v>NOT CODED/ERROR</v>
      </c>
      <c r="E329" s="311"/>
      <c r="F329" s="312" t="e">
        <f aca="false">VLOOKUP(B329,'[1]detailed model'!a311:C389,3,FALSE())</f>
        <v>#NAME?</v>
      </c>
    </row>
    <row r="330" customFormat="false" ht="17.35" hidden="false" customHeight="false" outlineLevel="0" collapsed="false">
      <c r="A330" s="317" t="s">
        <v>200</v>
      </c>
      <c r="B330" s="312"/>
      <c r="C330" s="312"/>
      <c r="D330" s="314" t="str">
        <f aca="false">IFERROR(VLOOKUP(B330,'[1]detailed model'!$a$6:$C$92,3,FALSE()),"NOT CODED/ERROR")</f>
        <v>NOT CODED/ERROR</v>
      </c>
      <c r="E330" s="311"/>
      <c r="F330" s="312" t="e">
        <f aca="false">VLOOKUP(B330,'[1]detailed model'!a312:C390,3,FALSE())</f>
        <v>#NAME?</v>
      </c>
    </row>
    <row r="331" customFormat="false" ht="17.35" hidden="false" customHeight="false" outlineLevel="0" collapsed="false">
      <c r="A331" s="317" t="s">
        <v>200</v>
      </c>
      <c r="B331" s="312"/>
      <c r="C331" s="312"/>
      <c r="D331" s="314" t="str">
        <f aca="false">IFERROR(VLOOKUP(B331,'[1]detailed model'!$a$6:$C$92,3,FALSE()),"NOT CODED/ERROR")</f>
        <v>NOT CODED/ERROR</v>
      </c>
      <c r="E331" s="311"/>
      <c r="F331" s="312" t="e">
        <f aca="false">VLOOKUP(B331,'[1]detailed model'!a313:C391,3,FALSE())</f>
        <v>#NAME?</v>
      </c>
    </row>
    <row r="332" customFormat="false" ht="17.35" hidden="false" customHeight="false" outlineLevel="0" collapsed="false">
      <c r="A332" s="317" t="s">
        <v>200</v>
      </c>
      <c r="B332" s="312"/>
      <c r="C332" s="312"/>
      <c r="D332" s="314" t="str">
        <f aca="false">IFERROR(VLOOKUP(B332,'[1]detailed model'!$a$6:$C$92,3,FALSE()),"NOT CODED/ERROR")</f>
        <v>NOT CODED/ERROR</v>
      </c>
      <c r="E332" s="311"/>
      <c r="F332" s="312" t="e">
        <f aca="false">VLOOKUP(B332,'[1]detailed model'!a314:C392,3,FALSE())</f>
        <v>#NAME?</v>
      </c>
    </row>
    <row r="333" customFormat="false" ht="17.35" hidden="false" customHeight="false" outlineLevel="0" collapsed="false">
      <c r="A333" s="317" t="s">
        <v>200</v>
      </c>
      <c r="B333" s="312"/>
      <c r="C333" s="312"/>
      <c r="D333" s="314" t="str">
        <f aca="false">IFERROR(VLOOKUP(B333,'[1]detailed model'!$a$6:$C$92,3,FALSE()),"NOT CODED/ERROR")</f>
        <v>NOT CODED/ERROR</v>
      </c>
      <c r="E333" s="311"/>
      <c r="F333" s="312" t="e">
        <f aca="false">VLOOKUP(B333,'[1]detailed model'!a315:C393,3,FALSE())</f>
        <v>#NAME?</v>
      </c>
    </row>
    <row r="334" customFormat="false" ht="17.35" hidden="false" customHeight="false" outlineLevel="0" collapsed="false">
      <c r="A334" s="317" t="s">
        <v>200</v>
      </c>
      <c r="B334" s="312"/>
      <c r="C334" s="312"/>
      <c r="D334" s="314" t="str">
        <f aca="false">IFERROR(VLOOKUP(B334,'[1]detailed model'!$a$6:$C$92,3,FALSE()),"NOT CODED/ERROR")</f>
        <v>NOT CODED/ERROR</v>
      </c>
      <c r="E334" s="311"/>
      <c r="F334" s="312" t="e">
        <f aca="false">VLOOKUP(B334,'[1]detailed model'!a316:C394,3,FALSE())</f>
        <v>#NAME?</v>
      </c>
    </row>
    <row r="335" customFormat="false" ht="17.35" hidden="false" customHeight="false" outlineLevel="0" collapsed="false">
      <c r="A335" s="317" t="s">
        <v>200</v>
      </c>
      <c r="B335" s="312"/>
      <c r="C335" s="312"/>
      <c r="D335" s="314" t="str">
        <f aca="false">IFERROR(VLOOKUP(B335,'[1]detailed model'!$a$6:$C$92,3,FALSE()),"NOT CODED/ERROR")</f>
        <v>NOT CODED/ERROR</v>
      </c>
      <c r="E335" s="311"/>
      <c r="F335" s="312" t="e">
        <f aca="false">VLOOKUP(B335,'[1]detailed model'!a317:C395,3,FALSE())</f>
        <v>#NAME?</v>
      </c>
    </row>
    <row r="336" customFormat="false" ht="17.35" hidden="false" customHeight="false" outlineLevel="0" collapsed="false">
      <c r="A336" s="317" t="s">
        <v>200</v>
      </c>
      <c r="B336" s="312"/>
      <c r="C336" s="312"/>
      <c r="D336" s="314" t="str">
        <f aca="false">IFERROR(VLOOKUP(B336,'[1]detailed model'!$a$6:$C$92,3,FALSE()),"NOT CODED/ERROR")</f>
        <v>NOT CODED/ERROR</v>
      </c>
      <c r="E336" s="311"/>
      <c r="F336" s="312" t="e">
        <f aca="false">VLOOKUP(B336,'[1]detailed model'!a318:C396,3,FALSE())</f>
        <v>#NAME?</v>
      </c>
    </row>
    <row r="337" customFormat="false" ht="17.35" hidden="false" customHeight="false" outlineLevel="0" collapsed="false">
      <c r="A337" s="317" t="s">
        <v>200</v>
      </c>
      <c r="B337" s="312"/>
      <c r="C337" s="312"/>
      <c r="D337" s="314" t="str">
        <f aca="false">IFERROR(VLOOKUP(B337,'[1]detailed model'!$a$6:$C$92,3,FALSE()),"NOT CODED/ERROR")</f>
        <v>NOT CODED/ERROR</v>
      </c>
      <c r="E337" s="311"/>
      <c r="F337" s="312" t="e">
        <f aca="false">VLOOKUP(B337,'[1]detailed model'!a319:C397,3,FALSE())</f>
        <v>#NAME?</v>
      </c>
    </row>
    <row r="338" customFormat="false" ht="17.35" hidden="false" customHeight="false" outlineLevel="0" collapsed="false">
      <c r="A338" s="317" t="s">
        <v>200</v>
      </c>
      <c r="B338" s="312"/>
      <c r="C338" s="312"/>
      <c r="D338" s="314" t="str">
        <f aca="false">IFERROR(VLOOKUP(B338,'[1]detailed model'!$a$6:$C$92,3,FALSE()),"NOT CODED/ERROR")</f>
        <v>NOT CODED/ERROR</v>
      </c>
      <c r="E338" s="311"/>
      <c r="F338" s="312" t="e">
        <f aca="false">VLOOKUP(B338,'[1]detailed model'!a320:C398,3,FALSE())</f>
        <v>#NAME?</v>
      </c>
    </row>
    <row r="339" customFormat="false" ht="17.35" hidden="false" customHeight="false" outlineLevel="0" collapsed="false">
      <c r="A339" s="317" t="s">
        <v>200</v>
      </c>
      <c r="B339" s="312"/>
      <c r="C339" s="312"/>
      <c r="D339" s="314" t="str">
        <f aca="false">IFERROR(VLOOKUP(B339,'[1]detailed model'!$a$6:$C$92,3,FALSE()),"NOT CODED/ERROR")</f>
        <v>NOT CODED/ERROR</v>
      </c>
      <c r="E339" s="311"/>
      <c r="F339" s="312" t="e">
        <f aca="false">VLOOKUP(B339,'[1]detailed model'!a321:C399,3,FALSE())</f>
        <v>#NAME?</v>
      </c>
    </row>
    <row r="340" customFormat="false" ht="17.35" hidden="false" customHeight="false" outlineLevel="0" collapsed="false">
      <c r="A340" s="317" t="s">
        <v>200</v>
      </c>
      <c r="B340" s="312"/>
      <c r="C340" s="312"/>
      <c r="D340" s="314" t="str">
        <f aca="false">IFERROR(VLOOKUP(B340,'[1]detailed model'!$a$6:$C$92,3,FALSE()),"NOT CODED/ERROR")</f>
        <v>NOT CODED/ERROR</v>
      </c>
      <c r="E340" s="311"/>
      <c r="F340" s="312" t="e">
        <f aca="false">VLOOKUP(B340,'[1]detailed model'!a322:C400,3,FALSE())</f>
        <v>#NAME?</v>
      </c>
    </row>
    <row r="341" customFormat="false" ht="17.35" hidden="false" customHeight="false" outlineLevel="0" collapsed="false">
      <c r="A341" s="317" t="s">
        <v>200</v>
      </c>
      <c r="B341" s="312"/>
      <c r="C341" s="312"/>
      <c r="D341" s="314" t="str">
        <f aca="false">IFERROR(VLOOKUP(B341,'[1]detailed model'!$a$6:$C$92,3,FALSE()),"NOT CODED/ERROR")</f>
        <v>NOT CODED/ERROR</v>
      </c>
      <c r="E341" s="311"/>
      <c r="F341" s="312" t="e">
        <f aca="false">VLOOKUP(B341,'[1]detailed model'!a323:C401,3,FALSE())</f>
        <v>#NAME?</v>
      </c>
    </row>
    <row r="342" customFormat="false" ht="17.35" hidden="false" customHeight="false" outlineLevel="0" collapsed="false">
      <c r="A342" s="317" t="s">
        <v>200</v>
      </c>
      <c r="B342" s="312"/>
      <c r="C342" s="312"/>
      <c r="D342" s="314" t="str">
        <f aca="false">IFERROR(VLOOKUP(B342,'[1]detailed model'!$a$6:$C$92,3,FALSE()),"NOT CODED/ERROR")</f>
        <v>NOT CODED/ERROR</v>
      </c>
      <c r="E342" s="311"/>
      <c r="F342" s="312" t="e">
        <f aca="false">VLOOKUP(B342,'[1]detailed model'!a324:C402,3,FALSE())</f>
        <v>#NAME?</v>
      </c>
    </row>
    <row r="343" customFormat="false" ht="17.35" hidden="false" customHeight="false" outlineLevel="0" collapsed="false">
      <c r="A343" s="317" t="s">
        <v>200</v>
      </c>
      <c r="B343" s="312"/>
      <c r="C343" s="312"/>
      <c r="D343" s="314" t="str">
        <f aca="false">IFERROR(VLOOKUP(B343,'[1]detailed model'!$a$6:$C$92,3,FALSE()),"NOT CODED/ERROR")</f>
        <v>NOT CODED/ERROR</v>
      </c>
      <c r="E343" s="311"/>
      <c r="F343" s="312" t="e">
        <f aca="false">VLOOKUP(B343,'[1]detailed model'!a325:C403,3,FALSE())</f>
        <v>#NAME?</v>
      </c>
    </row>
    <row r="344" customFormat="false" ht="17.35" hidden="false" customHeight="false" outlineLevel="0" collapsed="false">
      <c r="A344" s="317" t="s">
        <v>200</v>
      </c>
      <c r="B344" s="312"/>
      <c r="C344" s="312"/>
      <c r="D344" s="314" t="str">
        <f aca="false">IFERROR(VLOOKUP(B344,'[1]detailed model'!$a$6:$C$92,3,FALSE()),"NOT CODED/ERROR")</f>
        <v>NOT CODED/ERROR</v>
      </c>
      <c r="E344" s="311"/>
      <c r="F344" s="312" t="e">
        <f aca="false">VLOOKUP(B344,'[1]detailed model'!a326:C404,3,FALSE())</f>
        <v>#NAME?</v>
      </c>
    </row>
    <row r="345" customFormat="false" ht="17.35" hidden="false" customHeight="false" outlineLevel="0" collapsed="false">
      <c r="A345" s="317" t="s">
        <v>200</v>
      </c>
      <c r="B345" s="312"/>
      <c r="C345" s="312"/>
      <c r="D345" s="314" t="str">
        <f aca="false">IFERROR(VLOOKUP(B345,'[1]detailed model'!$a$6:$C$92,3,FALSE()),"NOT CODED/ERROR")</f>
        <v>NOT CODED/ERROR</v>
      </c>
      <c r="E345" s="311"/>
      <c r="F345" s="312" t="e">
        <f aca="false">VLOOKUP(B345,'[1]detailed model'!a327:C405,3,FALSE())</f>
        <v>#NAME?</v>
      </c>
    </row>
    <row r="346" customFormat="false" ht="17.35" hidden="false" customHeight="false" outlineLevel="0" collapsed="false">
      <c r="A346" s="317" t="s">
        <v>200</v>
      </c>
      <c r="B346" s="312"/>
      <c r="C346" s="312"/>
      <c r="D346" s="314" t="str">
        <f aca="false">IFERROR(VLOOKUP(B346,'[1]detailed model'!$a$6:$C$92,3,FALSE()),"NOT CODED/ERROR")</f>
        <v>NOT CODED/ERROR</v>
      </c>
      <c r="E346" s="311"/>
      <c r="F346" s="312" t="e">
        <f aca="false">VLOOKUP(B346,'[1]detailed model'!a328:C406,3,FALSE())</f>
        <v>#NAME?</v>
      </c>
    </row>
    <row r="347" customFormat="false" ht="17.35" hidden="false" customHeight="false" outlineLevel="0" collapsed="false">
      <c r="A347" s="317" t="s">
        <v>200</v>
      </c>
      <c r="B347" s="312"/>
      <c r="C347" s="312"/>
      <c r="D347" s="314" t="str">
        <f aca="false">IFERROR(VLOOKUP(B347,'[1]detailed model'!$a$6:$C$92,3,FALSE()),"NOT CODED/ERROR")</f>
        <v>NOT CODED/ERROR</v>
      </c>
      <c r="E347" s="311"/>
      <c r="F347" s="312" t="e">
        <f aca="false">VLOOKUP(B347,'[1]detailed model'!a329:C407,3,FALSE())</f>
        <v>#NAME?</v>
      </c>
    </row>
    <row r="348" customFormat="false" ht="17.35" hidden="false" customHeight="false" outlineLevel="0" collapsed="false">
      <c r="A348" s="317" t="s">
        <v>200</v>
      </c>
      <c r="B348" s="312"/>
      <c r="C348" s="312"/>
      <c r="D348" s="314" t="str">
        <f aca="false">IFERROR(VLOOKUP(B348,'[1]detailed model'!$a$6:$C$92,3,FALSE()),"NOT CODED/ERROR")</f>
        <v>NOT CODED/ERROR</v>
      </c>
      <c r="E348" s="311"/>
      <c r="F348" s="312" t="e">
        <f aca="false">VLOOKUP(B348,'[1]detailed model'!a330:C408,3,FALSE())</f>
        <v>#NAME?</v>
      </c>
    </row>
    <row r="349" customFormat="false" ht="17.35" hidden="false" customHeight="false" outlineLevel="0" collapsed="false">
      <c r="A349" s="317" t="s">
        <v>200</v>
      </c>
      <c r="B349" s="312"/>
      <c r="C349" s="312"/>
      <c r="D349" s="314" t="str">
        <f aca="false">IFERROR(VLOOKUP(B349,'[1]detailed model'!$a$6:$C$92,3,FALSE()),"NOT CODED/ERROR")</f>
        <v>NOT CODED/ERROR</v>
      </c>
      <c r="E349" s="311"/>
      <c r="F349" s="312" t="e">
        <f aca="false">VLOOKUP(B349,'[1]detailed model'!a331:C409,3,FALSE())</f>
        <v>#NAME?</v>
      </c>
    </row>
    <row r="350" customFormat="false" ht="17.35" hidden="false" customHeight="false" outlineLevel="0" collapsed="false">
      <c r="A350" s="317" t="s">
        <v>200</v>
      </c>
      <c r="B350" s="312"/>
      <c r="C350" s="312"/>
      <c r="D350" s="314" t="str">
        <f aca="false">IFERROR(VLOOKUP(B350,'[1]detailed model'!$a$6:$C$92,3,FALSE()),"NOT CODED/ERROR")</f>
        <v>NOT CODED/ERROR</v>
      </c>
      <c r="E350" s="311"/>
      <c r="F350" s="312" t="e">
        <f aca="false">VLOOKUP(B350,'[1]detailed model'!a332:C410,3,FALSE())</f>
        <v>#NAME?</v>
      </c>
    </row>
    <row r="351" customFormat="false" ht="17.35" hidden="false" customHeight="false" outlineLevel="0" collapsed="false">
      <c r="A351" s="317" t="s">
        <v>200</v>
      </c>
      <c r="B351" s="312"/>
      <c r="C351" s="312"/>
      <c r="D351" s="314" t="str">
        <f aca="false">IFERROR(VLOOKUP(B351,'[1]detailed model'!$a$6:$C$92,3,FALSE()),"NOT CODED/ERROR")</f>
        <v>NOT CODED/ERROR</v>
      </c>
      <c r="E351" s="311"/>
      <c r="F351" s="312" t="e">
        <f aca="false">VLOOKUP(B351,'[1]detailed model'!a333:C411,3,FALSE())</f>
        <v>#NAME?</v>
      </c>
    </row>
    <row r="352" customFormat="false" ht="17.35" hidden="false" customHeight="false" outlineLevel="0" collapsed="false">
      <c r="A352" s="317" t="s">
        <v>200</v>
      </c>
      <c r="B352" s="312"/>
      <c r="C352" s="312"/>
      <c r="D352" s="314" t="str">
        <f aca="false">IFERROR(VLOOKUP(B352,'[1]detailed model'!$a$6:$C$92,3,FALSE()),"NOT CODED/ERROR")</f>
        <v>NOT CODED/ERROR</v>
      </c>
      <c r="E352" s="311"/>
      <c r="F352" s="312" t="e">
        <f aca="false">VLOOKUP(B352,'[1]detailed model'!a334:C412,3,FALSE())</f>
        <v>#NAME?</v>
      </c>
    </row>
    <row r="353" customFormat="false" ht="17.35" hidden="false" customHeight="false" outlineLevel="0" collapsed="false">
      <c r="A353" s="317" t="s">
        <v>200</v>
      </c>
      <c r="B353" s="312"/>
      <c r="C353" s="312"/>
      <c r="D353" s="314" t="str">
        <f aca="false">IFERROR(VLOOKUP(B353,'[1]detailed model'!$a$6:$C$92,3,FALSE()),"NOT CODED/ERROR")</f>
        <v>NOT CODED/ERROR</v>
      </c>
      <c r="E353" s="311"/>
      <c r="F353" s="312" t="e">
        <f aca="false">VLOOKUP(B353,'[1]detailed model'!a335:C413,3,FALSE())</f>
        <v>#NAME?</v>
      </c>
    </row>
    <row r="354" customFormat="false" ht="17.35" hidden="false" customHeight="false" outlineLevel="0" collapsed="false">
      <c r="A354" s="317" t="s">
        <v>200</v>
      </c>
      <c r="B354" s="312"/>
      <c r="C354" s="312"/>
      <c r="D354" s="314" t="str">
        <f aca="false">IFERROR(VLOOKUP(B354,'[1]detailed model'!$a$6:$C$92,3,FALSE()),"NOT CODED/ERROR")</f>
        <v>NOT CODED/ERROR</v>
      </c>
      <c r="E354" s="311"/>
      <c r="F354" s="312" t="e">
        <f aca="false">VLOOKUP(B354,'[1]detailed model'!a336:C414,3,FALSE())</f>
        <v>#NAME?</v>
      </c>
    </row>
    <row r="355" customFormat="false" ht="17.35" hidden="false" customHeight="false" outlineLevel="0" collapsed="false">
      <c r="A355" s="317" t="s">
        <v>200</v>
      </c>
      <c r="B355" s="312"/>
      <c r="C355" s="312"/>
      <c r="D355" s="314" t="str">
        <f aca="false">IFERROR(VLOOKUP(B355,'[1]detailed model'!$a$6:$C$92,3,FALSE()),"NOT CODED/ERROR")</f>
        <v>NOT CODED/ERROR</v>
      </c>
      <c r="E355" s="311"/>
      <c r="F355" s="312" t="e">
        <f aca="false">VLOOKUP(B355,'[1]detailed model'!a337:C415,3,FALSE())</f>
        <v>#NAME?</v>
      </c>
    </row>
    <row r="356" customFormat="false" ht="17.35" hidden="false" customHeight="false" outlineLevel="0" collapsed="false">
      <c r="A356" s="317" t="s">
        <v>200</v>
      </c>
      <c r="B356" s="312"/>
      <c r="C356" s="312"/>
      <c r="D356" s="314" t="str">
        <f aca="false">IFERROR(VLOOKUP(B356,'[1]detailed model'!$a$6:$C$92,3,FALSE()),"NOT CODED/ERROR")</f>
        <v>NOT CODED/ERROR</v>
      </c>
      <c r="E356" s="311"/>
      <c r="F356" s="312" t="e">
        <f aca="false">VLOOKUP(B356,'[1]detailed model'!a338:C416,3,FALSE())</f>
        <v>#NAME?</v>
      </c>
    </row>
    <row r="357" customFormat="false" ht="17.35" hidden="false" customHeight="false" outlineLevel="0" collapsed="false">
      <c r="A357" s="317" t="s">
        <v>200</v>
      </c>
      <c r="B357" s="312"/>
      <c r="C357" s="312"/>
      <c r="D357" s="314" t="str">
        <f aca="false">IFERROR(VLOOKUP(B357,'[1]detailed model'!$a$6:$C$92,3,FALSE()),"NOT CODED/ERROR")</f>
        <v>NOT CODED/ERROR</v>
      </c>
      <c r="E357" s="311"/>
      <c r="F357" s="312" t="e">
        <f aca="false">VLOOKUP(B357,'[1]detailed model'!a339:C417,3,FALSE())</f>
        <v>#NAME?</v>
      </c>
    </row>
    <row r="358" customFormat="false" ht="17.35" hidden="false" customHeight="false" outlineLevel="0" collapsed="false">
      <c r="A358" s="317" t="s">
        <v>200</v>
      </c>
      <c r="B358" s="312"/>
      <c r="C358" s="312"/>
      <c r="D358" s="314" t="str">
        <f aca="false">IFERROR(VLOOKUP(B358,'[1]detailed model'!$a$6:$C$92,3,FALSE()),"NOT CODED/ERROR")</f>
        <v>NOT CODED/ERROR</v>
      </c>
      <c r="E358" s="311"/>
      <c r="F358" s="312" t="e">
        <f aca="false">VLOOKUP(B358,'[1]detailed model'!a340:C418,3,FALSE())</f>
        <v>#NAME?</v>
      </c>
    </row>
    <row r="359" customFormat="false" ht="17.35" hidden="false" customHeight="false" outlineLevel="0" collapsed="false">
      <c r="A359" s="317" t="s">
        <v>200</v>
      </c>
      <c r="B359" s="312"/>
      <c r="C359" s="312"/>
      <c r="D359" s="314" t="str">
        <f aca="false">IFERROR(VLOOKUP(B359,'[1]detailed model'!$a$6:$C$92,3,FALSE()),"NOT CODED/ERROR")</f>
        <v>NOT CODED/ERROR</v>
      </c>
      <c r="E359" s="311"/>
      <c r="F359" s="312" t="e">
        <f aca="false">VLOOKUP(B359,'[1]detailed model'!a341:C419,3,FALSE())</f>
        <v>#NAME?</v>
      </c>
    </row>
    <row r="360" customFormat="false" ht="17.35" hidden="false" customHeight="false" outlineLevel="0" collapsed="false">
      <c r="A360" s="317" t="s">
        <v>200</v>
      </c>
      <c r="B360" s="312"/>
      <c r="C360" s="312"/>
      <c r="D360" s="314" t="str">
        <f aca="false">IFERROR(VLOOKUP(B360,'[1]detailed model'!$a$6:$C$92,3,FALSE()),"NOT CODED/ERROR")</f>
        <v>NOT CODED/ERROR</v>
      </c>
      <c r="E360" s="311"/>
      <c r="F360" s="312" t="e">
        <f aca="false">VLOOKUP(B360,'[1]detailed model'!a342:C420,3,FALSE())</f>
        <v>#NAME?</v>
      </c>
    </row>
    <row r="361" customFormat="false" ht="17.35" hidden="false" customHeight="false" outlineLevel="0" collapsed="false">
      <c r="A361" s="317" t="s">
        <v>200</v>
      </c>
      <c r="B361" s="312"/>
      <c r="C361" s="312"/>
      <c r="D361" s="314" t="str">
        <f aca="false">IFERROR(VLOOKUP(B361,'[1]detailed model'!$a$6:$C$92,3,FALSE()),"NOT CODED/ERROR")</f>
        <v>NOT CODED/ERROR</v>
      </c>
      <c r="E361" s="311"/>
      <c r="F361" s="312" t="e">
        <f aca="false">VLOOKUP(B361,'[1]detailed model'!a343:C421,3,FALSE())</f>
        <v>#NAME?</v>
      </c>
    </row>
    <row r="362" customFormat="false" ht="17.35" hidden="false" customHeight="false" outlineLevel="0" collapsed="false">
      <c r="A362" s="317" t="s">
        <v>200</v>
      </c>
      <c r="B362" s="312"/>
      <c r="C362" s="312"/>
      <c r="D362" s="314" t="str">
        <f aca="false">IFERROR(VLOOKUP(B362,'[1]detailed model'!$a$6:$C$92,3,FALSE()),"NOT CODED/ERROR")</f>
        <v>NOT CODED/ERROR</v>
      </c>
      <c r="E362" s="311"/>
      <c r="F362" s="312" t="e">
        <f aca="false">VLOOKUP(B362,'[1]detailed model'!a344:C422,3,FALSE())</f>
        <v>#NAME?</v>
      </c>
    </row>
    <row r="363" customFormat="false" ht="17.35" hidden="false" customHeight="false" outlineLevel="0" collapsed="false">
      <c r="A363" s="317" t="s">
        <v>200</v>
      </c>
      <c r="B363" s="312"/>
      <c r="C363" s="312"/>
      <c r="D363" s="314" t="str">
        <f aca="false">IFERROR(VLOOKUP(B363,'[1]detailed model'!$a$6:$C$92,3,FALSE()),"NOT CODED/ERROR")</f>
        <v>NOT CODED/ERROR</v>
      </c>
      <c r="E363" s="311"/>
      <c r="F363" s="312" t="e">
        <f aca="false">VLOOKUP(B363,'[1]detailed model'!a345:C423,3,FALSE())</f>
        <v>#NAME?</v>
      </c>
    </row>
    <row r="364" customFormat="false" ht="17.35" hidden="false" customHeight="false" outlineLevel="0" collapsed="false">
      <c r="A364" s="317" t="s">
        <v>200</v>
      </c>
      <c r="B364" s="312"/>
      <c r="C364" s="312"/>
      <c r="D364" s="314" t="str">
        <f aca="false">IFERROR(VLOOKUP(B364,'[1]detailed model'!$a$6:$C$92,3,FALSE()),"NOT CODED/ERROR")</f>
        <v>NOT CODED/ERROR</v>
      </c>
      <c r="E364" s="311"/>
      <c r="F364" s="312" t="e">
        <f aca="false">VLOOKUP(B364,'[1]detailed model'!a346:C424,3,FALSE())</f>
        <v>#NAME?</v>
      </c>
    </row>
    <row r="365" customFormat="false" ht="17.35" hidden="false" customHeight="false" outlineLevel="0" collapsed="false">
      <c r="A365" s="317" t="s">
        <v>200</v>
      </c>
      <c r="B365" s="312"/>
      <c r="C365" s="312"/>
      <c r="D365" s="314" t="str">
        <f aca="false">IFERROR(VLOOKUP(B365,'[1]detailed model'!$a$6:$C$92,3,FALSE()),"NOT CODED/ERROR")</f>
        <v>NOT CODED/ERROR</v>
      </c>
      <c r="E365" s="311"/>
      <c r="F365" s="312" t="e">
        <f aca="false">VLOOKUP(B365,'[1]detailed model'!a347:C425,3,FALSE())</f>
        <v>#NAME?</v>
      </c>
    </row>
    <row r="366" customFormat="false" ht="17.35" hidden="false" customHeight="false" outlineLevel="0" collapsed="false">
      <c r="A366" s="317" t="s">
        <v>200</v>
      </c>
      <c r="B366" s="312"/>
      <c r="C366" s="312"/>
      <c r="D366" s="314" t="str">
        <f aca="false">IFERROR(VLOOKUP(B366,'[1]detailed model'!$a$6:$C$92,3,FALSE()),"NOT CODED/ERROR")</f>
        <v>NOT CODED/ERROR</v>
      </c>
      <c r="E366" s="311"/>
      <c r="F366" s="312" t="e">
        <f aca="false">VLOOKUP(B366,'[1]detailed model'!a348:C426,3,FALSE())</f>
        <v>#NAME?</v>
      </c>
    </row>
    <row r="367" customFormat="false" ht="17.35" hidden="false" customHeight="false" outlineLevel="0" collapsed="false">
      <c r="A367" s="317" t="s">
        <v>200</v>
      </c>
      <c r="B367" s="312"/>
      <c r="C367" s="312"/>
      <c r="D367" s="314" t="str">
        <f aca="false">IFERROR(VLOOKUP(B367,'[1]detailed model'!$a$6:$C$92,3,FALSE()),"NOT CODED/ERROR")</f>
        <v>NOT CODED/ERROR</v>
      </c>
      <c r="E367" s="311"/>
      <c r="F367" s="312" t="e">
        <f aca="false">VLOOKUP(B367,'[1]detailed model'!a349:C427,3,FALSE())</f>
        <v>#NAME?</v>
      </c>
    </row>
    <row r="368" customFormat="false" ht="17.35" hidden="false" customHeight="false" outlineLevel="0" collapsed="false">
      <c r="A368" s="317" t="s">
        <v>200</v>
      </c>
      <c r="B368" s="312"/>
      <c r="C368" s="312"/>
      <c r="D368" s="314" t="str">
        <f aca="false">IFERROR(VLOOKUP(B368,'[1]detailed model'!$a$6:$C$92,3,FALSE()),"NOT CODED/ERROR")</f>
        <v>NOT CODED/ERROR</v>
      </c>
      <c r="E368" s="311"/>
      <c r="F368" s="312" t="e">
        <f aca="false">VLOOKUP(B368,'[1]detailed model'!a350:C428,3,FALSE())</f>
        <v>#NAME?</v>
      </c>
    </row>
    <row r="369" customFormat="false" ht="17.35" hidden="false" customHeight="false" outlineLevel="0" collapsed="false">
      <c r="A369" s="317" t="s">
        <v>200</v>
      </c>
      <c r="B369" s="312"/>
      <c r="C369" s="312"/>
      <c r="D369" s="314" t="str">
        <f aca="false">IFERROR(VLOOKUP(B369,'[1]detailed model'!$a$6:$C$92,3,FALSE()),"NOT CODED/ERROR")</f>
        <v>NOT CODED/ERROR</v>
      </c>
      <c r="E369" s="311"/>
      <c r="F369" s="312" t="e">
        <f aca="false">VLOOKUP(B369,'[1]detailed model'!a351:C429,3,FALSE())</f>
        <v>#NAME?</v>
      </c>
    </row>
    <row r="370" customFormat="false" ht="17.35" hidden="false" customHeight="false" outlineLevel="0" collapsed="false">
      <c r="A370" s="317" t="s">
        <v>200</v>
      </c>
      <c r="B370" s="312"/>
      <c r="C370" s="312"/>
      <c r="D370" s="314" t="str">
        <f aca="false">IFERROR(VLOOKUP(B370,'[1]detailed model'!$a$6:$C$92,3,FALSE()),"NOT CODED/ERROR")</f>
        <v>NOT CODED/ERROR</v>
      </c>
      <c r="E370" s="311"/>
      <c r="F370" s="312" t="e">
        <f aca="false">VLOOKUP(B370,'[1]detailed model'!a352:C430,3,FALSE())</f>
        <v>#NAME?</v>
      </c>
    </row>
    <row r="371" customFormat="false" ht="17.35" hidden="false" customHeight="false" outlineLevel="0" collapsed="false">
      <c r="A371" s="317" t="s">
        <v>200</v>
      </c>
      <c r="B371" s="312"/>
      <c r="C371" s="312"/>
      <c r="D371" s="314" t="str">
        <f aca="false">IFERROR(VLOOKUP(B371,'[1]detailed model'!$a$6:$C$92,3,FALSE()),"NOT CODED/ERROR")</f>
        <v>NOT CODED/ERROR</v>
      </c>
      <c r="E371" s="311"/>
      <c r="F371" s="312" t="e">
        <f aca="false">VLOOKUP(B371,'[1]detailed model'!a353:C431,3,FALSE())</f>
        <v>#NAME?</v>
      </c>
    </row>
    <row r="372" customFormat="false" ht="17.35" hidden="false" customHeight="false" outlineLevel="0" collapsed="false">
      <c r="A372" s="317" t="s">
        <v>200</v>
      </c>
      <c r="B372" s="312"/>
      <c r="C372" s="312"/>
      <c r="D372" s="314" t="str">
        <f aca="false">IFERROR(VLOOKUP(B372,'[1]detailed model'!$a$6:$C$92,3,FALSE()),"NOT CODED/ERROR")</f>
        <v>NOT CODED/ERROR</v>
      </c>
      <c r="E372" s="311"/>
      <c r="F372" s="312" t="e">
        <f aca="false">VLOOKUP(B372,'[1]detailed model'!a354:C432,3,FALSE())</f>
        <v>#NAME?</v>
      </c>
    </row>
    <row r="373" customFormat="false" ht="17.35" hidden="false" customHeight="false" outlineLevel="0" collapsed="false">
      <c r="A373" s="317" t="s">
        <v>200</v>
      </c>
      <c r="B373" s="312"/>
      <c r="C373" s="312"/>
      <c r="D373" s="314" t="str">
        <f aca="false">IFERROR(VLOOKUP(B373,'[1]detailed model'!$a$6:$C$92,3,FALSE()),"NOT CODED/ERROR")</f>
        <v>NOT CODED/ERROR</v>
      </c>
      <c r="E373" s="311"/>
      <c r="F373" s="312" t="e">
        <f aca="false">VLOOKUP(B373,'[1]detailed model'!a355:C433,3,FALSE())</f>
        <v>#NAME?</v>
      </c>
    </row>
    <row r="374" customFormat="false" ht="17.35" hidden="false" customHeight="false" outlineLevel="0" collapsed="false">
      <c r="A374" s="317" t="s">
        <v>200</v>
      </c>
      <c r="B374" s="312"/>
      <c r="C374" s="312"/>
      <c r="D374" s="314" t="str">
        <f aca="false">IFERROR(VLOOKUP(B374,'[1]detailed model'!$a$6:$C$92,3,FALSE()),"NOT CODED/ERROR")</f>
        <v>NOT CODED/ERROR</v>
      </c>
      <c r="E374" s="311"/>
      <c r="F374" s="312" t="e">
        <f aca="false">VLOOKUP(B374,'[1]detailed model'!a356:C434,3,FALSE())</f>
        <v>#NAME?</v>
      </c>
    </row>
    <row r="375" customFormat="false" ht="17.35" hidden="false" customHeight="false" outlineLevel="0" collapsed="false">
      <c r="A375" s="317" t="s">
        <v>200</v>
      </c>
      <c r="B375" s="312"/>
      <c r="C375" s="312"/>
      <c r="D375" s="314" t="str">
        <f aca="false">IFERROR(VLOOKUP(B375,'[1]detailed model'!$a$6:$C$92,3,FALSE()),"NOT CODED/ERROR")</f>
        <v>NOT CODED/ERROR</v>
      </c>
      <c r="E375" s="311"/>
      <c r="F375" s="312" t="e">
        <f aca="false">VLOOKUP(B375,'[1]detailed model'!a357:C435,3,FALSE())</f>
        <v>#NAME?</v>
      </c>
    </row>
    <row r="376" customFormat="false" ht="17.35" hidden="false" customHeight="false" outlineLevel="0" collapsed="false">
      <c r="A376" s="317" t="s">
        <v>200</v>
      </c>
      <c r="B376" s="312"/>
      <c r="C376" s="312"/>
      <c r="D376" s="314" t="str">
        <f aca="false">IFERROR(VLOOKUP(B376,'[1]detailed model'!$a$6:$C$92,3,FALSE()),"NOT CODED/ERROR")</f>
        <v>NOT CODED/ERROR</v>
      </c>
      <c r="E376" s="311"/>
      <c r="F376" s="312" t="e">
        <f aca="false">VLOOKUP(B376,'[1]detailed model'!a358:C436,3,FALSE())</f>
        <v>#NAME?</v>
      </c>
    </row>
    <row r="377" customFormat="false" ht="17.35" hidden="false" customHeight="false" outlineLevel="0" collapsed="false">
      <c r="A377" s="317" t="s">
        <v>200</v>
      </c>
      <c r="B377" s="312"/>
      <c r="C377" s="312"/>
      <c r="D377" s="314" t="str">
        <f aca="false">IFERROR(VLOOKUP(B377,'[1]detailed model'!$a$6:$C$92,3,FALSE()),"NOT CODED/ERROR")</f>
        <v>NOT CODED/ERROR</v>
      </c>
      <c r="E377" s="311"/>
      <c r="F377" s="312" t="e">
        <f aca="false">VLOOKUP(B377,'[1]detailed model'!a359:C437,3,FALSE())</f>
        <v>#NAME?</v>
      </c>
    </row>
    <row r="378" customFormat="false" ht="17.35" hidden="false" customHeight="false" outlineLevel="0" collapsed="false">
      <c r="A378" s="317" t="s">
        <v>200</v>
      </c>
      <c r="B378" s="312"/>
      <c r="C378" s="312"/>
      <c r="D378" s="314" t="str">
        <f aca="false">IFERROR(VLOOKUP(B378,'[1]detailed model'!$a$6:$C$92,3,FALSE()),"NOT CODED/ERROR")</f>
        <v>NOT CODED/ERROR</v>
      </c>
      <c r="E378" s="311"/>
      <c r="F378" s="312" t="e">
        <f aca="false">VLOOKUP(B378,'[1]detailed model'!a360:C438,3,FALSE())</f>
        <v>#NAME?</v>
      </c>
    </row>
    <row r="379" customFormat="false" ht="17.35" hidden="false" customHeight="false" outlineLevel="0" collapsed="false">
      <c r="A379" s="317" t="s">
        <v>200</v>
      </c>
      <c r="B379" s="312"/>
      <c r="C379" s="312"/>
      <c r="D379" s="314" t="str">
        <f aca="false">IFERROR(VLOOKUP(B379,'[1]detailed model'!$a$6:$C$92,3,FALSE()),"NOT CODED/ERROR")</f>
        <v>NOT CODED/ERROR</v>
      </c>
      <c r="E379" s="311"/>
      <c r="F379" s="312" t="e">
        <f aca="false">VLOOKUP(B379,'[1]detailed model'!a361:C439,3,FALSE())</f>
        <v>#NAME?</v>
      </c>
    </row>
    <row r="380" customFormat="false" ht="17.35" hidden="false" customHeight="false" outlineLevel="0" collapsed="false">
      <c r="A380" s="317" t="s">
        <v>200</v>
      </c>
      <c r="B380" s="312"/>
      <c r="C380" s="312"/>
      <c r="D380" s="314" t="str">
        <f aca="false">IFERROR(VLOOKUP(B380,'[1]detailed model'!$a$6:$C$92,3,FALSE()),"NOT CODED/ERROR")</f>
        <v>NOT CODED/ERROR</v>
      </c>
      <c r="E380" s="311"/>
      <c r="F380" s="312" t="e">
        <f aca="false">VLOOKUP(B380,'[1]detailed model'!a362:C440,3,FALSE())</f>
        <v>#NAME?</v>
      </c>
    </row>
    <row r="381" customFormat="false" ht="17.35" hidden="false" customHeight="false" outlineLevel="0" collapsed="false">
      <c r="A381" s="317" t="s">
        <v>200</v>
      </c>
      <c r="B381" s="312"/>
      <c r="C381" s="312"/>
      <c r="D381" s="314" t="str">
        <f aca="false">IFERROR(VLOOKUP(B381,'[1]detailed model'!$a$6:$C$92,3,FALSE()),"NOT CODED/ERROR")</f>
        <v>NOT CODED/ERROR</v>
      </c>
      <c r="E381" s="311"/>
      <c r="F381" s="312" t="e">
        <f aca="false">VLOOKUP(B381,'[1]detailed model'!a363:C441,3,FALSE())</f>
        <v>#NAME?</v>
      </c>
    </row>
    <row r="382" customFormat="false" ht="17.35" hidden="false" customHeight="false" outlineLevel="0" collapsed="false">
      <c r="A382" s="317" t="s">
        <v>200</v>
      </c>
      <c r="B382" s="312"/>
      <c r="C382" s="312"/>
      <c r="D382" s="314" t="str">
        <f aca="false">IFERROR(VLOOKUP(B382,'[1]detailed model'!$a$6:$C$92,3,FALSE()),"NOT CODED/ERROR")</f>
        <v>NOT CODED/ERROR</v>
      </c>
      <c r="E382" s="311"/>
      <c r="F382" s="312" t="e">
        <f aca="false">VLOOKUP(B382,'[1]detailed model'!a364:C442,3,FALSE())</f>
        <v>#NAME?</v>
      </c>
    </row>
    <row r="383" customFormat="false" ht="17.35" hidden="false" customHeight="false" outlineLevel="0" collapsed="false">
      <c r="A383" s="317" t="s">
        <v>200</v>
      </c>
      <c r="B383" s="312"/>
      <c r="C383" s="312"/>
      <c r="D383" s="314" t="str">
        <f aca="false">IFERROR(VLOOKUP(B383,'[1]detailed model'!$a$6:$C$92,3,FALSE()),"NOT CODED/ERROR")</f>
        <v>NOT CODED/ERROR</v>
      </c>
      <c r="E383" s="311"/>
      <c r="F383" s="312" t="e">
        <f aca="false">VLOOKUP(B383,'[1]detailed model'!a365:C443,3,FALSE())</f>
        <v>#NAME?</v>
      </c>
    </row>
    <row r="384" customFormat="false" ht="17.35" hidden="false" customHeight="false" outlineLevel="0" collapsed="false">
      <c r="A384" s="317" t="s">
        <v>200</v>
      </c>
      <c r="B384" s="312"/>
      <c r="C384" s="312"/>
      <c r="D384" s="314" t="str">
        <f aca="false">IFERROR(VLOOKUP(B384,'[1]detailed model'!$a$6:$C$92,3,FALSE()),"NOT CODED/ERROR")</f>
        <v>NOT CODED/ERROR</v>
      </c>
      <c r="E384" s="311"/>
      <c r="F384" s="312" t="e">
        <f aca="false">VLOOKUP(B384,'[1]detailed model'!a366:C444,3,FALSE())</f>
        <v>#NAME?</v>
      </c>
    </row>
    <row r="385" customFormat="false" ht="17.35" hidden="false" customHeight="false" outlineLevel="0" collapsed="false">
      <c r="A385" s="317" t="s">
        <v>200</v>
      </c>
      <c r="B385" s="312"/>
      <c r="C385" s="312"/>
      <c r="D385" s="314" t="str">
        <f aca="false">IFERROR(VLOOKUP(B385,'[1]detailed model'!$a$6:$C$92,3,FALSE()),"NOT CODED/ERROR")</f>
        <v>NOT CODED/ERROR</v>
      </c>
      <c r="E385" s="311"/>
      <c r="F385" s="312" t="e">
        <f aca="false">VLOOKUP(B385,'[1]detailed model'!a367:C445,3,FALSE())</f>
        <v>#NAME?</v>
      </c>
    </row>
    <row r="386" customFormat="false" ht="17.35" hidden="false" customHeight="false" outlineLevel="0" collapsed="false">
      <c r="A386" s="317" t="s">
        <v>200</v>
      </c>
      <c r="B386" s="312"/>
      <c r="C386" s="312"/>
      <c r="D386" s="314" t="str">
        <f aca="false">IFERROR(VLOOKUP(B386,'[1]detailed model'!$a$6:$C$92,3,FALSE()),"NOT CODED/ERROR")</f>
        <v>NOT CODED/ERROR</v>
      </c>
      <c r="E386" s="311"/>
      <c r="F386" s="312" t="e">
        <f aca="false">VLOOKUP(B386,'[1]detailed model'!a368:C446,3,FALSE())</f>
        <v>#NAME?</v>
      </c>
    </row>
    <row r="387" customFormat="false" ht="17.35" hidden="false" customHeight="false" outlineLevel="0" collapsed="false">
      <c r="A387" s="317" t="s">
        <v>200</v>
      </c>
      <c r="B387" s="312"/>
      <c r="C387" s="312"/>
      <c r="D387" s="314" t="str">
        <f aca="false">IFERROR(VLOOKUP(B387,'[1]detailed model'!$a$6:$C$92,3,FALSE()),"NOT CODED/ERROR")</f>
        <v>NOT CODED/ERROR</v>
      </c>
      <c r="E387" s="311"/>
      <c r="F387" s="312" t="e">
        <f aca="false">VLOOKUP(B387,'[1]detailed model'!a369:C447,3,FALSE())</f>
        <v>#NAME?</v>
      </c>
    </row>
    <row r="388" customFormat="false" ht="17.35" hidden="false" customHeight="false" outlineLevel="0" collapsed="false">
      <c r="A388" s="317" t="s">
        <v>200</v>
      </c>
      <c r="B388" s="312"/>
      <c r="C388" s="312"/>
      <c r="D388" s="314" t="str">
        <f aca="false">IFERROR(VLOOKUP(B388,'[1]detailed model'!$a$6:$C$92,3,FALSE()),"NOT CODED/ERROR")</f>
        <v>NOT CODED/ERROR</v>
      </c>
      <c r="E388" s="311"/>
      <c r="F388" s="312" t="e">
        <f aca="false">VLOOKUP(B388,'[1]detailed model'!a370:C448,3,FALSE())</f>
        <v>#NAME?</v>
      </c>
    </row>
    <row r="389" customFormat="false" ht="17.35" hidden="false" customHeight="false" outlineLevel="0" collapsed="false">
      <c r="A389" s="317" t="s">
        <v>200</v>
      </c>
      <c r="B389" s="312"/>
      <c r="C389" s="312"/>
      <c r="D389" s="314" t="str">
        <f aca="false">IFERROR(VLOOKUP(B389,'[1]detailed model'!$a$6:$C$92,3,FALSE()),"NOT CODED/ERROR")</f>
        <v>NOT CODED/ERROR</v>
      </c>
      <c r="E389" s="311"/>
      <c r="F389" s="312" t="e">
        <f aca="false">VLOOKUP(B389,'[1]detailed model'!a371:C449,3,FALSE())</f>
        <v>#NAME?</v>
      </c>
    </row>
    <row r="390" customFormat="false" ht="17.35" hidden="false" customHeight="false" outlineLevel="0" collapsed="false">
      <c r="A390" s="317" t="s">
        <v>200</v>
      </c>
      <c r="B390" s="312"/>
      <c r="C390" s="312"/>
      <c r="D390" s="314" t="str">
        <f aca="false">IFERROR(VLOOKUP(B390,'[1]detailed model'!$a$6:$C$92,3,FALSE()),"NOT CODED/ERROR")</f>
        <v>NOT CODED/ERROR</v>
      </c>
      <c r="E390" s="311"/>
      <c r="F390" s="312" t="e">
        <f aca="false">VLOOKUP(B390,'[1]detailed model'!a372:C450,3,FALSE())</f>
        <v>#NAME?</v>
      </c>
    </row>
    <row r="391" customFormat="false" ht="17.35" hidden="false" customHeight="false" outlineLevel="0" collapsed="false">
      <c r="A391" s="317" t="s">
        <v>200</v>
      </c>
      <c r="B391" s="312"/>
      <c r="C391" s="312"/>
      <c r="D391" s="314" t="str">
        <f aca="false">IFERROR(VLOOKUP(B391,'[1]detailed model'!$a$6:$C$92,3,FALSE()),"NOT CODED/ERROR")</f>
        <v>NOT CODED/ERROR</v>
      </c>
      <c r="E391" s="311"/>
      <c r="F391" s="312" t="e">
        <f aca="false">VLOOKUP(B391,'[1]detailed model'!a373:C451,3,FALSE())</f>
        <v>#NAME?</v>
      </c>
    </row>
    <row r="392" customFormat="false" ht="17.35" hidden="false" customHeight="false" outlineLevel="0" collapsed="false">
      <c r="A392" s="317" t="s">
        <v>200</v>
      </c>
      <c r="B392" s="312"/>
      <c r="C392" s="312"/>
      <c r="D392" s="314" t="str">
        <f aca="false">IFERROR(VLOOKUP(B392,'[1]detailed model'!$a$6:$C$92,3,FALSE()),"NOT CODED/ERROR")</f>
        <v>NOT CODED/ERROR</v>
      </c>
      <c r="E392" s="311"/>
      <c r="F392" s="312" t="e">
        <f aca="false">VLOOKUP(B392,'[1]detailed model'!a374:C452,3,FALSE())</f>
        <v>#NAME?</v>
      </c>
    </row>
    <row r="393" customFormat="false" ht="17.35" hidden="false" customHeight="false" outlineLevel="0" collapsed="false">
      <c r="A393" s="317" t="s">
        <v>200</v>
      </c>
      <c r="B393" s="312"/>
      <c r="C393" s="312"/>
      <c r="D393" s="314" t="str">
        <f aca="false">IFERROR(VLOOKUP(B393,'[1]detailed model'!$a$6:$C$92,3,FALSE()),"NOT CODED/ERROR")</f>
        <v>NOT CODED/ERROR</v>
      </c>
      <c r="E393" s="311"/>
      <c r="F393" s="312" t="e">
        <f aca="false">VLOOKUP(B393,'[1]detailed model'!a375:C453,3,FALSE())</f>
        <v>#NAME?</v>
      </c>
    </row>
    <row r="394" customFormat="false" ht="17.35" hidden="false" customHeight="false" outlineLevel="0" collapsed="false">
      <c r="A394" s="317" t="s">
        <v>200</v>
      </c>
      <c r="B394" s="312"/>
      <c r="C394" s="312"/>
      <c r="D394" s="314" t="str">
        <f aca="false">IFERROR(VLOOKUP(B394,'[1]detailed model'!$a$6:$C$92,3,FALSE()),"NOT CODED/ERROR")</f>
        <v>NOT CODED/ERROR</v>
      </c>
      <c r="E394" s="311"/>
      <c r="F394" s="312" t="e">
        <f aca="false">VLOOKUP(B394,'[1]detailed model'!a376:C454,3,FALSE())</f>
        <v>#NAME?</v>
      </c>
    </row>
    <row r="395" customFormat="false" ht="17.35" hidden="false" customHeight="false" outlineLevel="0" collapsed="false">
      <c r="A395" s="317" t="s">
        <v>200</v>
      </c>
      <c r="B395" s="312"/>
      <c r="C395" s="312"/>
      <c r="D395" s="314" t="str">
        <f aca="false">IFERROR(VLOOKUP(B395,'[1]detailed model'!$a$6:$C$92,3,FALSE()),"NOT CODED/ERROR")</f>
        <v>NOT CODED/ERROR</v>
      </c>
      <c r="E395" s="311"/>
      <c r="F395" s="312" t="e">
        <f aca="false">VLOOKUP(B395,'[1]detailed model'!a377:C455,3,FALSE())</f>
        <v>#NAME?</v>
      </c>
    </row>
    <row r="396" customFormat="false" ht="17.35" hidden="false" customHeight="false" outlineLevel="0" collapsed="false">
      <c r="A396" s="317" t="s">
        <v>200</v>
      </c>
      <c r="B396" s="312"/>
      <c r="C396" s="312"/>
      <c r="D396" s="314" t="str">
        <f aca="false">IFERROR(VLOOKUP(B396,'[1]detailed model'!$a$6:$C$92,3,FALSE()),"NOT CODED/ERROR")</f>
        <v>NOT CODED/ERROR</v>
      </c>
      <c r="E396" s="311"/>
      <c r="F396" s="312" t="e">
        <f aca="false">VLOOKUP(B396,'[1]detailed model'!a378:C456,3,FALSE())</f>
        <v>#NAME?</v>
      </c>
    </row>
    <row r="397" customFormat="false" ht="17.35" hidden="false" customHeight="false" outlineLevel="0" collapsed="false">
      <c r="A397" s="317" t="s">
        <v>200</v>
      </c>
      <c r="B397" s="312"/>
      <c r="C397" s="312"/>
      <c r="D397" s="314" t="str">
        <f aca="false">IFERROR(VLOOKUP(B397,'[1]detailed model'!$a$6:$C$92,3,FALSE()),"NOT CODED/ERROR")</f>
        <v>NOT CODED/ERROR</v>
      </c>
      <c r="E397" s="311"/>
      <c r="F397" s="312" t="e">
        <f aca="false">VLOOKUP(B397,'[1]detailed model'!a379:C457,3,FALSE())</f>
        <v>#NAME?</v>
      </c>
    </row>
    <row r="398" customFormat="false" ht="17.35" hidden="false" customHeight="false" outlineLevel="0" collapsed="false">
      <c r="A398" s="317" t="s">
        <v>200</v>
      </c>
      <c r="B398" s="312"/>
      <c r="C398" s="312"/>
      <c r="D398" s="314" t="str">
        <f aca="false">IFERROR(VLOOKUP(B398,'[1]detailed model'!$a$6:$C$92,3,FALSE()),"NOT CODED/ERROR")</f>
        <v>NOT CODED/ERROR</v>
      </c>
      <c r="E398" s="311"/>
      <c r="F398" s="312" t="e">
        <f aca="false">VLOOKUP(B398,'[1]detailed model'!a380:C458,3,FALSE())</f>
        <v>#NAME?</v>
      </c>
    </row>
    <row r="399" customFormat="false" ht="17.35" hidden="false" customHeight="false" outlineLevel="0" collapsed="false">
      <c r="A399" s="317" t="s">
        <v>200</v>
      </c>
      <c r="B399" s="312"/>
      <c r="C399" s="312"/>
      <c r="D399" s="314" t="str">
        <f aca="false">IFERROR(VLOOKUP(B399,'[1]detailed model'!$a$6:$C$92,3,FALSE()),"NOT CODED/ERROR")</f>
        <v>NOT CODED/ERROR</v>
      </c>
      <c r="E399" s="311"/>
      <c r="F399" s="312" t="e">
        <f aca="false">VLOOKUP(B399,'[1]detailed model'!a381:C459,3,FALSE())</f>
        <v>#NAME?</v>
      </c>
    </row>
    <row r="400" customFormat="false" ht="17.35" hidden="false" customHeight="false" outlineLevel="0" collapsed="false">
      <c r="A400" s="317" t="s">
        <v>200</v>
      </c>
      <c r="B400" s="312"/>
      <c r="C400" s="312"/>
      <c r="D400" s="314" t="str">
        <f aca="false">IFERROR(VLOOKUP(B400,'[1]detailed model'!$a$6:$C$92,3,FALSE()),"NOT CODED/ERROR")</f>
        <v>NOT CODED/ERROR</v>
      </c>
      <c r="E400" s="311"/>
      <c r="F400" s="312" t="e">
        <f aca="false">VLOOKUP(B400,'[1]detailed model'!a382:C460,3,FALSE())</f>
        <v>#NAME?</v>
      </c>
    </row>
    <row r="401" customFormat="false" ht="17.35" hidden="false" customHeight="false" outlineLevel="0" collapsed="false">
      <c r="A401" s="317" t="s">
        <v>200</v>
      </c>
      <c r="B401" s="312"/>
      <c r="C401" s="312"/>
      <c r="D401" s="314" t="str">
        <f aca="false">IFERROR(VLOOKUP(B401,'[1]detailed model'!$a$6:$C$92,3,FALSE()),"NOT CODED/ERROR")</f>
        <v>NOT CODED/ERROR</v>
      </c>
      <c r="E401" s="311"/>
      <c r="F401" s="312" t="e">
        <f aca="false">VLOOKUP(B401,'[1]detailed model'!a383:C461,3,FALSE())</f>
        <v>#NAME?</v>
      </c>
    </row>
    <row r="402" customFormat="false" ht="17.35" hidden="false" customHeight="false" outlineLevel="0" collapsed="false">
      <c r="A402" s="317" t="s">
        <v>200</v>
      </c>
      <c r="B402" s="312"/>
      <c r="C402" s="312"/>
      <c r="D402" s="314" t="str">
        <f aca="false">IFERROR(VLOOKUP(B402,'[1]detailed model'!$a$6:$C$92,3,FALSE()),"NOT CODED/ERROR")</f>
        <v>NOT CODED/ERROR</v>
      </c>
      <c r="E402" s="311"/>
      <c r="F402" s="312" t="e">
        <f aca="false">VLOOKUP(B402,'[1]detailed model'!a384:C462,3,FALSE())</f>
        <v>#NAME?</v>
      </c>
    </row>
    <row r="403" customFormat="false" ht="17.35" hidden="false" customHeight="false" outlineLevel="0" collapsed="false">
      <c r="A403" s="317" t="s">
        <v>200</v>
      </c>
      <c r="B403" s="312"/>
      <c r="C403" s="312"/>
      <c r="D403" s="314" t="str">
        <f aca="false">IFERROR(VLOOKUP(B403,'[1]detailed model'!$a$6:$C$92,3,FALSE()),"NOT CODED/ERROR")</f>
        <v>NOT CODED/ERROR</v>
      </c>
      <c r="E403" s="311"/>
      <c r="F403" s="312" t="e">
        <f aca="false">VLOOKUP(B403,'[1]detailed model'!a385:C463,3,FALSE())</f>
        <v>#NAME?</v>
      </c>
    </row>
    <row r="404" customFormat="false" ht="17.35" hidden="false" customHeight="false" outlineLevel="0" collapsed="false">
      <c r="A404" s="317" t="s">
        <v>200</v>
      </c>
      <c r="B404" s="312"/>
      <c r="C404" s="312"/>
      <c r="D404" s="314" t="str">
        <f aca="false">IFERROR(VLOOKUP(B404,'[1]detailed model'!$a$6:$C$92,3,FALSE()),"NOT CODED/ERROR")</f>
        <v>NOT CODED/ERROR</v>
      </c>
      <c r="E404" s="311"/>
      <c r="F404" s="312" t="e">
        <f aca="false">VLOOKUP(B404,'[1]detailed model'!a386:C464,3,FALSE())</f>
        <v>#NAME?</v>
      </c>
    </row>
    <row r="405" customFormat="false" ht="17.35" hidden="false" customHeight="false" outlineLevel="0" collapsed="false">
      <c r="A405" s="317" t="s">
        <v>200</v>
      </c>
      <c r="B405" s="312"/>
      <c r="C405" s="312"/>
      <c r="D405" s="312"/>
      <c r="E405" s="311"/>
      <c r="F405" s="312" t="e">
        <f aca="false">VLOOKUP(B405,'[1]detailed model'!a387:C465,3,FALSE())</f>
        <v>#NAME?</v>
      </c>
    </row>
    <row r="406" customFormat="false" ht="17.35" hidden="false" customHeight="false" outlineLevel="0" collapsed="false">
      <c r="A406" s="317" t="s">
        <v>200</v>
      </c>
      <c r="B406" s="312"/>
      <c r="C406" s="312"/>
      <c r="D406" s="312"/>
      <c r="E406" s="311"/>
      <c r="F406" s="312" t="e">
        <f aca="false">VLOOKUP(B406,'[1]detailed model'!a388:C466,3,FALSE())</f>
        <v>#NAME?</v>
      </c>
    </row>
    <row r="407" customFormat="false" ht="17.35" hidden="false" customHeight="false" outlineLevel="0" collapsed="false">
      <c r="A407" s="317" t="s">
        <v>200</v>
      </c>
      <c r="B407" s="312"/>
      <c r="C407" s="312"/>
      <c r="D407" s="312"/>
      <c r="E407" s="311"/>
      <c r="F407" s="312" t="e">
        <f aca="false">VLOOKUP(B407,'[1]detailed model'!a389:C467,3,FALSE())</f>
        <v>#NAME?</v>
      </c>
    </row>
    <row r="408" customFormat="false" ht="17.35" hidden="false" customHeight="false" outlineLevel="0" collapsed="false">
      <c r="A408" s="317" t="s">
        <v>200</v>
      </c>
      <c r="B408" s="312"/>
      <c r="C408" s="312"/>
      <c r="D408" s="312"/>
      <c r="E408" s="311"/>
      <c r="F408" s="312" t="e">
        <f aca="false">VLOOKUP(B408,'[1]detailed model'!a390:C468,3,FALSE())</f>
        <v>#NAME?</v>
      </c>
    </row>
    <row r="409" customFormat="false" ht="17.35" hidden="false" customHeight="false" outlineLevel="0" collapsed="false">
      <c r="A409" s="317" t="s">
        <v>200</v>
      </c>
      <c r="B409" s="312"/>
      <c r="C409" s="312"/>
      <c r="D409" s="312"/>
      <c r="E409" s="311"/>
      <c r="F409" s="312" t="e">
        <f aca="false">VLOOKUP(B409,'[1]detailed model'!a391:C469,3,FALSE())</f>
        <v>#NAME?</v>
      </c>
    </row>
    <row r="410" customFormat="false" ht="17.35" hidden="false" customHeight="false" outlineLevel="0" collapsed="false">
      <c r="A410" s="317" t="s">
        <v>200</v>
      </c>
      <c r="B410" s="312"/>
      <c r="C410" s="312"/>
      <c r="D410" s="312"/>
      <c r="E410" s="311"/>
      <c r="F410" s="312" t="e">
        <f aca="false">VLOOKUP(B410,'[1]detailed model'!a392:C470,3,FALSE())</f>
        <v>#NAME?</v>
      </c>
    </row>
    <row r="411" customFormat="false" ht="17.35" hidden="false" customHeight="false" outlineLevel="0" collapsed="false">
      <c r="A411" s="317" t="s">
        <v>200</v>
      </c>
      <c r="B411" s="312"/>
      <c r="C411" s="312"/>
      <c r="D411" s="312"/>
      <c r="E411" s="311"/>
      <c r="F411" s="312" t="e">
        <f aca="false">VLOOKUP(B411,'[1]detailed model'!a393:C471,3,FALSE())</f>
        <v>#NAME?</v>
      </c>
    </row>
    <row r="412" customFormat="false" ht="17.35" hidden="false" customHeight="false" outlineLevel="0" collapsed="false">
      <c r="A412" s="317" t="s">
        <v>200</v>
      </c>
      <c r="B412" s="312"/>
      <c r="C412" s="312"/>
      <c r="D412" s="312"/>
      <c r="E412" s="311"/>
      <c r="F412" s="312" t="e">
        <f aca="false">VLOOKUP(B412,'[1]detailed model'!a394:C472,3,FALSE())</f>
        <v>#NAME?</v>
      </c>
    </row>
    <row r="413" customFormat="false" ht="17.35" hidden="false" customHeight="false" outlineLevel="0" collapsed="false">
      <c r="A413" s="317" t="s">
        <v>200</v>
      </c>
      <c r="B413" s="312"/>
      <c r="C413" s="312"/>
      <c r="D413" s="312"/>
      <c r="E413" s="311"/>
      <c r="F413" s="312" t="e">
        <f aca="false">VLOOKUP(B413,'[1]detailed model'!a395:C473,3,FALSE())</f>
        <v>#NAME?</v>
      </c>
    </row>
    <row r="414" customFormat="false" ht="17.35" hidden="false" customHeight="false" outlineLevel="0" collapsed="false">
      <c r="A414" s="317" t="s">
        <v>200</v>
      </c>
      <c r="B414" s="312"/>
      <c r="C414" s="312"/>
      <c r="D414" s="312"/>
      <c r="E414" s="311"/>
      <c r="F414" s="312" t="e">
        <f aca="false">VLOOKUP(B414,'[1]detailed model'!a396:C474,3,FALSE())</f>
        <v>#NAME?</v>
      </c>
    </row>
    <row r="415" customFormat="false" ht="17.35" hidden="false" customHeight="false" outlineLevel="0" collapsed="false">
      <c r="A415" s="317" t="s">
        <v>200</v>
      </c>
      <c r="B415" s="312"/>
      <c r="C415" s="312"/>
      <c r="D415" s="312"/>
      <c r="E415" s="311"/>
      <c r="F415" s="312" t="e">
        <f aca="false">VLOOKUP(B415,'[1]detailed model'!a397:C475,3,FALSE())</f>
        <v>#NAME?</v>
      </c>
    </row>
    <row r="416" customFormat="false" ht="17.35" hidden="false" customHeight="false" outlineLevel="0" collapsed="false">
      <c r="A416" s="317" t="s">
        <v>200</v>
      </c>
      <c r="B416" s="312"/>
      <c r="C416" s="312"/>
      <c r="D416" s="312"/>
      <c r="E416" s="311"/>
      <c r="F416" s="312" t="e">
        <f aca="false">VLOOKUP(B416,'[1]detailed model'!a398:C476,3,FALSE())</f>
        <v>#NAME?</v>
      </c>
    </row>
    <row r="417" customFormat="false" ht="17.35" hidden="false" customHeight="false" outlineLevel="0" collapsed="false">
      <c r="A417" s="317" t="s">
        <v>200</v>
      </c>
      <c r="B417" s="312"/>
      <c r="C417" s="312"/>
      <c r="D417" s="312"/>
      <c r="E417" s="311"/>
      <c r="F417" s="312" t="e">
        <f aca="false">VLOOKUP(B417,'[1]detailed model'!a399:C477,3,FALSE())</f>
        <v>#NAME?</v>
      </c>
    </row>
    <row r="418" customFormat="false" ht="17.35" hidden="false" customHeight="false" outlineLevel="0" collapsed="false">
      <c r="A418" s="317" t="s">
        <v>200</v>
      </c>
      <c r="B418" s="312"/>
      <c r="C418" s="312"/>
      <c r="D418" s="312"/>
      <c r="E418" s="311"/>
      <c r="F418" s="312" t="e">
        <f aca="false">VLOOKUP(B418,'[1]detailed model'!a400:C478,3,FALSE())</f>
        <v>#NAME?</v>
      </c>
    </row>
    <row r="419" customFormat="false" ht="17.35" hidden="false" customHeight="false" outlineLevel="0" collapsed="false">
      <c r="A419" s="317" t="s">
        <v>200</v>
      </c>
      <c r="B419" s="312"/>
      <c r="C419" s="312"/>
      <c r="D419" s="312"/>
      <c r="E419" s="311"/>
      <c r="F419" s="312" t="e">
        <f aca="false">VLOOKUP(B419,'[1]detailed model'!a401:C479,3,FALSE())</f>
        <v>#NAME?</v>
      </c>
    </row>
    <row r="420" customFormat="false" ht="17.35" hidden="false" customHeight="false" outlineLevel="0" collapsed="false">
      <c r="A420" s="317" t="s">
        <v>200</v>
      </c>
      <c r="B420" s="312"/>
      <c r="C420" s="312"/>
      <c r="D420" s="312"/>
      <c r="E420" s="311"/>
      <c r="F420" s="312" t="e">
        <f aca="false">VLOOKUP(B420,'[1]detailed model'!a402:C480,3,FALSE())</f>
        <v>#NAME?</v>
      </c>
    </row>
    <row r="421" customFormat="false" ht="17.35" hidden="false" customHeight="false" outlineLevel="0" collapsed="false">
      <c r="A421" s="317" t="s">
        <v>200</v>
      </c>
      <c r="B421" s="312"/>
      <c r="C421" s="312"/>
      <c r="D421" s="312"/>
      <c r="E421" s="311"/>
      <c r="F421" s="312" t="e">
        <f aca="false">VLOOKUP(B421,'[1]detailed model'!a403:C481,3,FALSE())</f>
        <v>#NAME?</v>
      </c>
    </row>
    <row r="422" customFormat="false" ht="17.35" hidden="false" customHeight="false" outlineLevel="0" collapsed="false">
      <c r="A422" s="317" t="s">
        <v>200</v>
      </c>
      <c r="B422" s="312"/>
      <c r="C422" s="312"/>
      <c r="D422" s="312"/>
      <c r="E422" s="311"/>
      <c r="F422" s="312" t="e">
        <f aca="false">VLOOKUP(B422,'[1]detailed model'!a404:C482,3,FALSE())</f>
        <v>#NAME?</v>
      </c>
    </row>
    <row r="423" customFormat="false" ht="17.35" hidden="false" customHeight="false" outlineLevel="0" collapsed="false">
      <c r="A423" s="317" t="s">
        <v>200</v>
      </c>
      <c r="B423" s="312"/>
      <c r="C423" s="312"/>
      <c r="D423" s="312"/>
      <c r="E423" s="311"/>
      <c r="F423" s="312" t="e">
        <f aca="false">VLOOKUP(B423,'[1]detailed model'!a405:C483,3,FALSE())</f>
        <v>#NAME?</v>
      </c>
    </row>
    <row r="424" customFormat="false" ht="17.35" hidden="false" customHeight="false" outlineLevel="0" collapsed="false">
      <c r="A424" s="317" t="s">
        <v>200</v>
      </c>
      <c r="B424" s="312"/>
      <c r="C424" s="312"/>
      <c r="D424" s="312"/>
      <c r="E424" s="311"/>
      <c r="F424" s="312" t="e">
        <f aca="false">VLOOKUP(B424,'[1]detailed model'!a406:C484,3,FALSE())</f>
        <v>#NAME?</v>
      </c>
    </row>
    <row r="425" customFormat="false" ht="17.35" hidden="false" customHeight="false" outlineLevel="0" collapsed="false">
      <c r="A425" s="317" t="s">
        <v>200</v>
      </c>
      <c r="B425" s="312"/>
      <c r="C425" s="312"/>
      <c r="D425" s="312"/>
      <c r="E425" s="311"/>
      <c r="F425" s="312" t="e">
        <f aca="false">VLOOKUP(B425,'[1]detailed model'!a407:C485,3,FALSE())</f>
        <v>#NAME?</v>
      </c>
    </row>
    <row r="426" customFormat="false" ht="17.35" hidden="false" customHeight="false" outlineLevel="0" collapsed="false">
      <c r="A426" s="317" t="s">
        <v>200</v>
      </c>
      <c r="B426" s="312"/>
      <c r="C426" s="312"/>
      <c r="D426" s="312"/>
      <c r="E426" s="311"/>
      <c r="F426" s="312" t="e">
        <f aca="false">VLOOKUP(B426,'[1]detailed model'!a408:C486,3,FALSE())</f>
        <v>#NAME?</v>
      </c>
    </row>
    <row r="427" customFormat="false" ht="17.35" hidden="false" customHeight="false" outlineLevel="0" collapsed="false">
      <c r="A427" s="317" t="s">
        <v>200</v>
      </c>
      <c r="B427" s="312"/>
      <c r="C427" s="312"/>
      <c r="D427" s="312"/>
      <c r="E427" s="311"/>
      <c r="F427" s="312" t="e">
        <f aca="false">VLOOKUP(B427,'[1]detailed model'!a409:C487,3,FALSE())</f>
        <v>#NAME?</v>
      </c>
    </row>
    <row r="428" customFormat="false" ht="17.35" hidden="false" customHeight="false" outlineLevel="0" collapsed="false">
      <c r="A428" s="317" t="s">
        <v>200</v>
      </c>
      <c r="B428" s="312"/>
      <c r="C428" s="312"/>
      <c r="D428" s="312"/>
      <c r="E428" s="311"/>
      <c r="F428" s="312" t="e">
        <f aca="false">VLOOKUP(B428,'[1]detailed model'!a410:C488,3,FALSE())</f>
        <v>#NAME?</v>
      </c>
    </row>
    <row r="429" customFormat="false" ht="17.35" hidden="false" customHeight="false" outlineLevel="0" collapsed="false">
      <c r="A429" s="317" t="s">
        <v>200</v>
      </c>
      <c r="B429" s="312"/>
      <c r="C429" s="312"/>
      <c r="D429" s="312"/>
      <c r="E429" s="311"/>
      <c r="F429" s="312" t="e">
        <f aca="false">VLOOKUP(B429,'[1]detailed model'!a411:C489,3,FALSE())</f>
        <v>#NAME?</v>
      </c>
    </row>
    <row r="430" customFormat="false" ht="17.35" hidden="false" customHeight="false" outlineLevel="0" collapsed="false">
      <c r="A430" s="317" t="s">
        <v>200</v>
      </c>
      <c r="B430" s="312"/>
      <c r="C430" s="312"/>
      <c r="D430" s="312"/>
      <c r="E430" s="311"/>
      <c r="F430" s="312" t="e">
        <f aca="false">VLOOKUP(B430,'[1]detailed model'!a412:C490,3,FALSE())</f>
        <v>#NAME?</v>
      </c>
    </row>
    <row r="431" customFormat="false" ht="17.35" hidden="false" customHeight="false" outlineLevel="0" collapsed="false">
      <c r="A431" s="317" t="s">
        <v>200</v>
      </c>
      <c r="B431" s="312"/>
      <c r="C431" s="312"/>
      <c r="D431" s="312"/>
      <c r="E431" s="311"/>
      <c r="F431" s="312" t="e">
        <f aca="false">VLOOKUP(B431,'[1]detailed model'!a413:C491,3,FALSE())</f>
        <v>#NAME?</v>
      </c>
    </row>
    <row r="432" customFormat="false" ht="17.35" hidden="false" customHeight="false" outlineLevel="0" collapsed="false">
      <c r="A432" s="317" t="s">
        <v>200</v>
      </c>
      <c r="B432" s="312"/>
      <c r="C432" s="312"/>
      <c r="D432" s="312"/>
      <c r="E432" s="311"/>
      <c r="F432" s="312" t="e">
        <f aca="false">VLOOKUP(B432,'[1]detailed model'!a414:C492,3,FALSE())</f>
        <v>#NAME?</v>
      </c>
    </row>
    <row r="433" customFormat="false" ht="17.35" hidden="false" customHeight="false" outlineLevel="0" collapsed="false">
      <c r="A433" s="317" t="s">
        <v>200</v>
      </c>
      <c r="B433" s="312"/>
      <c r="C433" s="312"/>
      <c r="D433" s="312"/>
      <c r="E433" s="311"/>
      <c r="F433" s="312" t="e">
        <f aca="false">VLOOKUP(B433,'[1]detailed model'!a415:C493,3,FALSE())</f>
        <v>#NAME?</v>
      </c>
    </row>
    <row r="434" customFormat="false" ht="17.35" hidden="false" customHeight="false" outlineLevel="0" collapsed="false">
      <c r="A434" s="317" t="s">
        <v>200</v>
      </c>
      <c r="B434" s="312"/>
      <c r="C434" s="312"/>
      <c r="D434" s="312"/>
      <c r="E434" s="311"/>
      <c r="F434" s="312" t="e">
        <f aca="false">VLOOKUP(B434,'[1]detailed model'!a416:C494,3,FALSE())</f>
        <v>#NAME?</v>
      </c>
    </row>
    <row r="435" customFormat="false" ht="17.35" hidden="false" customHeight="false" outlineLevel="0" collapsed="false">
      <c r="A435" s="317" t="s">
        <v>200</v>
      </c>
      <c r="B435" s="312"/>
      <c r="C435" s="312"/>
      <c r="D435" s="312"/>
      <c r="E435" s="311"/>
      <c r="F435" s="312" t="e">
        <f aca="false">VLOOKUP(B435,'[1]detailed model'!a417:C495,3,FALSE())</f>
        <v>#NAME?</v>
      </c>
    </row>
    <row r="436" customFormat="false" ht="17.35" hidden="false" customHeight="false" outlineLevel="0" collapsed="false">
      <c r="A436" s="317" t="s">
        <v>200</v>
      </c>
      <c r="B436" s="312"/>
      <c r="C436" s="312"/>
      <c r="D436" s="312"/>
      <c r="E436" s="311"/>
      <c r="F436" s="312" t="e">
        <f aca="false">VLOOKUP(B436,'[1]detailed model'!a418:C496,3,FALSE())</f>
        <v>#NAME?</v>
      </c>
    </row>
    <row r="437" customFormat="false" ht="17.35" hidden="false" customHeight="false" outlineLevel="0" collapsed="false">
      <c r="A437" s="317" t="s">
        <v>200</v>
      </c>
      <c r="B437" s="312"/>
      <c r="C437" s="312"/>
      <c r="D437" s="312"/>
      <c r="E437" s="311"/>
      <c r="F437" s="312" t="e">
        <f aca="false">VLOOKUP(B437,'[1]detailed model'!a419:C497,3,FALSE())</f>
        <v>#NAME?</v>
      </c>
    </row>
    <row r="438" customFormat="false" ht="17.35" hidden="false" customHeight="false" outlineLevel="0" collapsed="false">
      <c r="A438" s="317" t="s">
        <v>200</v>
      </c>
      <c r="B438" s="312"/>
      <c r="C438" s="312"/>
      <c r="D438" s="312"/>
      <c r="E438" s="311"/>
      <c r="F438" s="312" t="e">
        <f aca="false">VLOOKUP(B438,'[1]detailed model'!a420:C498,3,FALSE())</f>
        <v>#NAME?</v>
      </c>
    </row>
    <row r="439" customFormat="false" ht="17.35" hidden="false" customHeight="false" outlineLevel="0" collapsed="false">
      <c r="A439" s="317" t="s">
        <v>200</v>
      </c>
      <c r="B439" s="312"/>
      <c r="C439" s="312"/>
      <c r="D439" s="312"/>
      <c r="E439" s="311"/>
      <c r="F439" s="312" t="e">
        <f aca="false">VLOOKUP(B439,'[1]detailed model'!a421:C499,3,FALSE())</f>
        <v>#NAME?</v>
      </c>
    </row>
    <row r="440" customFormat="false" ht="17.35" hidden="false" customHeight="false" outlineLevel="0" collapsed="false">
      <c r="A440" s="317" t="s">
        <v>200</v>
      </c>
      <c r="B440" s="312"/>
      <c r="C440" s="312"/>
      <c r="D440" s="312"/>
      <c r="E440" s="311"/>
      <c r="F440" s="312" t="e">
        <f aca="false">VLOOKUP(B440,'[1]detailed model'!a422:C500,3,FALSE())</f>
        <v>#NAME?</v>
      </c>
    </row>
    <row r="441" customFormat="false" ht="17.35" hidden="false" customHeight="false" outlineLevel="0" collapsed="false">
      <c r="A441" s="317" t="s">
        <v>200</v>
      </c>
      <c r="B441" s="312"/>
      <c r="C441" s="312"/>
      <c r="D441" s="312"/>
      <c r="E441" s="311"/>
      <c r="F441" s="312" t="e">
        <f aca="false">VLOOKUP(B441,'[1]detailed model'!a423:C501,3,FALSE())</f>
        <v>#NAME?</v>
      </c>
    </row>
    <row r="442" customFormat="false" ht="17.35" hidden="false" customHeight="false" outlineLevel="0" collapsed="false">
      <c r="A442" s="317" t="s">
        <v>200</v>
      </c>
      <c r="B442" s="312"/>
      <c r="C442" s="312"/>
      <c r="D442" s="312"/>
      <c r="E442" s="311"/>
      <c r="F442" s="312" t="e">
        <f aca="false">VLOOKUP(B442,'[1]detailed model'!a424:C502,3,FALSE())</f>
        <v>#NAME?</v>
      </c>
    </row>
    <row r="443" customFormat="false" ht="17.35" hidden="false" customHeight="false" outlineLevel="0" collapsed="false">
      <c r="A443" s="317" t="s">
        <v>200</v>
      </c>
      <c r="B443" s="312"/>
      <c r="C443" s="312"/>
      <c r="D443" s="312"/>
      <c r="E443" s="311"/>
      <c r="F443" s="312" t="e">
        <f aca="false">VLOOKUP(B443,'[1]detailed model'!a425:C503,3,FALSE())</f>
        <v>#NAME?</v>
      </c>
    </row>
    <row r="444" customFormat="false" ht="17.35" hidden="false" customHeight="false" outlineLevel="0" collapsed="false">
      <c r="A444" s="317" t="s">
        <v>200</v>
      </c>
      <c r="B444" s="312"/>
      <c r="C444" s="312"/>
      <c r="D444" s="312"/>
      <c r="E444" s="311"/>
      <c r="F444" s="312" t="e">
        <f aca="false">VLOOKUP(B444,'[1]detailed model'!a426:C504,3,FALSE())</f>
        <v>#NAME?</v>
      </c>
    </row>
    <row r="445" customFormat="false" ht="17.35" hidden="false" customHeight="false" outlineLevel="0" collapsed="false">
      <c r="A445" s="317" t="s">
        <v>200</v>
      </c>
      <c r="B445" s="312"/>
      <c r="C445" s="312"/>
      <c r="D445" s="312"/>
      <c r="E445" s="311"/>
      <c r="F445" s="312" t="e">
        <f aca="false">VLOOKUP(B445,'[1]detailed model'!a427:C505,3,FALSE())</f>
        <v>#NAME?</v>
      </c>
    </row>
    <row r="446" customFormat="false" ht="17.35" hidden="false" customHeight="false" outlineLevel="0" collapsed="false">
      <c r="A446" s="317" t="s">
        <v>200</v>
      </c>
      <c r="B446" s="312"/>
      <c r="C446" s="312"/>
      <c r="D446" s="312"/>
      <c r="E446" s="311"/>
      <c r="F446" s="312" t="e">
        <f aca="false">VLOOKUP(B446,'[1]detailed model'!a428:C506,3,FALSE())</f>
        <v>#NAME?</v>
      </c>
    </row>
    <row r="447" customFormat="false" ht="17.35" hidden="false" customHeight="false" outlineLevel="0" collapsed="false">
      <c r="A447" s="317" t="s">
        <v>200</v>
      </c>
      <c r="B447" s="312"/>
      <c r="C447" s="312"/>
      <c r="D447" s="312"/>
      <c r="E447" s="311"/>
      <c r="F447" s="312" t="e">
        <f aca="false">VLOOKUP(B447,'[1]detailed model'!a429:C507,3,FALSE())</f>
        <v>#NAME?</v>
      </c>
    </row>
    <row r="448" customFormat="false" ht="17.35" hidden="false" customHeight="false" outlineLevel="0" collapsed="false">
      <c r="A448" s="317" t="s">
        <v>200</v>
      </c>
      <c r="B448" s="312"/>
      <c r="C448" s="312"/>
      <c r="D448" s="312"/>
      <c r="E448" s="311"/>
      <c r="F448" s="312" t="e">
        <f aca="false">VLOOKUP(B448,'[1]detailed model'!a430:C508,3,FALSE())</f>
        <v>#NAME?</v>
      </c>
    </row>
    <row r="449" customFormat="false" ht="17.35" hidden="false" customHeight="false" outlineLevel="0" collapsed="false">
      <c r="A449" s="317" t="s">
        <v>200</v>
      </c>
      <c r="B449" s="312"/>
      <c r="C449" s="312"/>
      <c r="D449" s="312"/>
      <c r="E449" s="311"/>
      <c r="F449" s="312" t="e">
        <f aca="false">VLOOKUP(B449,'[1]detailed model'!a431:C509,3,FALSE())</f>
        <v>#NAME?</v>
      </c>
    </row>
    <row r="450" customFormat="false" ht="17.35" hidden="false" customHeight="false" outlineLevel="0" collapsed="false">
      <c r="A450" s="317" t="s">
        <v>200</v>
      </c>
      <c r="B450" s="312"/>
      <c r="C450" s="312"/>
      <c r="D450" s="312"/>
      <c r="E450" s="311"/>
      <c r="F450" s="312" t="e">
        <f aca="false">VLOOKUP(B450,'[1]detailed model'!a432:C510,3,FALSE())</f>
        <v>#NAME?</v>
      </c>
    </row>
    <row r="451" customFormat="false" ht="17.35" hidden="false" customHeight="false" outlineLevel="0" collapsed="false">
      <c r="A451" s="317" t="s">
        <v>200</v>
      </c>
      <c r="B451" s="312"/>
      <c r="C451" s="312"/>
      <c r="D451" s="312"/>
      <c r="E451" s="311"/>
      <c r="F451" s="312" t="e">
        <f aca="false">VLOOKUP(B451,'[1]detailed model'!a433:C511,3,FALSE())</f>
        <v>#NAME?</v>
      </c>
    </row>
    <row r="452" customFormat="false" ht="17.35" hidden="false" customHeight="false" outlineLevel="0" collapsed="false">
      <c r="A452" s="317" t="s">
        <v>200</v>
      </c>
      <c r="B452" s="312"/>
      <c r="C452" s="312"/>
      <c r="D452" s="312"/>
      <c r="E452" s="311"/>
      <c r="F452" s="312" t="e">
        <f aca="false">VLOOKUP(B452,'[1]detailed model'!a434:C512,3,FALSE())</f>
        <v>#NAME?</v>
      </c>
    </row>
    <row r="453" customFormat="false" ht="17.35" hidden="false" customHeight="false" outlineLevel="0" collapsed="false">
      <c r="A453" s="317" t="s">
        <v>200</v>
      </c>
      <c r="B453" s="312"/>
      <c r="C453" s="312"/>
      <c r="D453" s="312"/>
      <c r="E453" s="311"/>
      <c r="F453" s="312" t="e">
        <f aca="false">VLOOKUP(B453,'[1]detailed model'!a435:C513,3,FALSE())</f>
        <v>#NAME?</v>
      </c>
    </row>
    <row r="454" customFormat="false" ht="17.35" hidden="false" customHeight="false" outlineLevel="0" collapsed="false">
      <c r="A454" s="317" t="s">
        <v>200</v>
      </c>
      <c r="B454" s="312"/>
      <c r="C454" s="312"/>
      <c r="D454" s="312"/>
      <c r="E454" s="311"/>
      <c r="F454" s="312" t="e">
        <f aca="false">VLOOKUP(B454,'[1]detailed model'!a436:C514,3,FALSE())</f>
        <v>#NAME?</v>
      </c>
    </row>
    <row r="455" customFormat="false" ht="17.35" hidden="false" customHeight="false" outlineLevel="0" collapsed="false">
      <c r="A455" s="317" t="s">
        <v>200</v>
      </c>
      <c r="B455" s="312"/>
      <c r="C455" s="312"/>
      <c r="D455" s="312"/>
      <c r="E455" s="311"/>
      <c r="F455" s="312" t="e">
        <f aca="false">VLOOKUP(B455,'[1]detailed model'!a437:C515,3,FALSE())</f>
        <v>#NAME?</v>
      </c>
    </row>
    <row r="456" customFormat="false" ht="17.35" hidden="false" customHeight="false" outlineLevel="0" collapsed="false">
      <c r="A456" s="317" t="s">
        <v>200</v>
      </c>
      <c r="B456" s="312"/>
      <c r="C456" s="312"/>
      <c r="D456" s="312"/>
      <c r="E456" s="311"/>
      <c r="F456" s="312" t="e">
        <f aca="false">VLOOKUP(B456,'[1]detailed model'!a438:C516,3,FALSE())</f>
        <v>#NAME?</v>
      </c>
    </row>
    <row r="457" customFormat="false" ht="17.35" hidden="false" customHeight="false" outlineLevel="0" collapsed="false">
      <c r="A457" s="317" t="s">
        <v>200</v>
      </c>
      <c r="B457" s="312"/>
      <c r="C457" s="312"/>
      <c r="D457" s="312"/>
      <c r="E457" s="311"/>
      <c r="F457" s="312" t="e">
        <f aca="false">VLOOKUP(B457,'[1]detailed model'!a439:C517,3,FALSE())</f>
        <v>#NAME?</v>
      </c>
    </row>
    <row r="458" customFormat="false" ht="17.35" hidden="false" customHeight="false" outlineLevel="0" collapsed="false">
      <c r="A458" s="317" t="s">
        <v>200</v>
      </c>
      <c r="B458" s="312"/>
      <c r="C458" s="312"/>
      <c r="D458" s="312"/>
      <c r="E458" s="311"/>
      <c r="F458" s="312" t="e">
        <f aca="false">VLOOKUP(B458,'[1]detailed model'!a440:C518,3,FALSE())</f>
        <v>#NAME?</v>
      </c>
    </row>
    <row r="459" customFormat="false" ht="17.35" hidden="false" customHeight="false" outlineLevel="0" collapsed="false">
      <c r="A459" s="317" t="s">
        <v>200</v>
      </c>
      <c r="B459" s="312"/>
      <c r="C459" s="312"/>
      <c r="D459" s="312"/>
      <c r="E459" s="311"/>
      <c r="F459" s="312" t="e">
        <f aca="false">VLOOKUP(B459,'[1]detailed model'!a441:C519,3,FALSE())</f>
        <v>#NAME?</v>
      </c>
    </row>
    <row r="460" customFormat="false" ht="17.35" hidden="false" customHeight="false" outlineLevel="0" collapsed="false">
      <c r="A460" s="317" t="s">
        <v>200</v>
      </c>
      <c r="B460" s="312"/>
      <c r="C460" s="312"/>
      <c r="D460" s="312"/>
      <c r="E460" s="311"/>
      <c r="F460" s="312" t="e">
        <f aca="false">VLOOKUP(B460,'[1]detailed model'!a442:C520,3,FALSE())</f>
        <v>#NAME?</v>
      </c>
    </row>
    <row r="461" customFormat="false" ht="17.35" hidden="false" customHeight="false" outlineLevel="0" collapsed="false">
      <c r="A461" s="317" t="s">
        <v>200</v>
      </c>
      <c r="B461" s="312"/>
      <c r="C461" s="312"/>
      <c r="D461" s="312"/>
      <c r="E461" s="311"/>
      <c r="F461" s="312" t="e">
        <f aca="false">VLOOKUP(B461,'[1]detailed model'!a443:C521,3,FALSE())</f>
        <v>#NAME?</v>
      </c>
    </row>
    <row r="462" customFormat="false" ht="17.35" hidden="false" customHeight="false" outlineLevel="0" collapsed="false">
      <c r="A462" s="317" t="s">
        <v>200</v>
      </c>
      <c r="B462" s="312"/>
      <c r="C462" s="312"/>
      <c r="D462" s="312"/>
      <c r="E462" s="311"/>
      <c r="F462" s="312" t="e">
        <f aca="false">VLOOKUP(B462,'[1]detailed model'!a444:C522,3,FALSE())</f>
        <v>#NAME?</v>
      </c>
    </row>
    <row r="463" customFormat="false" ht="17.35" hidden="false" customHeight="false" outlineLevel="0" collapsed="false">
      <c r="A463" s="317" t="s">
        <v>200</v>
      </c>
      <c r="B463" s="312"/>
      <c r="C463" s="312"/>
      <c r="D463" s="312"/>
      <c r="E463" s="311"/>
      <c r="F463" s="312" t="e">
        <f aca="false">VLOOKUP(B463,'[1]detailed model'!a445:C523,3,FALSE())</f>
        <v>#NAME?</v>
      </c>
    </row>
    <row r="464" customFormat="false" ht="17.35" hidden="false" customHeight="false" outlineLevel="0" collapsed="false">
      <c r="A464" s="317" t="s">
        <v>200</v>
      </c>
      <c r="B464" s="312"/>
      <c r="C464" s="312"/>
      <c r="D464" s="312"/>
      <c r="E464" s="311"/>
      <c r="F464" s="312" t="e">
        <f aca="false">VLOOKUP(B464,'[1]detailed model'!a446:C524,3,FALSE())</f>
        <v>#NAME?</v>
      </c>
    </row>
    <row r="465" customFormat="false" ht="17.35" hidden="false" customHeight="false" outlineLevel="0" collapsed="false">
      <c r="A465" s="317" t="s">
        <v>200</v>
      </c>
      <c r="B465" s="312"/>
      <c r="C465" s="312"/>
      <c r="D465" s="312"/>
      <c r="E465" s="311"/>
      <c r="F465" s="312" t="e">
        <f aca="false">VLOOKUP(B465,'[1]detailed model'!a447:C525,3,FALSE())</f>
        <v>#NAME?</v>
      </c>
    </row>
    <row r="466" customFormat="false" ht="17.35" hidden="false" customHeight="false" outlineLevel="0" collapsed="false">
      <c r="A466" s="317" t="s">
        <v>200</v>
      </c>
      <c r="B466" s="312"/>
      <c r="C466" s="312"/>
      <c r="D466" s="312"/>
      <c r="E466" s="311"/>
      <c r="F466" s="312" t="e">
        <f aca="false">VLOOKUP(B466,'[1]detailed model'!a448:C526,3,FALSE())</f>
        <v>#NAME?</v>
      </c>
    </row>
    <row r="467" customFormat="false" ht="17.35" hidden="false" customHeight="false" outlineLevel="0" collapsed="false">
      <c r="A467" s="317" t="s">
        <v>200</v>
      </c>
      <c r="B467" s="312"/>
      <c r="C467" s="312"/>
      <c r="D467" s="312"/>
      <c r="E467" s="311"/>
      <c r="F467" s="312" t="e">
        <f aca="false">VLOOKUP(B467,'[1]detailed model'!a449:C527,3,FALSE())</f>
        <v>#NAME?</v>
      </c>
    </row>
    <row r="468" customFormat="false" ht="17.35" hidden="false" customHeight="false" outlineLevel="0" collapsed="false">
      <c r="A468" s="317" t="s">
        <v>200</v>
      </c>
      <c r="B468" s="312"/>
      <c r="C468" s="312"/>
      <c r="D468" s="312"/>
      <c r="E468" s="311"/>
      <c r="F468" s="312" t="e">
        <f aca="false">VLOOKUP(B468,'[1]detailed model'!a450:C528,3,FALSE())</f>
        <v>#NAME?</v>
      </c>
    </row>
    <row r="469" customFormat="false" ht="17.35" hidden="false" customHeight="false" outlineLevel="0" collapsed="false">
      <c r="A469" s="317" t="s">
        <v>200</v>
      </c>
      <c r="B469" s="312"/>
      <c r="C469" s="312"/>
      <c r="D469" s="312"/>
      <c r="E469" s="311"/>
      <c r="F469" s="312" t="e">
        <f aca="false">VLOOKUP(B469,'[1]detailed model'!a451:C529,3,FALSE())</f>
        <v>#NAME?</v>
      </c>
    </row>
    <row r="470" customFormat="false" ht="17.35" hidden="false" customHeight="false" outlineLevel="0" collapsed="false">
      <c r="A470" s="317" t="s">
        <v>200</v>
      </c>
      <c r="B470" s="312"/>
      <c r="C470" s="312"/>
      <c r="D470" s="312"/>
      <c r="E470" s="311"/>
      <c r="F470" s="312" t="e">
        <f aca="false">VLOOKUP(B470,'[1]detailed model'!a452:C530,3,FALSE())</f>
        <v>#NAME?</v>
      </c>
    </row>
    <row r="471" customFormat="false" ht="17.35" hidden="false" customHeight="false" outlineLevel="0" collapsed="false">
      <c r="A471" s="317" t="s">
        <v>200</v>
      </c>
      <c r="B471" s="312"/>
      <c r="C471" s="312"/>
      <c r="D471" s="312"/>
      <c r="E471" s="311"/>
      <c r="F471" s="312" t="e">
        <f aca="false">VLOOKUP(B471,'[1]detailed model'!a453:C531,3,FALSE())</f>
        <v>#NAME?</v>
      </c>
    </row>
    <row r="472" customFormat="false" ht="17.35" hidden="false" customHeight="false" outlineLevel="0" collapsed="false">
      <c r="A472" s="317" t="s">
        <v>200</v>
      </c>
      <c r="B472" s="312"/>
      <c r="C472" s="312"/>
      <c r="D472" s="312"/>
      <c r="E472" s="311"/>
      <c r="F472" s="312" t="e">
        <f aca="false">VLOOKUP(B472,'[1]detailed model'!a454:C532,3,FALSE())</f>
        <v>#NAME?</v>
      </c>
    </row>
    <row r="473" customFormat="false" ht="17.35" hidden="false" customHeight="false" outlineLevel="0" collapsed="false">
      <c r="A473" s="317" t="s">
        <v>200</v>
      </c>
      <c r="B473" s="312"/>
      <c r="C473" s="312"/>
      <c r="D473" s="312"/>
      <c r="E473" s="311"/>
      <c r="F473" s="312" t="e">
        <f aca="false">VLOOKUP(B473,'[1]detailed model'!a455:C533,3,FALSE())</f>
        <v>#NAME?</v>
      </c>
    </row>
    <row r="474" customFormat="false" ht="17.35" hidden="false" customHeight="false" outlineLevel="0" collapsed="false">
      <c r="A474" s="317" t="s">
        <v>200</v>
      </c>
      <c r="B474" s="312"/>
      <c r="C474" s="312"/>
      <c r="D474" s="312"/>
      <c r="E474" s="311"/>
      <c r="F474" s="312" t="e">
        <f aca="false">VLOOKUP(B474,'[1]detailed model'!a456:C534,3,FALSE())</f>
        <v>#NAME?</v>
      </c>
    </row>
    <row r="475" customFormat="false" ht="17.35" hidden="false" customHeight="false" outlineLevel="0" collapsed="false">
      <c r="A475" s="317" t="s">
        <v>200</v>
      </c>
      <c r="B475" s="312"/>
      <c r="C475" s="312"/>
      <c r="D475" s="312"/>
      <c r="E475" s="311"/>
      <c r="F475" s="312" t="e">
        <f aca="false">VLOOKUP(B475,'[1]detailed model'!a457:C535,3,FALSE())</f>
        <v>#NAME?</v>
      </c>
    </row>
    <row r="476" customFormat="false" ht="17.35" hidden="false" customHeight="false" outlineLevel="0" collapsed="false">
      <c r="A476" s="317" t="s">
        <v>200</v>
      </c>
      <c r="B476" s="312"/>
      <c r="C476" s="312"/>
      <c r="D476" s="312"/>
      <c r="E476" s="311"/>
      <c r="F476" s="312" t="e">
        <f aca="false">VLOOKUP(B476,'[1]detailed model'!a458:C536,3,FALSE())</f>
        <v>#NAME?</v>
      </c>
    </row>
    <row r="477" customFormat="false" ht="17.35" hidden="false" customHeight="false" outlineLevel="0" collapsed="false">
      <c r="A477" s="317" t="s">
        <v>200</v>
      </c>
      <c r="B477" s="312"/>
      <c r="C477" s="312"/>
      <c r="D477" s="312"/>
      <c r="E477" s="311"/>
      <c r="F477" s="312" t="e">
        <f aca="false">VLOOKUP(B477,'[1]detailed model'!a459:C537,3,FALSE())</f>
        <v>#NAME?</v>
      </c>
    </row>
    <row r="478" customFormat="false" ht="17.35" hidden="false" customHeight="false" outlineLevel="0" collapsed="false">
      <c r="A478" s="317" t="s">
        <v>200</v>
      </c>
      <c r="B478" s="312"/>
      <c r="C478" s="312"/>
      <c r="D478" s="312"/>
      <c r="E478" s="311"/>
      <c r="F478" s="312" t="e">
        <f aca="false">VLOOKUP(B478,'[1]detailed model'!a460:C538,3,FALSE())</f>
        <v>#NAME?</v>
      </c>
    </row>
    <row r="479" customFormat="false" ht="17.35" hidden="false" customHeight="false" outlineLevel="0" collapsed="false">
      <c r="A479" s="317" t="s">
        <v>200</v>
      </c>
      <c r="B479" s="312"/>
      <c r="C479" s="312"/>
      <c r="D479" s="312"/>
      <c r="E479" s="311"/>
      <c r="F479" s="312" t="e">
        <f aca="false">VLOOKUP(B479,'[1]detailed model'!a461:C539,3,FALSE())</f>
        <v>#NAME?</v>
      </c>
    </row>
    <row r="480" customFormat="false" ht="17.35" hidden="false" customHeight="false" outlineLevel="0" collapsed="false">
      <c r="A480" s="317" t="s">
        <v>200</v>
      </c>
      <c r="B480" s="312"/>
      <c r="C480" s="312"/>
      <c r="D480" s="312"/>
      <c r="E480" s="311"/>
      <c r="F480" s="312" t="e">
        <f aca="false">VLOOKUP(B480,'[1]detailed model'!a462:C540,3,FALSE())</f>
        <v>#NAME?</v>
      </c>
    </row>
    <row r="481" customFormat="false" ht="17.35" hidden="false" customHeight="false" outlineLevel="0" collapsed="false">
      <c r="A481" s="317" t="s">
        <v>200</v>
      </c>
      <c r="B481" s="312"/>
      <c r="C481" s="312"/>
      <c r="D481" s="312"/>
      <c r="E481" s="311"/>
      <c r="F481" s="312" t="e">
        <f aca="false">VLOOKUP(B481,'[1]detailed model'!a463:C541,3,FALSE())</f>
        <v>#NAME?</v>
      </c>
    </row>
    <row r="482" customFormat="false" ht="17.35" hidden="false" customHeight="false" outlineLevel="0" collapsed="false">
      <c r="A482" s="317" t="s">
        <v>200</v>
      </c>
      <c r="B482" s="312"/>
      <c r="C482" s="312"/>
      <c r="D482" s="312"/>
      <c r="E482" s="311"/>
      <c r="F482" s="312" t="e">
        <f aca="false">VLOOKUP(B482,'[1]detailed model'!a464:C542,3,FALSE())</f>
        <v>#NAME?</v>
      </c>
    </row>
    <row r="483" customFormat="false" ht="17.35" hidden="false" customHeight="false" outlineLevel="0" collapsed="false">
      <c r="A483" s="317" t="s">
        <v>200</v>
      </c>
      <c r="B483" s="312"/>
      <c r="C483" s="312"/>
      <c r="D483" s="312"/>
      <c r="E483" s="311"/>
      <c r="F483" s="312" t="e">
        <f aca="false">VLOOKUP(B483,'[1]detailed model'!a465:C543,3,FALSE())</f>
        <v>#NAME?</v>
      </c>
    </row>
    <row r="484" customFormat="false" ht="17.35" hidden="false" customHeight="false" outlineLevel="0" collapsed="false">
      <c r="A484" s="317" t="s">
        <v>200</v>
      </c>
      <c r="B484" s="312"/>
      <c r="C484" s="312"/>
      <c r="D484" s="312"/>
      <c r="E484" s="311"/>
      <c r="F484" s="312" t="e">
        <f aca="false">VLOOKUP(B484,'[1]detailed model'!a466:C544,3,FALSE())</f>
        <v>#NAME?</v>
      </c>
    </row>
    <row r="485" customFormat="false" ht="17.35" hidden="false" customHeight="false" outlineLevel="0" collapsed="false">
      <c r="A485" s="317" t="s">
        <v>200</v>
      </c>
      <c r="B485" s="312"/>
      <c r="C485" s="312"/>
      <c r="D485" s="312"/>
      <c r="E485" s="311"/>
      <c r="F485" s="312" t="e">
        <f aca="false">VLOOKUP(B485,'[1]detailed model'!a467:C545,3,FALSE())</f>
        <v>#NAME?</v>
      </c>
    </row>
    <row r="486" customFormat="false" ht="17.35" hidden="false" customHeight="false" outlineLevel="0" collapsed="false">
      <c r="A486" s="317" t="s">
        <v>200</v>
      </c>
      <c r="B486" s="312"/>
      <c r="C486" s="312"/>
      <c r="D486" s="312"/>
      <c r="E486" s="311"/>
      <c r="F486" s="312" t="e">
        <f aca="false">VLOOKUP(B486,'[1]detailed model'!a468:C546,3,FALSE())</f>
        <v>#NAME?</v>
      </c>
    </row>
    <row r="487" customFormat="false" ht="17.35" hidden="false" customHeight="false" outlineLevel="0" collapsed="false">
      <c r="A487" s="317" t="s">
        <v>200</v>
      </c>
      <c r="B487" s="312"/>
      <c r="C487" s="312"/>
      <c r="D487" s="312"/>
      <c r="E487" s="311"/>
      <c r="F487" s="312" t="e">
        <f aca="false">VLOOKUP(B487,'[1]detailed model'!a469:C547,3,FALSE())</f>
        <v>#NAME?</v>
      </c>
    </row>
    <row r="488" customFormat="false" ht="17.35" hidden="false" customHeight="false" outlineLevel="0" collapsed="false">
      <c r="A488" s="317" t="s">
        <v>200</v>
      </c>
      <c r="B488" s="312"/>
      <c r="C488" s="312"/>
      <c r="D488" s="312"/>
      <c r="E488" s="311"/>
      <c r="F488" s="312" t="e">
        <f aca="false">VLOOKUP(B488,'[1]detailed model'!a470:C548,3,FALSE())</f>
        <v>#NAME?</v>
      </c>
    </row>
    <row r="489" customFormat="false" ht="17.35" hidden="false" customHeight="false" outlineLevel="0" collapsed="false">
      <c r="A489" s="317" t="s">
        <v>200</v>
      </c>
      <c r="B489" s="312"/>
      <c r="C489" s="312"/>
      <c r="D489" s="312"/>
      <c r="E489" s="311"/>
      <c r="F489" s="312" t="e">
        <f aca="false">VLOOKUP(B489,'[1]detailed model'!a471:C549,3,FALSE())</f>
        <v>#NAME?</v>
      </c>
    </row>
    <row r="490" customFormat="false" ht="17.35" hidden="false" customHeight="false" outlineLevel="0" collapsed="false">
      <c r="A490" s="317" t="s">
        <v>200</v>
      </c>
      <c r="B490" s="312"/>
      <c r="C490" s="312"/>
      <c r="D490" s="312"/>
      <c r="E490" s="311"/>
      <c r="F490" s="312" t="e">
        <f aca="false">VLOOKUP(B490,'[1]detailed model'!a472:C550,3,FALSE())</f>
        <v>#NAME?</v>
      </c>
    </row>
    <row r="491" customFormat="false" ht="17.35" hidden="false" customHeight="false" outlineLevel="0" collapsed="false">
      <c r="A491" s="317" t="s">
        <v>200</v>
      </c>
      <c r="B491" s="312"/>
      <c r="C491" s="312"/>
      <c r="D491" s="312"/>
      <c r="E491" s="311"/>
      <c r="F491" s="312" t="e">
        <f aca="false">VLOOKUP(B491,'[1]detailed model'!a473:C551,3,FALSE())</f>
        <v>#NAME?</v>
      </c>
    </row>
    <row r="492" customFormat="false" ht="17.35" hidden="false" customHeight="false" outlineLevel="0" collapsed="false">
      <c r="A492" s="317" t="s">
        <v>200</v>
      </c>
      <c r="B492" s="312"/>
      <c r="C492" s="312"/>
      <c r="D492" s="312"/>
      <c r="E492" s="311"/>
      <c r="F492" s="312" t="e">
        <f aca="false">VLOOKUP(B492,'[1]detailed model'!a474:C552,3,FALSE())</f>
        <v>#NAME?</v>
      </c>
    </row>
    <row r="493" customFormat="false" ht="17.35" hidden="false" customHeight="false" outlineLevel="0" collapsed="false">
      <c r="A493" s="317" t="s">
        <v>200</v>
      </c>
      <c r="B493" s="312"/>
      <c r="C493" s="312"/>
      <c r="D493" s="312"/>
      <c r="E493" s="311"/>
      <c r="F493" s="312" t="e">
        <f aca="false">VLOOKUP(B493,'[1]detailed model'!a475:C553,3,FALSE())</f>
        <v>#NAME?</v>
      </c>
    </row>
    <row r="494" customFormat="false" ht="17.35" hidden="false" customHeight="false" outlineLevel="0" collapsed="false">
      <c r="A494" s="317" t="s">
        <v>200</v>
      </c>
      <c r="B494" s="312"/>
      <c r="C494" s="312"/>
      <c r="D494" s="312"/>
      <c r="E494" s="311"/>
      <c r="F494" s="312" t="e">
        <f aca="false">VLOOKUP(B494,'[1]detailed model'!a476:C554,3,FALSE())</f>
        <v>#NAME?</v>
      </c>
    </row>
    <row r="495" customFormat="false" ht="17.35" hidden="false" customHeight="false" outlineLevel="0" collapsed="false">
      <c r="A495" s="317" t="s">
        <v>200</v>
      </c>
      <c r="B495" s="312"/>
      <c r="C495" s="312"/>
      <c r="D495" s="312"/>
      <c r="E495" s="311"/>
      <c r="F495" s="312" t="e">
        <f aca="false">VLOOKUP(B495,'[1]detailed model'!a477:C555,3,FALSE())</f>
        <v>#NAME?</v>
      </c>
    </row>
    <row r="496" customFormat="false" ht="17.35" hidden="false" customHeight="false" outlineLevel="0" collapsed="false">
      <c r="A496" s="317" t="s">
        <v>200</v>
      </c>
      <c r="B496" s="312"/>
      <c r="C496" s="312"/>
      <c r="D496" s="312"/>
      <c r="E496" s="311"/>
      <c r="F496" s="312" t="e">
        <f aca="false">VLOOKUP(B496,'[1]detailed model'!a478:C556,3,FALSE())</f>
        <v>#NAME?</v>
      </c>
    </row>
    <row r="497" customFormat="false" ht="17.35" hidden="false" customHeight="false" outlineLevel="0" collapsed="false">
      <c r="A497" s="317" t="s">
        <v>200</v>
      </c>
      <c r="B497" s="312"/>
      <c r="C497" s="312"/>
      <c r="D497" s="312"/>
      <c r="E497" s="311"/>
      <c r="F497" s="312" t="e">
        <f aca="false">VLOOKUP(B497,'[1]detailed model'!a479:C557,3,FALSE())</f>
        <v>#NAME?</v>
      </c>
      <c r="G497" s="328"/>
    </row>
    <row r="498" customFormat="false" ht="17.35" hidden="false" customHeight="false" outlineLevel="0" collapsed="false">
      <c r="A498" s="317" t="s">
        <v>200</v>
      </c>
      <c r="B498" s="312"/>
      <c r="C498" s="312"/>
      <c r="D498" s="312"/>
      <c r="E498" s="311"/>
      <c r="F498" s="312" t="e">
        <f aca="false">VLOOKUP(B498,'[1]detailed model'!a480:C558,3,FALSE())</f>
        <v>#NAME?</v>
      </c>
      <c r="G498" s="328"/>
    </row>
    <row r="499" customFormat="false" ht="17.35" hidden="false" customHeight="false" outlineLevel="0" collapsed="false">
      <c r="A499" s="317" t="s">
        <v>200</v>
      </c>
      <c r="B499" s="312"/>
      <c r="C499" s="312"/>
      <c r="D499" s="312"/>
      <c r="E499" s="311"/>
      <c r="F499" s="312" t="e">
        <f aca="false">VLOOKUP(B499,'[1]detailed model'!a481:C559,3,FALSE())</f>
        <v>#NAME?</v>
      </c>
      <c r="G499" s="328"/>
    </row>
    <row r="500" customFormat="false" ht="17.35" hidden="false" customHeight="false" outlineLevel="0" collapsed="false">
      <c r="A500" s="317" t="s">
        <v>200</v>
      </c>
      <c r="B500" s="312"/>
      <c r="C500" s="312"/>
      <c r="D500" s="312"/>
      <c r="E500" s="311"/>
      <c r="F500" s="312" t="e">
        <f aca="false">VLOOKUP(B500,'[1]detailed model'!a482:C560,3,FALSE())</f>
        <v>#NAME?</v>
      </c>
      <c r="G500" s="328"/>
    </row>
    <row r="501" customFormat="false" ht="17.35" hidden="false" customHeight="false" outlineLevel="0" collapsed="false">
      <c r="A501" s="317" t="s">
        <v>200</v>
      </c>
      <c r="B501" s="312"/>
      <c r="C501" s="312"/>
      <c r="D501" s="312"/>
      <c r="E501" s="311"/>
      <c r="F501" s="312" t="e">
        <f aca="false">VLOOKUP(B501,'[1]detailed model'!a483:C561,3,FALSE())</f>
        <v>#NAME?</v>
      </c>
      <c r="G501" s="328"/>
    </row>
    <row r="502" customFormat="false" ht="17.35" hidden="false" customHeight="false" outlineLevel="0" collapsed="false">
      <c r="A502" s="317" t="s">
        <v>200</v>
      </c>
      <c r="B502" s="312"/>
      <c r="C502" s="312"/>
      <c r="D502" s="312"/>
      <c r="E502" s="311"/>
      <c r="F502" s="312" t="e">
        <f aca="false">VLOOKUP(B502,'[1]detailed model'!a484:C562,3,FALSE())</f>
        <v>#NAME?</v>
      </c>
      <c r="G502" s="328"/>
    </row>
    <row r="503" customFormat="false" ht="17.35" hidden="false" customHeight="false" outlineLevel="0" collapsed="false">
      <c r="A503" s="317" t="s">
        <v>200</v>
      </c>
      <c r="B503" s="312"/>
      <c r="C503" s="312"/>
      <c r="D503" s="312"/>
      <c r="E503" s="311"/>
      <c r="F503" s="312" t="e">
        <f aca="false">VLOOKUP(B503,'[1]detailed model'!a485:C563,3,FALSE())</f>
        <v>#NAME?</v>
      </c>
      <c r="G503" s="328"/>
    </row>
    <row r="504" customFormat="false" ht="17.35" hidden="false" customHeight="false" outlineLevel="0" collapsed="false">
      <c r="A504" s="317" t="s">
        <v>200</v>
      </c>
      <c r="B504" s="312"/>
      <c r="C504" s="312"/>
      <c r="D504" s="312"/>
      <c r="E504" s="311"/>
      <c r="F504" s="312" t="e">
        <f aca="false">VLOOKUP(B504,'[1]detailed model'!a486:C564,3,FALSE())</f>
        <v>#NAME?</v>
      </c>
      <c r="G504" s="328"/>
    </row>
    <row r="505" customFormat="false" ht="17.35" hidden="false" customHeight="false" outlineLevel="0" collapsed="false">
      <c r="A505" s="317" t="s">
        <v>200</v>
      </c>
      <c r="B505" s="312"/>
      <c r="C505" s="312"/>
      <c r="D505" s="312"/>
      <c r="E505" s="311"/>
      <c r="F505" s="312"/>
      <c r="G505" s="328"/>
    </row>
    <row r="506" customFormat="false" ht="17.35" hidden="false" customHeight="false" outlineLevel="0" collapsed="false">
      <c r="A506" s="317" t="s">
        <v>200</v>
      </c>
      <c r="B506" s="312"/>
      <c r="C506" s="312"/>
      <c r="D506" s="312"/>
      <c r="E506" s="311"/>
      <c r="F506" s="312"/>
      <c r="G506" s="328"/>
    </row>
    <row r="507" customFormat="false" ht="17.35" hidden="false" customHeight="false" outlineLevel="0" collapsed="false">
      <c r="A507" s="317" t="s">
        <v>200</v>
      </c>
      <c r="B507" s="312"/>
      <c r="C507" s="312"/>
      <c r="D507" s="312"/>
      <c r="E507" s="311"/>
      <c r="F507" s="312"/>
      <c r="G507" s="328"/>
    </row>
    <row r="508" customFormat="false" ht="17.35" hidden="false" customHeight="false" outlineLevel="0" collapsed="false">
      <c r="A508" s="317" t="s">
        <v>200</v>
      </c>
      <c r="B508" s="312"/>
      <c r="C508" s="312"/>
      <c r="D508" s="312"/>
      <c r="E508" s="311"/>
      <c r="F508" s="312"/>
      <c r="G508" s="328"/>
    </row>
    <row r="509" customFormat="false" ht="17.35" hidden="false" customHeight="false" outlineLevel="0" collapsed="false">
      <c r="A509" s="317" t="s">
        <v>200</v>
      </c>
      <c r="B509" s="312"/>
      <c r="C509" s="312"/>
      <c r="D509" s="312"/>
      <c r="E509" s="311"/>
      <c r="F509" s="312"/>
      <c r="G509" s="328"/>
    </row>
    <row r="510" customFormat="false" ht="17.35" hidden="false" customHeight="false" outlineLevel="0" collapsed="false">
      <c r="A510" s="317" t="s">
        <v>200</v>
      </c>
      <c r="B510" s="312"/>
      <c r="C510" s="312"/>
      <c r="D510" s="312"/>
      <c r="E510" s="311"/>
      <c r="F510" s="312"/>
      <c r="G510" s="328"/>
    </row>
    <row r="511" customFormat="false" ht="17.35" hidden="false" customHeight="false" outlineLevel="0" collapsed="false">
      <c r="A511" s="317" t="s">
        <v>200</v>
      </c>
      <c r="B511" s="312"/>
      <c r="C511" s="312"/>
      <c r="D511" s="312"/>
      <c r="E511" s="311"/>
      <c r="F511" s="312"/>
      <c r="G511" s="328"/>
    </row>
    <row r="512" customFormat="false" ht="17.35" hidden="false" customHeight="false" outlineLevel="0" collapsed="false">
      <c r="A512" s="317" t="s">
        <v>200</v>
      </c>
      <c r="B512" s="312"/>
      <c r="C512" s="312"/>
      <c r="D512" s="312"/>
      <c r="E512" s="311"/>
      <c r="F512" s="312"/>
      <c r="G512" s="328"/>
    </row>
    <row r="513" customFormat="false" ht="17.35" hidden="false" customHeight="false" outlineLevel="0" collapsed="false">
      <c r="A513" s="317" t="s">
        <v>200</v>
      </c>
      <c r="B513" s="312"/>
      <c r="C513" s="312"/>
      <c r="D513" s="312"/>
      <c r="E513" s="311"/>
      <c r="F513" s="312"/>
      <c r="G513" s="328"/>
    </row>
    <row r="514" customFormat="false" ht="17.35" hidden="false" customHeight="false" outlineLevel="0" collapsed="false">
      <c r="A514" s="317" t="s">
        <v>200</v>
      </c>
      <c r="B514" s="312"/>
      <c r="C514" s="312"/>
      <c r="D514" s="312"/>
      <c r="E514" s="311"/>
      <c r="F514" s="312"/>
      <c r="G514" s="328"/>
    </row>
    <row r="515" customFormat="false" ht="17.35" hidden="false" customHeight="false" outlineLevel="0" collapsed="false">
      <c r="A515" s="317" t="s">
        <v>200</v>
      </c>
      <c r="B515" s="312"/>
      <c r="C515" s="312"/>
      <c r="D515" s="312"/>
      <c r="E515" s="311"/>
      <c r="F515" s="312"/>
      <c r="G515" s="328"/>
    </row>
    <row r="516" customFormat="false" ht="17.35" hidden="false" customHeight="false" outlineLevel="0" collapsed="false">
      <c r="A516" s="317" t="s">
        <v>200</v>
      </c>
      <c r="B516" s="312"/>
      <c r="C516" s="312"/>
      <c r="D516" s="312"/>
      <c r="E516" s="311"/>
      <c r="F516" s="312"/>
      <c r="G516" s="328"/>
    </row>
    <row r="517" customFormat="false" ht="17.35" hidden="false" customHeight="false" outlineLevel="0" collapsed="false">
      <c r="A517" s="317" t="s">
        <v>200</v>
      </c>
      <c r="B517" s="312"/>
      <c r="C517" s="312"/>
      <c r="D517" s="312"/>
      <c r="E517" s="311"/>
      <c r="F517" s="312"/>
      <c r="G517" s="328"/>
    </row>
    <row r="518" customFormat="false" ht="17.35" hidden="false" customHeight="false" outlineLevel="0" collapsed="false">
      <c r="A518" s="317" t="s">
        <v>200</v>
      </c>
      <c r="B518" s="312"/>
      <c r="C518" s="312"/>
      <c r="D518" s="312"/>
      <c r="E518" s="311"/>
      <c r="F518" s="312"/>
      <c r="G518" s="328"/>
    </row>
    <row r="519" customFormat="false" ht="17.35" hidden="false" customHeight="false" outlineLevel="0" collapsed="false">
      <c r="A519" s="317" t="s">
        <v>200</v>
      </c>
      <c r="B519" s="312"/>
      <c r="C519" s="312"/>
      <c r="D519" s="312"/>
      <c r="E519" s="311"/>
      <c r="F519" s="312"/>
      <c r="G519" s="328"/>
    </row>
    <row r="520" customFormat="false" ht="17.35" hidden="false" customHeight="false" outlineLevel="0" collapsed="false">
      <c r="A520" s="317" t="s">
        <v>200</v>
      </c>
      <c r="B520" s="312"/>
      <c r="C520" s="312"/>
      <c r="D520" s="312"/>
      <c r="E520" s="311"/>
      <c r="F520" s="312"/>
      <c r="G520" s="328"/>
    </row>
    <row r="521" customFormat="false" ht="17.35" hidden="false" customHeight="false" outlineLevel="0" collapsed="false">
      <c r="A521" s="317" t="s">
        <v>200</v>
      </c>
      <c r="B521" s="312"/>
      <c r="C521" s="312"/>
      <c r="D521" s="312"/>
      <c r="E521" s="311"/>
      <c r="F521" s="312"/>
      <c r="G521" s="328"/>
    </row>
    <row r="522" customFormat="false" ht="17.35" hidden="false" customHeight="false" outlineLevel="0" collapsed="false">
      <c r="A522" s="317" t="s">
        <v>200</v>
      </c>
      <c r="B522" s="312"/>
      <c r="C522" s="312"/>
      <c r="D522" s="312"/>
      <c r="E522" s="311"/>
      <c r="F522" s="312"/>
      <c r="G522" s="328"/>
    </row>
    <row r="523" customFormat="false" ht="17.35" hidden="false" customHeight="false" outlineLevel="0" collapsed="false">
      <c r="A523" s="317" t="s">
        <v>200</v>
      </c>
      <c r="B523" s="312"/>
      <c r="C523" s="312"/>
      <c r="D523" s="312"/>
      <c r="E523" s="311"/>
      <c r="F523" s="312"/>
      <c r="G523" s="328"/>
    </row>
    <row r="524" customFormat="false" ht="17.35" hidden="false" customHeight="false" outlineLevel="0" collapsed="false">
      <c r="A524" s="317" t="s">
        <v>200</v>
      </c>
      <c r="B524" s="312"/>
      <c r="C524" s="312"/>
      <c r="D524" s="312"/>
      <c r="E524" s="311"/>
      <c r="F524" s="312"/>
      <c r="G524" s="328"/>
    </row>
    <row r="525" customFormat="false" ht="17.35" hidden="false" customHeight="false" outlineLevel="0" collapsed="false">
      <c r="A525" s="317" t="s">
        <v>200</v>
      </c>
      <c r="B525" s="312"/>
      <c r="C525" s="312"/>
      <c r="D525" s="312"/>
      <c r="E525" s="311"/>
      <c r="F525" s="312"/>
      <c r="G525" s="328"/>
    </row>
    <row r="526" customFormat="false" ht="17.35" hidden="false" customHeight="false" outlineLevel="0" collapsed="false">
      <c r="A526" s="317" t="s">
        <v>200</v>
      </c>
      <c r="B526" s="312"/>
      <c r="C526" s="312"/>
      <c r="D526" s="312"/>
      <c r="E526" s="311"/>
      <c r="F526" s="312"/>
      <c r="G526" s="328"/>
    </row>
    <row r="527" customFormat="false" ht="17.35" hidden="false" customHeight="false" outlineLevel="0" collapsed="false">
      <c r="A527" s="317" t="s">
        <v>200</v>
      </c>
      <c r="B527" s="312"/>
      <c r="C527" s="312"/>
      <c r="D527" s="312"/>
      <c r="E527" s="311"/>
      <c r="F527" s="312"/>
      <c r="G527" s="328"/>
    </row>
    <row r="528" customFormat="false" ht="17.35" hidden="false" customHeight="false" outlineLevel="0" collapsed="false">
      <c r="A528" s="317" t="s">
        <v>200</v>
      </c>
      <c r="B528" s="312"/>
      <c r="C528" s="312"/>
      <c r="D528" s="312"/>
      <c r="E528" s="311"/>
      <c r="F528" s="312"/>
      <c r="G528" s="328"/>
    </row>
    <row r="529" customFormat="false" ht="17.35" hidden="false" customHeight="false" outlineLevel="0" collapsed="false">
      <c r="A529" s="317" t="s">
        <v>200</v>
      </c>
      <c r="B529" s="312"/>
      <c r="C529" s="312"/>
      <c r="D529" s="312"/>
      <c r="E529" s="311"/>
      <c r="F529" s="312"/>
      <c r="G529" s="328"/>
    </row>
    <row r="530" customFormat="false" ht="17.35" hidden="false" customHeight="false" outlineLevel="0" collapsed="false">
      <c r="A530" s="317" t="s">
        <v>200</v>
      </c>
      <c r="B530" s="312"/>
      <c r="C530" s="312"/>
      <c r="D530" s="312"/>
      <c r="E530" s="311"/>
      <c r="F530" s="312"/>
      <c r="G530" s="328"/>
    </row>
    <row r="531" customFormat="false" ht="17.35" hidden="false" customHeight="false" outlineLevel="0" collapsed="false">
      <c r="A531" s="317" t="s">
        <v>200</v>
      </c>
      <c r="B531" s="312"/>
      <c r="C531" s="312"/>
      <c r="D531" s="312"/>
      <c r="E531" s="311"/>
      <c r="F531" s="312"/>
      <c r="G531" s="328"/>
    </row>
    <row r="532" customFormat="false" ht="17.35" hidden="false" customHeight="false" outlineLevel="0" collapsed="false">
      <c r="A532" s="317" t="s">
        <v>200</v>
      </c>
      <c r="B532" s="312"/>
      <c r="C532" s="312"/>
      <c r="D532" s="312"/>
      <c r="E532" s="311"/>
      <c r="F532" s="312"/>
      <c r="G532" s="328"/>
    </row>
    <row r="533" customFormat="false" ht="17.35" hidden="false" customHeight="false" outlineLevel="0" collapsed="false">
      <c r="A533" s="317" t="s">
        <v>200</v>
      </c>
      <c r="B533" s="312"/>
      <c r="C533" s="312"/>
      <c r="D533" s="312"/>
      <c r="E533" s="311"/>
      <c r="F533" s="312"/>
      <c r="G533" s="328"/>
    </row>
    <row r="534" customFormat="false" ht="17.35" hidden="false" customHeight="false" outlineLevel="0" collapsed="false">
      <c r="A534" s="317" t="s">
        <v>200</v>
      </c>
      <c r="B534" s="312"/>
      <c r="C534" s="312"/>
      <c r="D534" s="312"/>
      <c r="E534" s="311"/>
      <c r="F534" s="312"/>
      <c r="G534" s="328"/>
    </row>
    <row r="535" customFormat="false" ht="17.35" hidden="false" customHeight="false" outlineLevel="0" collapsed="false">
      <c r="A535" s="317" t="s">
        <v>200</v>
      </c>
      <c r="B535" s="312"/>
      <c r="C535" s="312"/>
      <c r="D535" s="312"/>
      <c r="E535" s="311"/>
      <c r="F535" s="312"/>
      <c r="G535" s="328"/>
    </row>
    <row r="536" customFormat="false" ht="17.35" hidden="false" customHeight="false" outlineLevel="0" collapsed="false">
      <c r="A536" s="317" t="s">
        <v>200</v>
      </c>
      <c r="B536" s="312"/>
      <c r="C536" s="312"/>
      <c r="D536" s="312"/>
      <c r="E536" s="311"/>
      <c r="F536" s="312"/>
      <c r="G536" s="328"/>
    </row>
    <row r="537" customFormat="false" ht="17.35" hidden="false" customHeight="false" outlineLevel="0" collapsed="false">
      <c r="A537" s="317" t="s">
        <v>200</v>
      </c>
      <c r="B537" s="312"/>
      <c r="C537" s="312"/>
      <c r="D537" s="312"/>
      <c r="E537" s="311"/>
      <c r="F537" s="312"/>
      <c r="G537" s="328"/>
    </row>
    <row r="538" customFormat="false" ht="17.35" hidden="false" customHeight="false" outlineLevel="0" collapsed="false">
      <c r="A538" s="317" t="s">
        <v>200</v>
      </c>
      <c r="B538" s="312"/>
      <c r="C538" s="312"/>
      <c r="D538" s="312"/>
      <c r="E538" s="311"/>
      <c r="F538" s="312"/>
      <c r="G538" s="328"/>
    </row>
    <row r="539" customFormat="false" ht="17.35" hidden="false" customHeight="false" outlineLevel="0" collapsed="false">
      <c r="A539" s="317" t="s">
        <v>200</v>
      </c>
      <c r="B539" s="312"/>
      <c r="C539" s="312"/>
      <c r="D539" s="312"/>
      <c r="E539" s="311"/>
      <c r="F539" s="312"/>
      <c r="G539" s="328"/>
    </row>
    <row r="540" customFormat="false" ht="17.35" hidden="false" customHeight="false" outlineLevel="0" collapsed="false">
      <c r="A540" s="317" t="s">
        <v>200</v>
      </c>
      <c r="B540" s="312"/>
      <c r="C540" s="312"/>
      <c r="D540" s="312"/>
      <c r="E540" s="311"/>
      <c r="F540" s="312"/>
      <c r="G540" s="328"/>
    </row>
    <row r="541" customFormat="false" ht="17.35" hidden="false" customHeight="false" outlineLevel="0" collapsed="false">
      <c r="A541" s="317" t="s">
        <v>200</v>
      </c>
      <c r="B541" s="312"/>
      <c r="C541" s="312"/>
      <c r="D541" s="312"/>
      <c r="E541" s="311"/>
      <c r="F541" s="312"/>
      <c r="G541" s="328"/>
    </row>
    <row r="542" customFormat="false" ht="17.35" hidden="false" customHeight="false" outlineLevel="0" collapsed="false">
      <c r="A542" s="317" t="s">
        <v>200</v>
      </c>
      <c r="B542" s="312"/>
      <c r="C542" s="312"/>
      <c r="D542" s="312"/>
      <c r="E542" s="311"/>
      <c r="F542" s="312"/>
      <c r="G542" s="328"/>
    </row>
    <row r="543" customFormat="false" ht="17.35" hidden="false" customHeight="false" outlineLevel="0" collapsed="false">
      <c r="A543" s="317" t="s">
        <v>200</v>
      </c>
      <c r="B543" s="312"/>
      <c r="C543" s="312"/>
      <c r="D543" s="312"/>
      <c r="E543" s="311"/>
      <c r="F543" s="312"/>
      <c r="G543" s="328"/>
    </row>
    <row r="544" customFormat="false" ht="17.35" hidden="false" customHeight="false" outlineLevel="0" collapsed="false">
      <c r="A544" s="317" t="s">
        <v>200</v>
      </c>
      <c r="B544" s="312"/>
      <c r="C544" s="312"/>
      <c r="D544" s="312"/>
      <c r="E544" s="311"/>
      <c r="F544" s="312"/>
      <c r="G544" s="328"/>
    </row>
    <row r="545" customFormat="false" ht="17.35" hidden="false" customHeight="false" outlineLevel="0" collapsed="false">
      <c r="A545" s="317" t="s">
        <v>200</v>
      </c>
      <c r="B545" s="312"/>
      <c r="C545" s="312"/>
      <c r="D545" s="312"/>
      <c r="E545" s="311"/>
      <c r="F545" s="312"/>
      <c r="G545" s="328"/>
    </row>
    <row r="546" customFormat="false" ht="17.35" hidden="false" customHeight="false" outlineLevel="0" collapsed="false">
      <c r="A546" s="317" t="s">
        <v>200</v>
      </c>
      <c r="B546" s="312"/>
      <c r="C546" s="312"/>
      <c r="D546" s="312"/>
      <c r="E546" s="311"/>
      <c r="F546" s="312"/>
      <c r="G546" s="328"/>
    </row>
    <row r="547" customFormat="false" ht="17.35" hidden="false" customHeight="false" outlineLevel="0" collapsed="false">
      <c r="A547" s="317" t="s">
        <v>200</v>
      </c>
      <c r="B547" s="312"/>
      <c r="C547" s="312"/>
      <c r="D547" s="312"/>
      <c r="E547" s="311"/>
      <c r="F547" s="312"/>
      <c r="G547" s="328"/>
    </row>
    <row r="548" customFormat="false" ht="17.35" hidden="false" customHeight="false" outlineLevel="0" collapsed="false">
      <c r="A548" s="317" t="s">
        <v>200</v>
      </c>
      <c r="B548" s="312"/>
      <c r="C548" s="312"/>
      <c r="D548" s="312"/>
      <c r="E548" s="311"/>
      <c r="F548" s="312"/>
      <c r="G548" s="328"/>
    </row>
    <row r="549" customFormat="false" ht="17.35" hidden="false" customHeight="false" outlineLevel="0" collapsed="false">
      <c r="A549" s="317" t="s">
        <v>200</v>
      </c>
      <c r="B549" s="312"/>
      <c r="C549" s="312"/>
      <c r="D549" s="312"/>
      <c r="E549" s="311"/>
      <c r="F549" s="312"/>
      <c r="G549" s="328"/>
    </row>
    <row r="550" customFormat="false" ht="17.35" hidden="false" customHeight="false" outlineLevel="0" collapsed="false">
      <c r="A550" s="317" t="s">
        <v>200</v>
      </c>
      <c r="B550" s="312"/>
      <c r="C550" s="312"/>
      <c r="D550" s="312"/>
      <c r="E550" s="311"/>
      <c r="F550" s="312"/>
      <c r="G550" s="328"/>
    </row>
    <row r="551" customFormat="false" ht="17.35" hidden="false" customHeight="false" outlineLevel="0" collapsed="false">
      <c r="A551" s="317" t="s">
        <v>200</v>
      </c>
      <c r="B551" s="312"/>
      <c r="C551" s="312"/>
      <c r="D551" s="312"/>
      <c r="E551" s="311"/>
      <c r="F551" s="312"/>
      <c r="G551" s="328"/>
    </row>
    <row r="552" customFormat="false" ht="17.35" hidden="false" customHeight="false" outlineLevel="0" collapsed="false">
      <c r="A552" s="317" t="s">
        <v>200</v>
      </c>
      <c r="B552" s="312"/>
      <c r="C552" s="312"/>
      <c r="D552" s="312"/>
      <c r="E552" s="311"/>
      <c r="F552" s="312"/>
      <c r="G552" s="328"/>
    </row>
    <row r="553" customFormat="false" ht="17.35" hidden="false" customHeight="false" outlineLevel="0" collapsed="false">
      <c r="A553" s="317" t="s">
        <v>200</v>
      </c>
      <c r="B553" s="312"/>
      <c r="C553" s="312"/>
      <c r="D553" s="312"/>
      <c r="E553" s="311"/>
      <c r="F553" s="312"/>
      <c r="G553" s="328"/>
    </row>
    <row r="554" customFormat="false" ht="17.35" hidden="false" customHeight="false" outlineLevel="0" collapsed="false">
      <c r="A554" s="317" t="s">
        <v>200</v>
      </c>
      <c r="B554" s="312"/>
      <c r="C554" s="312"/>
      <c r="D554" s="312"/>
      <c r="E554" s="311"/>
      <c r="F554" s="312"/>
      <c r="G554" s="328"/>
    </row>
    <row r="555" customFormat="false" ht="17.35" hidden="false" customHeight="false" outlineLevel="0" collapsed="false">
      <c r="A555" s="317" t="s">
        <v>200</v>
      </c>
      <c r="B555" s="312"/>
      <c r="C555" s="312"/>
      <c r="D555" s="312"/>
      <c r="E555" s="311"/>
      <c r="F555" s="312"/>
      <c r="G555" s="328"/>
    </row>
    <row r="556" customFormat="false" ht="17.35" hidden="false" customHeight="false" outlineLevel="0" collapsed="false">
      <c r="A556" s="317" t="s">
        <v>200</v>
      </c>
      <c r="B556" s="312"/>
      <c r="C556" s="312"/>
      <c r="D556" s="312"/>
      <c r="E556" s="311"/>
      <c r="F556" s="312"/>
      <c r="G556" s="328"/>
    </row>
    <row r="557" customFormat="false" ht="17.35" hidden="false" customHeight="false" outlineLevel="0" collapsed="false">
      <c r="A557" s="317" t="s">
        <v>200</v>
      </c>
      <c r="B557" s="312"/>
      <c r="C557" s="312"/>
      <c r="D557" s="312"/>
      <c r="E557" s="311"/>
      <c r="F557" s="312"/>
      <c r="G557" s="328"/>
    </row>
    <row r="558" customFormat="false" ht="17.35" hidden="false" customHeight="false" outlineLevel="0" collapsed="false">
      <c r="A558" s="317" t="s">
        <v>200</v>
      </c>
      <c r="B558" s="312"/>
      <c r="C558" s="312"/>
      <c r="D558" s="312"/>
      <c r="E558" s="311"/>
      <c r="F558" s="312"/>
      <c r="G558" s="328"/>
    </row>
    <row r="559" customFormat="false" ht="17.35" hidden="false" customHeight="false" outlineLevel="0" collapsed="false">
      <c r="A559" s="317" t="s">
        <v>200</v>
      </c>
      <c r="B559" s="312"/>
      <c r="C559" s="312"/>
      <c r="D559" s="312"/>
      <c r="E559" s="311"/>
      <c r="F559" s="312"/>
      <c r="G559" s="328"/>
    </row>
    <row r="560" customFormat="false" ht="17.35" hidden="false" customHeight="false" outlineLevel="0" collapsed="false">
      <c r="A560" s="317" t="s">
        <v>200</v>
      </c>
      <c r="B560" s="312"/>
      <c r="C560" s="312"/>
      <c r="D560" s="312"/>
      <c r="E560" s="311"/>
      <c r="F560" s="312"/>
      <c r="G560" s="328"/>
    </row>
    <row r="561" customFormat="false" ht="17.35" hidden="false" customHeight="false" outlineLevel="0" collapsed="false">
      <c r="A561" s="317" t="s">
        <v>200</v>
      </c>
      <c r="B561" s="312"/>
      <c r="C561" s="312"/>
      <c r="D561" s="312"/>
      <c r="E561" s="311"/>
      <c r="F561" s="312"/>
      <c r="G561" s="328"/>
    </row>
    <row r="562" customFormat="false" ht="17.35" hidden="false" customHeight="false" outlineLevel="0" collapsed="false">
      <c r="A562" s="317" t="s">
        <v>200</v>
      </c>
      <c r="B562" s="312"/>
      <c r="C562" s="312"/>
      <c r="D562" s="312"/>
      <c r="E562" s="311"/>
      <c r="F562" s="312"/>
      <c r="G562" s="328"/>
    </row>
    <row r="563" customFormat="false" ht="17.35" hidden="false" customHeight="false" outlineLevel="0" collapsed="false">
      <c r="A563" s="317" t="s">
        <v>200</v>
      </c>
      <c r="B563" s="312"/>
      <c r="C563" s="312"/>
      <c r="D563" s="312"/>
      <c r="E563" s="311"/>
      <c r="F563" s="312"/>
      <c r="G563" s="328"/>
    </row>
    <row r="564" customFormat="false" ht="17.35" hidden="false" customHeight="false" outlineLevel="0" collapsed="false">
      <c r="A564" s="317" t="s">
        <v>200</v>
      </c>
      <c r="B564" s="312"/>
      <c r="C564" s="312"/>
      <c r="D564" s="312"/>
      <c r="E564" s="311"/>
      <c r="F564" s="312"/>
      <c r="G564" s="328"/>
    </row>
    <row r="565" customFormat="false" ht="17.35" hidden="false" customHeight="false" outlineLevel="0" collapsed="false">
      <c r="A565" s="317" t="s">
        <v>200</v>
      </c>
      <c r="B565" s="312"/>
      <c r="C565" s="312"/>
      <c r="D565" s="312"/>
      <c r="E565" s="311"/>
      <c r="F565" s="312"/>
      <c r="G565" s="328"/>
    </row>
    <row r="566" customFormat="false" ht="17.35" hidden="false" customHeight="false" outlineLevel="0" collapsed="false">
      <c r="A566" s="317" t="s">
        <v>200</v>
      </c>
      <c r="B566" s="312"/>
      <c r="C566" s="312"/>
      <c r="D566" s="312"/>
      <c r="E566" s="311"/>
      <c r="F566" s="312"/>
      <c r="G566" s="328"/>
    </row>
    <row r="567" customFormat="false" ht="17.35" hidden="false" customHeight="false" outlineLevel="0" collapsed="false">
      <c r="A567" s="317" t="s">
        <v>200</v>
      </c>
      <c r="B567" s="312"/>
      <c r="C567" s="312"/>
      <c r="D567" s="312"/>
      <c r="E567" s="311"/>
      <c r="F567" s="312"/>
      <c r="G567" s="328"/>
    </row>
    <row r="568" customFormat="false" ht="17.35" hidden="false" customHeight="false" outlineLevel="0" collapsed="false">
      <c r="A568" s="317" t="s">
        <v>200</v>
      </c>
      <c r="B568" s="312"/>
      <c r="C568" s="312"/>
      <c r="D568" s="312"/>
      <c r="E568" s="311"/>
      <c r="F568" s="312"/>
      <c r="G568" s="328"/>
    </row>
    <row r="569" customFormat="false" ht="17.35" hidden="false" customHeight="false" outlineLevel="0" collapsed="false">
      <c r="A569" s="317" t="s">
        <v>200</v>
      </c>
      <c r="B569" s="312"/>
      <c r="C569" s="312"/>
      <c r="D569" s="312"/>
      <c r="E569" s="311"/>
      <c r="F569" s="312"/>
      <c r="G569" s="328"/>
    </row>
    <row r="570" customFormat="false" ht="17.35" hidden="false" customHeight="false" outlineLevel="0" collapsed="false">
      <c r="A570" s="317" t="s">
        <v>200</v>
      </c>
      <c r="B570" s="312"/>
      <c r="C570" s="312"/>
      <c r="D570" s="312"/>
      <c r="E570" s="311"/>
      <c r="F570" s="312"/>
      <c r="G570" s="328"/>
    </row>
    <row r="571" customFormat="false" ht="17.35" hidden="false" customHeight="false" outlineLevel="0" collapsed="false">
      <c r="A571" s="317" t="s">
        <v>200</v>
      </c>
      <c r="B571" s="312"/>
      <c r="C571" s="312"/>
      <c r="D571" s="312"/>
      <c r="E571" s="311"/>
      <c r="F571" s="312"/>
      <c r="G571" s="328"/>
    </row>
    <row r="572" customFormat="false" ht="17.35" hidden="false" customHeight="false" outlineLevel="0" collapsed="false">
      <c r="A572" s="317" t="s">
        <v>200</v>
      </c>
      <c r="B572" s="312"/>
      <c r="C572" s="312"/>
      <c r="D572" s="312"/>
      <c r="E572" s="311"/>
      <c r="F572" s="312"/>
      <c r="G572" s="328"/>
    </row>
    <row r="573" customFormat="false" ht="17.35" hidden="false" customHeight="false" outlineLevel="0" collapsed="false">
      <c r="A573" s="317" t="s">
        <v>200</v>
      </c>
      <c r="B573" s="312"/>
      <c r="C573" s="312"/>
      <c r="D573" s="312"/>
      <c r="E573" s="311"/>
      <c r="F573" s="312"/>
      <c r="G573" s="328"/>
    </row>
    <row r="574" customFormat="false" ht="17.35" hidden="false" customHeight="false" outlineLevel="0" collapsed="false">
      <c r="A574" s="317" t="s">
        <v>200</v>
      </c>
      <c r="B574" s="312"/>
      <c r="C574" s="312"/>
      <c r="D574" s="312"/>
      <c r="E574" s="311"/>
      <c r="F574" s="312"/>
      <c r="G574" s="328"/>
    </row>
    <row r="575" customFormat="false" ht="17.35" hidden="false" customHeight="false" outlineLevel="0" collapsed="false">
      <c r="A575" s="308" t="str">
        <f aca="false">IFERROR(TRIM(VLOOKUP(UPPER(D573),table_lookups,2,FALSE())),IF(ROW()&gt;2,A574,""))</f>
        <v>EXPENSES</v>
      </c>
      <c r="B575" s="312"/>
      <c r="C575" s="312"/>
      <c r="D575" s="312"/>
      <c r="E575" s="311"/>
      <c r="F575" s="312"/>
      <c r="G575" s="328"/>
    </row>
    <row r="576" customFormat="false" ht="17.35" hidden="false" customHeight="false" outlineLevel="0" collapsed="false">
      <c r="A576" s="308" t="str">
        <f aca="false">IFERROR(TRIM(VLOOKUP(UPPER(D574),table_lookups,2,FALSE())),IF(ROW()&gt;2,A575,""))</f>
        <v>EXPENSES</v>
      </c>
      <c r="B576" s="312"/>
      <c r="C576" s="312"/>
      <c r="D576" s="312"/>
      <c r="E576" s="311"/>
      <c r="F576" s="312"/>
      <c r="G576" s="328"/>
    </row>
    <row r="577" customFormat="false" ht="17.35" hidden="false" customHeight="false" outlineLevel="0" collapsed="false">
      <c r="A577" s="308" t="str">
        <f aca="false">IFERROR(TRIM(VLOOKUP(UPPER(D575),table_lookups,2,FALSE())),IF(ROW()&gt;2,A576,""))</f>
        <v>EXPENSES</v>
      </c>
      <c r="B577" s="312"/>
      <c r="C577" s="312"/>
      <c r="D577" s="312"/>
      <c r="E577" s="311"/>
      <c r="F577" s="312"/>
      <c r="G577" s="328"/>
    </row>
    <row r="578" customFormat="false" ht="17.35" hidden="false" customHeight="false" outlineLevel="0" collapsed="false">
      <c r="A578" s="308" t="str">
        <f aca="false">IFERROR(TRIM(VLOOKUP(UPPER(D576),table_lookups,2,FALSE())),IF(ROW()&gt;2,A577,""))</f>
        <v>EXPENSES</v>
      </c>
      <c r="B578" s="312"/>
      <c r="C578" s="312"/>
      <c r="D578" s="312"/>
      <c r="E578" s="311"/>
      <c r="F578" s="312"/>
      <c r="G578" s="328"/>
    </row>
    <row r="579" customFormat="false" ht="17.35" hidden="false" customHeight="false" outlineLevel="0" collapsed="false">
      <c r="A579" s="308" t="str">
        <f aca="false">IFERROR(TRIM(VLOOKUP(UPPER(D577),table_lookups,2,FALSE())),IF(ROW()&gt;2,A578,""))</f>
        <v>EXPENSES</v>
      </c>
      <c r="B579" s="312"/>
      <c r="C579" s="312"/>
      <c r="D579" s="312"/>
      <c r="E579" s="311"/>
      <c r="F579" s="312"/>
      <c r="G579" s="328"/>
    </row>
    <row r="580" customFormat="false" ht="17.35" hidden="false" customHeight="false" outlineLevel="0" collapsed="false">
      <c r="A580" s="308" t="str">
        <f aca="false">IFERROR(TRIM(VLOOKUP(UPPER(D578),table_lookups,2,FALSE())),IF(ROW()&gt;2,A579,""))</f>
        <v>EXPENSES</v>
      </c>
      <c r="B580" s="312"/>
      <c r="C580" s="312"/>
      <c r="D580" s="312"/>
      <c r="E580" s="311"/>
      <c r="F580" s="312"/>
      <c r="G580" s="328"/>
    </row>
    <row r="581" customFormat="false" ht="17.35" hidden="false" customHeight="false" outlineLevel="0" collapsed="false">
      <c r="A581" s="308" t="str">
        <f aca="false">IFERROR(TRIM(VLOOKUP(UPPER(D579),table_lookups,2,FALSE())),IF(ROW()&gt;2,A580,""))</f>
        <v>EXPENSES</v>
      </c>
      <c r="B581" s="312"/>
      <c r="C581" s="312"/>
      <c r="D581" s="312"/>
      <c r="E581" s="311"/>
      <c r="F581" s="312"/>
      <c r="G581" s="328"/>
    </row>
    <row r="582" customFormat="false" ht="17.35" hidden="false" customHeight="false" outlineLevel="0" collapsed="false">
      <c r="A582" s="308" t="str">
        <f aca="false">IFERROR(TRIM(VLOOKUP(UPPER(D580),table_lookups,2,FALSE())),IF(ROW()&gt;2,A581,""))</f>
        <v>EXPENSES</v>
      </c>
      <c r="B582" s="312"/>
      <c r="C582" s="312"/>
      <c r="D582" s="312"/>
      <c r="E582" s="311"/>
      <c r="F582" s="312"/>
      <c r="G582" s="328"/>
    </row>
    <row r="583" customFormat="false" ht="17.35" hidden="false" customHeight="false" outlineLevel="0" collapsed="false">
      <c r="A583" s="308" t="str">
        <f aca="false">IFERROR(TRIM(VLOOKUP(UPPER(D581),table_lookups,2,FALSE())),IF(ROW()&gt;2,A582,""))</f>
        <v>EXPENSES</v>
      </c>
      <c r="B583" s="312"/>
      <c r="C583" s="312"/>
      <c r="D583" s="312"/>
      <c r="E583" s="311"/>
      <c r="F583" s="312"/>
      <c r="G583" s="328"/>
    </row>
    <row r="584" customFormat="false" ht="17.35" hidden="false" customHeight="false" outlineLevel="0" collapsed="false">
      <c r="A584" s="308" t="str">
        <f aca="false">IFERROR(TRIM(VLOOKUP(UPPER(D582),table_lookups,2,FALSE())),IF(ROW()&gt;2,A583,""))</f>
        <v>EXPENSES</v>
      </c>
      <c r="B584" s="312"/>
      <c r="C584" s="312"/>
      <c r="D584" s="312"/>
      <c r="E584" s="311"/>
      <c r="F584" s="312"/>
      <c r="G584" s="328"/>
    </row>
    <row r="585" customFormat="false" ht="17.35" hidden="false" customHeight="false" outlineLevel="0" collapsed="false">
      <c r="A585" s="308" t="str">
        <f aca="false">IFERROR(TRIM(VLOOKUP(UPPER(D583),table_lookups,2,FALSE())),IF(ROW()&gt;2,A584,""))</f>
        <v>EXPENSES</v>
      </c>
      <c r="B585" s="312"/>
      <c r="C585" s="312"/>
      <c r="D585" s="312"/>
      <c r="E585" s="311"/>
      <c r="F585" s="312"/>
      <c r="G585" s="328"/>
    </row>
    <row r="586" customFormat="false" ht="17.35" hidden="false" customHeight="false" outlineLevel="0" collapsed="false">
      <c r="A586" s="308" t="str">
        <f aca="false">IFERROR(TRIM(VLOOKUP(UPPER(D584),table_lookups,2,FALSE())),IF(ROW()&gt;2,A585,""))</f>
        <v>EXPENSES</v>
      </c>
      <c r="B586" s="312"/>
      <c r="C586" s="312"/>
      <c r="D586" s="312"/>
      <c r="E586" s="311"/>
      <c r="F586" s="312"/>
      <c r="G586" s="328"/>
    </row>
    <row r="587" customFormat="false" ht="17.35" hidden="false" customHeight="false" outlineLevel="0" collapsed="false">
      <c r="A587" s="308" t="str">
        <f aca="false">IFERROR(TRIM(VLOOKUP(UPPER(D585),table_lookups,2,FALSE())),IF(ROW()&gt;2,A586,""))</f>
        <v>EXPENSES</v>
      </c>
      <c r="B587" s="312"/>
      <c r="C587" s="312"/>
      <c r="D587" s="312"/>
      <c r="E587" s="311"/>
      <c r="F587" s="312"/>
      <c r="G587" s="328"/>
    </row>
    <row r="588" customFormat="false" ht="17.35" hidden="false" customHeight="false" outlineLevel="0" collapsed="false">
      <c r="A588" s="308" t="str">
        <f aca="false">IFERROR(TRIM(VLOOKUP(UPPER(D586),table_lookups,2,FALSE())),IF(ROW()&gt;2,A587,""))</f>
        <v>EXPENSES</v>
      </c>
      <c r="B588" s="312"/>
      <c r="C588" s="312"/>
      <c r="D588" s="312"/>
      <c r="E588" s="311"/>
      <c r="F588" s="312"/>
      <c r="G588" s="328"/>
    </row>
    <row r="589" customFormat="false" ht="17.35" hidden="false" customHeight="false" outlineLevel="0" collapsed="false">
      <c r="A589" s="308" t="str">
        <f aca="false">IFERROR(TRIM(VLOOKUP(UPPER(D587),table_lookups,2,FALSE())),IF(ROW()&gt;2,A588,""))</f>
        <v>EXPENSES</v>
      </c>
      <c r="B589" s="312"/>
      <c r="C589" s="312"/>
      <c r="D589" s="312"/>
      <c r="E589" s="311"/>
      <c r="F589" s="312"/>
      <c r="G589" s="328"/>
    </row>
    <row r="590" customFormat="false" ht="17.35" hidden="false" customHeight="false" outlineLevel="0" collapsed="false">
      <c r="A590" s="308" t="str">
        <f aca="false">IFERROR(TRIM(VLOOKUP(UPPER(D588),table_lookups,2,FALSE())),IF(ROW()&gt;2,A589,""))</f>
        <v>EXPENSES</v>
      </c>
      <c r="B590" s="312"/>
      <c r="C590" s="312"/>
      <c r="D590" s="312"/>
      <c r="E590" s="311"/>
      <c r="F590" s="312"/>
      <c r="G590" s="328"/>
    </row>
    <row r="591" customFormat="false" ht="17.35" hidden="false" customHeight="false" outlineLevel="0" collapsed="false">
      <c r="A591" s="308" t="str">
        <f aca="false">IFERROR(TRIM(VLOOKUP(UPPER(D589),table_lookups,2,FALSE())),IF(ROW()&gt;2,A590,""))</f>
        <v>EXPENSES</v>
      </c>
      <c r="B591" s="312"/>
      <c r="C591" s="312"/>
      <c r="D591" s="312"/>
      <c r="E591" s="311"/>
      <c r="F591" s="312"/>
      <c r="G591" s="328"/>
    </row>
    <row r="592" customFormat="false" ht="17.35" hidden="false" customHeight="false" outlineLevel="0" collapsed="false">
      <c r="A592" s="308" t="str">
        <f aca="false">IFERROR(TRIM(VLOOKUP(UPPER(D590),table_lookups,2,FALSE())),IF(ROW()&gt;2,A591,""))</f>
        <v>EXPENSES</v>
      </c>
      <c r="B592" s="312"/>
      <c r="C592" s="312"/>
      <c r="D592" s="312"/>
      <c r="E592" s="311"/>
      <c r="F592" s="312"/>
      <c r="G592" s="328"/>
    </row>
    <row r="593" customFormat="false" ht="17.35" hidden="false" customHeight="false" outlineLevel="0" collapsed="false">
      <c r="A593" s="308" t="str">
        <f aca="false">IFERROR(TRIM(VLOOKUP(UPPER(D591),table_lookups,2,FALSE())),IF(ROW()&gt;2,A592,""))</f>
        <v>EXPENSES</v>
      </c>
      <c r="B593" s="312"/>
      <c r="C593" s="312"/>
      <c r="D593" s="312"/>
      <c r="E593" s="311"/>
      <c r="F593" s="312"/>
      <c r="G593" s="328"/>
    </row>
    <row r="594" customFormat="false" ht="17.35" hidden="false" customHeight="false" outlineLevel="0" collapsed="false">
      <c r="A594" s="308" t="str">
        <f aca="false">IFERROR(TRIM(VLOOKUP(UPPER(D592),table_lookups,2,FALSE())),IF(ROW()&gt;2,A593,""))</f>
        <v>EXPENSES</v>
      </c>
      <c r="B594" s="312"/>
      <c r="C594" s="312"/>
      <c r="D594" s="312"/>
      <c r="E594" s="311"/>
      <c r="F594" s="312"/>
      <c r="G594" s="328"/>
    </row>
    <row r="595" customFormat="false" ht="17.35" hidden="false" customHeight="false" outlineLevel="0" collapsed="false">
      <c r="A595" s="308" t="str">
        <f aca="false">IFERROR(TRIM(VLOOKUP(UPPER(D593),table_lookups,2,FALSE())),IF(ROW()&gt;2,A594,""))</f>
        <v>EXPENSES</v>
      </c>
      <c r="B595" s="312"/>
      <c r="C595" s="312"/>
      <c r="D595" s="312"/>
      <c r="E595" s="311"/>
      <c r="F595" s="312"/>
      <c r="G595" s="328"/>
    </row>
    <row r="596" customFormat="false" ht="17.35" hidden="false" customHeight="false" outlineLevel="0" collapsed="false">
      <c r="A596" s="308" t="str">
        <f aca="false">IFERROR(TRIM(VLOOKUP(UPPER(D594),table_lookups,2,FALSE())),IF(ROW()&gt;2,A595,""))</f>
        <v>EXPENSES</v>
      </c>
      <c r="B596" s="312"/>
      <c r="C596" s="312"/>
      <c r="D596" s="312"/>
      <c r="E596" s="311"/>
      <c r="F596" s="312"/>
      <c r="G596" s="328"/>
    </row>
    <row r="597" customFormat="false" ht="17.35" hidden="false" customHeight="false" outlineLevel="0" collapsed="false">
      <c r="A597" s="308" t="str">
        <f aca="false">IFERROR(TRIM(VLOOKUP(UPPER(D595),table_lookups,2,FALSE())),IF(ROW()&gt;2,A596,""))</f>
        <v>EXPENSES</v>
      </c>
      <c r="B597" s="312"/>
      <c r="C597" s="312"/>
      <c r="D597" s="312"/>
      <c r="E597" s="311"/>
      <c r="F597" s="312"/>
      <c r="G597" s="328"/>
    </row>
    <row r="598" customFormat="false" ht="17.35" hidden="false" customHeight="false" outlineLevel="0" collapsed="false">
      <c r="A598" s="308" t="str">
        <f aca="false">IFERROR(TRIM(VLOOKUP(UPPER(D596),table_lookups,2,FALSE())),IF(ROW()&gt;2,A597,""))</f>
        <v>EXPENSES</v>
      </c>
      <c r="B598" s="312"/>
      <c r="C598" s="312"/>
      <c r="D598" s="312"/>
      <c r="E598" s="311"/>
      <c r="F598" s="312"/>
      <c r="G598" s="328"/>
    </row>
    <row r="599" customFormat="false" ht="17.35" hidden="false" customHeight="false" outlineLevel="0" collapsed="false">
      <c r="A599" s="308" t="str">
        <f aca="false">IFERROR(TRIM(VLOOKUP(UPPER(D597),table_lookups,2,FALSE())),IF(ROW()&gt;2,A598,""))</f>
        <v>EXPENSES</v>
      </c>
      <c r="B599" s="312"/>
      <c r="C599" s="312"/>
      <c r="D599" s="312"/>
      <c r="E599" s="311"/>
      <c r="F599" s="312"/>
      <c r="G599" s="328"/>
    </row>
    <row r="600" customFormat="false" ht="17.35" hidden="false" customHeight="false" outlineLevel="0" collapsed="false">
      <c r="A600" s="308" t="str">
        <f aca="false">IFERROR(TRIM(VLOOKUP(UPPER(D598),table_lookups,2,FALSE())),IF(ROW()&gt;2,A599,""))</f>
        <v>EXPENSES</v>
      </c>
      <c r="B600" s="312"/>
      <c r="C600" s="312"/>
      <c r="D600" s="312"/>
      <c r="E600" s="311"/>
      <c r="F600" s="312"/>
      <c r="G600" s="328"/>
    </row>
    <row r="601" customFormat="false" ht="17.35" hidden="false" customHeight="false" outlineLevel="0" collapsed="false">
      <c r="A601" s="308" t="str">
        <f aca="false">IFERROR(TRIM(VLOOKUP(UPPER(D599),table_lookups,2,FALSE())),IF(ROW()&gt;2,A600,""))</f>
        <v>EXPENSES</v>
      </c>
      <c r="B601" s="312"/>
      <c r="C601" s="312"/>
      <c r="D601" s="312"/>
      <c r="E601" s="311"/>
      <c r="F601" s="312"/>
      <c r="G601" s="328"/>
    </row>
    <row r="602" customFormat="false" ht="17.35" hidden="false" customHeight="false" outlineLevel="0" collapsed="false">
      <c r="A602" s="308" t="str">
        <f aca="false">IFERROR(TRIM(VLOOKUP(UPPER(D600),table_lookups,2,FALSE())),IF(ROW()&gt;2,A601,""))</f>
        <v>EXPENSES</v>
      </c>
      <c r="B602" s="312"/>
      <c r="C602" s="312"/>
      <c r="D602" s="312"/>
      <c r="E602" s="311"/>
      <c r="F602" s="312"/>
      <c r="G602" s="328"/>
    </row>
    <row r="603" customFormat="false" ht="17.35" hidden="false" customHeight="false" outlineLevel="0" collapsed="false">
      <c r="A603" s="308" t="str">
        <f aca="false">IFERROR(TRIM(VLOOKUP(UPPER(D601),table_lookups,2,FALSE())),IF(ROW()&gt;2,A602,""))</f>
        <v>EXPENSES</v>
      </c>
      <c r="B603" s="312"/>
      <c r="C603" s="312"/>
      <c r="D603" s="312"/>
      <c r="E603" s="311"/>
      <c r="F603" s="312"/>
      <c r="G603" s="328"/>
    </row>
    <row r="604" customFormat="false" ht="17.35" hidden="false" customHeight="false" outlineLevel="0" collapsed="false">
      <c r="A604" s="308" t="str">
        <f aca="false">IFERROR(TRIM(VLOOKUP(UPPER(D602),table_lookups,2,FALSE())),IF(ROW()&gt;2,A603,""))</f>
        <v>EXPENSES</v>
      </c>
      <c r="B604" s="312"/>
      <c r="C604" s="312"/>
      <c r="D604" s="312"/>
      <c r="E604" s="311"/>
      <c r="F604" s="312"/>
      <c r="G604" s="328"/>
    </row>
    <row r="605" customFormat="false" ht="17.35" hidden="false" customHeight="false" outlineLevel="0" collapsed="false">
      <c r="A605" s="308" t="str">
        <f aca="false">IFERROR(TRIM(VLOOKUP(UPPER(D603),table_lookups,2,FALSE())),IF(ROW()&gt;2,A604,""))</f>
        <v>EXPENSES</v>
      </c>
      <c r="B605" s="312"/>
      <c r="C605" s="312"/>
      <c r="D605" s="312"/>
      <c r="E605" s="311"/>
      <c r="F605" s="312"/>
      <c r="G605" s="328"/>
    </row>
    <row r="606" customFormat="false" ht="17.35" hidden="false" customHeight="false" outlineLevel="0" collapsed="false">
      <c r="A606" s="308" t="str">
        <f aca="false">IFERROR(TRIM(VLOOKUP(UPPER(D604),table_lookups,2,FALSE())),IF(ROW()&gt;2,A605,""))</f>
        <v>EXPENSES</v>
      </c>
      <c r="B606" s="312"/>
      <c r="C606" s="312"/>
      <c r="D606" s="312"/>
      <c r="E606" s="311"/>
      <c r="F606" s="312"/>
      <c r="G606" s="328"/>
    </row>
    <row r="607" customFormat="false" ht="17.35" hidden="false" customHeight="false" outlineLevel="0" collapsed="false">
      <c r="A607" s="308" t="str">
        <f aca="false">IFERROR(TRIM(VLOOKUP(UPPER(D605),table_lookups,2,FALSE())),IF(ROW()&gt;2,A606,""))</f>
        <v>EXPENSES</v>
      </c>
      <c r="B607" s="312"/>
      <c r="C607" s="312"/>
      <c r="D607" s="312"/>
      <c r="E607" s="311"/>
      <c r="F607" s="312"/>
      <c r="G607" s="328"/>
    </row>
    <row r="608" customFormat="false" ht="17.35" hidden="false" customHeight="false" outlineLevel="0" collapsed="false">
      <c r="A608" s="308" t="str">
        <f aca="false">IFERROR(TRIM(VLOOKUP(UPPER(D606),table_lookups,2,FALSE())),IF(ROW()&gt;2,A607,""))</f>
        <v>EXPENSES</v>
      </c>
      <c r="B608" s="312"/>
      <c r="C608" s="312"/>
      <c r="D608" s="312"/>
      <c r="E608" s="311"/>
      <c r="F608" s="312"/>
      <c r="G608" s="328"/>
    </row>
    <row r="609" customFormat="false" ht="17.35" hidden="false" customHeight="false" outlineLevel="0" collapsed="false">
      <c r="A609" s="308" t="str">
        <f aca="false">IFERROR(TRIM(VLOOKUP(UPPER(D607),table_lookups,2,FALSE())),IF(ROW()&gt;2,A608,""))</f>
        <v>EXPENSES</v>
      </c>
      <c r="B609" s="312"/>
      <c r="C609" s="312"/>
      <c r="D609" s="312"/>
      <c r="E609" s="311"/>
      <c r="F609" s="312"/>
      <c r="G609" s="328"/>
    </row>
    <row r="610" customFormat="false" ht="17.35" hidden="false" customHeight="false" outlineLevel="0" collapsed="false">
      <c r="A610" s="308" t="str">
        <f aca="false">IFERROR(TRIM(VLOOKUP(UPPER(D608),table_lookups,2,FALSE())),IF(ROW()&gt;2,A609,""))</f>
        <v>EXPENSES</v>
      </c>
      <c r="B610" s="312"/>
      <c r="C610" s="312"/>
      <c r="D610" s="312"/>
      <c r="E610" s="311"/>
      <c r="F610" s="312"/>
      <c r="G610" s="328"/>
    </row>
    <row r="611" customFormat="false" ht="17.35" hidden="false" customHeight="false" outlineLevel="0" collapsed="false">
      <c r="A611" s="308" t="str">
        <f aca="false">IFERROR(TRIM(VLOOKUP(UPPER(D609),table_lookups,2,FALSE())),IF(ROW()&gt;2,A610,""))</f>
        <v>EXPENSES</v>
      </c>
      <c r="B611" s="312"/>
      <c r="C611" s="312"/>
      <c r="D611" s="312"/>
      <c r="E611" s="311"/>
      <c r="F611" s="312"/>
      <c r="G611" s="328"/>
    </row>
    <row r="612" customFormat="false" ht="17.35" hidden="false" customHeight="false" outlineLevel="0" collapsed="false">
      <c r="A612" s="308" t="str">
        <f aca="false">IFERROR(TRIM(VLOOKUP(UPPER(D610),table_lookups,2,FALSE())),IF(ROW()&gt;2,A611,""))</f>
        <v>EXPENSES</v>
      </c>
      <c r="B612" s="312"/>
      <c r="C612" s="312"/>
      <c r="D612" s="312"/>
      <c r="E612" s="311"/>
      <c r="F612" s="312"/>
      <c r="G612" s="328"/>
    </row>
    <row r="613" customFormat="false" ht="17.35" hidden="false" customHeight="false" outlineLevel="0" collapsed="false">
      <c r="A613" s="308" t="str">
        <f aca="false">IFERROR(TRIM(VLOOKUP(UPPER(D611),table_lookups,2,FALSE())),IF(ROW()&gt;2,A612,""))</f>
        <v>EXPENSES</v>
      </c>
      <c r="B613" s="312"/>
      <c r="C613" s="312"/>
      <c r="D613" s="312"/>
      <c r="E613" s="311"/>
      <c r="F613" s="312"/>
      <c r="G613" s="328"/>
    </row>
    <row r="614" customFormat="false" ht="17.35" hidden="false" customHeight="false" outlineLevel="0" collapsed="false">
      <c r="A614" s="308" t="str">
        <f aca="false">IFERROR(TRIM(VLOOKUP(UPPER(D612),table_lookups,2,FALSE())),IF(ROW()&gt;2,A613,""))</f>
        <v>EXPENSES</v>
      </c>
      <c r="B614" s="312"/>
      <c r="C614" s="312"/>
      <c r="D614" s="312"/>
      <c r="E614" s="311"/>
      <c r="F614" s="312"/>
      <c r="G614" s="328"/>
    </row>
    <row r="615" customFormat="false" ht="17.35" hidden="false" customHeight="false" outlineLevel="0" collapsed="false">
      <c r="A615" s="308" t="str">
        <f aca="false">IFERROR(TRIM(VLOOKUP(UPPER(D613),table_lookups,2,FALSE())),IF(ROW()&gt;2,A614,""))</f>
        <v>EXPENSES</v>
      </c>
      <c r="B615" s="312"/>
      <c r="C615" s="312"/>
      <c r="D615" s="312"/>
      <c r="E615" s="311"/>
      <c r="F615" s="312"/>
      <c r="G615" s="328"/>
    </row>
    <row r="616" customFormat="false" ht="17.35" hidden="false" customHeight="false" outlineLevel="0" collapsed="false">
      <c r="A616" s="308" t="str">
        <f aca="false">IFERROR(TRIM(VLOOKUP(UPPER(D614),table_lookups,2,FALSE())),IF(ROW()&gt;2,A615,""))</f>
        <v>EXPENSES</v>
      </c>
      <c r="B616" s="312"/>
      <c r="C616" s="312"/>
      <c r="D616" s="312"/>
      <c r="E616" s="311"/>
      <c r="F616" s="312"/>
      <c r="G616" s="328"/>
    </row>
    <row r="617" customFormat="false" ht="17.35" hidden="false" customHeight="false" outlineLevel="0" collapsed="false">
      <c r="A617" s="308" t="str">
        <f aca="false">IFERROR(TRIM(VLOOKUP(UPPER(D615),table_lookups,2,FALSE())),IF(ROW()&gt;2,A616,""))</f>
        <v>EXPENSES</v>
      </c>
      <c r="B617" s="312"/>
      <c r="C617" s="312"/>
      <c r="D617" s="312"/>
      <c r="E617" s="311"/>
      <c r="F617" s="312"/>
      <c r="G617" s="328"/>
    </row>
    <row r="618" customFormat="false" ht="17.35" hidden="false" customHeight="false" outlineLevel="0" collapsed="false">
      <c r="A618" s="308" t="str">
        <f aca="false">IFERROR(TRIM(VLOOKUP(UPPER(D616),table_lookups,2,FALSE())),IF(ROW()&gt;2,A617,""))</f>
        <v>EXPENSES</v>
      </c>
      <c r="B618" s="312"/>
      <c r="C618" s="312"/>
      <c r="D618" s="312"/>
      <c r="E618" s="311"/>
      <c r="F618" s="312"/>
      <c r="G618" s="328"/>
    </row>
    <row r="619" customFormat="false" ht="17.35" hidden="false" customHeight="false" outlineLevel="0" collapsed="false">
      <c r="A619" s="308" t="str">
        <f aca="false">IFERROR(TRIM(VLOOKUP(UPPER(D617),table_lookups,2,FALSE())),IF(ROW()&gt;2,A618,""))</f>
        <v>EXPENSES</v>
      </c>
      <c r="B619" s="312"/>
      <c r="C619" s="312"/>
      <c r="D619" s="312"/>
      <c r="E619" s="311"/>
      <c r="F619" s="312"/>
      <c r="G619" s="328"/>
    </row>
    <row r="620" customFormat="false" ht="17.35" hidden="false" customHeight="false" outlineLevel="0" collapsed="false">
      <c r="A620" s="308" t="str">
        <f aca="false">IFERROR(TRIM(VLOOKUP(UPPER(D618),table_lookups,2,FALSE())),IF(ROW()&gt;2,A619,""))</f>
        <v>EXPENSES</v>
      </c>
      <c r="B620" s="312"/>
      <c r="C620" s="312"/>
      <c r="D620" s="312"/>
      <c r="E620" s="311"/>
      <c r="F620" s="312"/>
      <c r="G620" s="328"/>
    </row>
    <row r="621" customFormat="false" ht="17.35" hidden="false" customHeight="false" outlineLevel="0" collapsed="false">
      <c r="A621" s="308" t="str">
        <f aca="false">IFERROR(TRIM(VLOOKUP(UPPER(D619),table_lookups,2,FALSE())),IF(ROW()&gt;2,A620,""))</f>
        <v>EXPENSES</v>
      </c>
      <c r="B621" s="312"/>
      <c r="C621" s="312"/>
      <c r="D621" s="312"/>
      <c r="E621" s="311"/>
      <c r="F621" s="312"/>
      <c r="G621" s="328"/>
    </row>
    <row r="622" customFormat="false" ht="17.35" hidden="false" customHeight="false" outlineLevel="0" collapsed="false">
      <c r="A622" s="308" t="str">
        <f aca="false">IFERROR(TRIM(VLOOKUP(UPPER(D620),table_lookups,2,FALSE())),IF(ROW()&gt;2,A621,""))</f>
        <v>EXPENSES</v>
      </c>
      <c r="B622" s="312"/>
      <c r="C622" s="312"/>
      <c r="D622" s="312"/>
      <c r="E622" s="311"/>
      <c r="F622" s="312"/>
      <c r="G622" s="328"/>
    </row>
    <row r="623" customFormat="false" ht="17.35" hidden="false" customHeight="false" outlineLevel="0" collapsed="false">
      <c r="A623" s="308" t="str">
        <f aca="false">IFERROR(TRIM(VLOOKUP(UPPER(D621),table_lookups,2,FALSE())),IF(ROW()&gt;2,A622,""))</f>
        <v>EXPENSES</v>
      </c>
      <c r="B623" s="312"/>
      <c r="C623" s="312"/>
      <c r="D623" s="312"/>
      <c r="E623" s="311"/>
      <c r="F623" s="312"/>
      <c r="G623" s="328"/>
    </row>
    <row r="624" customFormat="false" ht="17.35" hidden="false" customHeight="false" outlineLevel="0" collapsed="false">
      <c r="A624" s="308" t="str">
        <f aca="false">IFERROR(TRIM(VLOOKUP(UPPER(D622),table_lookups,2,FALSE())),IF(ROW()&gt;2,A623,""))</f>
        <v>EXPENSES</v>
      </c>
      <c r="B624" s="312"/>
      <c r="C624" s="312"/>
      <c r="D624" s="312"/>
      <c r="E624" s="311"/>
      <c r="F624" s="312"/>
      <c r="G624" s="328"/>
    </row>
    <row r="625" customFormat="false" ht="17.35" hidden="false" customHeight="false" outlineLevel="0" collapsed="false">
      <c r="A625" s="308" t="str">
        <f aca="false">IFERROR(TRIM(VLOOKUP(UPPER(D623),table_lookups,2,FALSE())),IF(ROW()&gt;2,A624,""))</f>
        <v>EXPENSES</v>
      </c>
      <c r="B625" s="312"/>
      <c r="C625" s="312"/>
      <c r="D625" s="312"/>
      <c r="E625" s="311"/>
      <c r="F625" s="312"/>
      <c r="G625" s="328"/>
    </row>
    <row r="626" customFormat="false" ht="17.35" hidden="false" customHeight="false" outlineLevel="0" collapsed="false">
      <c r="A626" s="308" t="str">
        <f aca="false">IFERROR(TRIM(VLOOKUP(UPPER(D624),table_lookups,2,FALSE())),IF(ROW()&gt;2,A625,""))</f>
        <v>EXPENSES</v>
      </c>
      <c r="B626" s="312"/>
      <c r="C626" s="312"/>
      <c r="D626" s="312"/>
      <c r="E626" s="311"/>
      <c r="F626" s="312"/>
      <c r="G626" s="328"/>
    </row>
    <row r="627" customFormat="false" ht="17.35" hidden="false" customHeight="false" outlineLevel="0" collapsed="false">
      <c r="A627" s="308" t="str">
        <f aca="false">IFERROR(TRIM(VLOOKUP(UPPER(D625),table_lookups,2,FALSE())),IF(ROW()&gt;2,A626,""))</f>
        <v>EXPENSES</v>
      </c>
      <c r="B627" s="312"/>
      <c r="C627" s="312"/>
      <c r="D627" s="312"/>
      <c r="E627" s="311"/>
      <c r="F627" s="312"/>
      <c r="G627" s="328"/>
    </row>
    <row r="628" customFormat="false" ht="17.35" hidden="false" customHeight="false" outlineLevel="0" collapsed="false">
      <c r="A628" s="308" t="str">
        <f aca="false">IFERROR(TRIM(VLOOKUP(UPPER(D626),table_lookups,2,FALSE())),IF(ROW()&gt;2,A627,""))</f>
        <v>EXPENSES</v>
      </c>
      <c r="B628" s="312"/>
      <c r="C628" s="312"/>
      <c r="D628" s="312"/>
      <c r="E628" s="311"/>
      <c r="F628" s="312"/>
      <c r="G628" s="328"/>
    </row>
    <row r="629" customFormat="false" ht="17.35" hidden="false" customHeight="false" outlineLevel="0" collapsed="false">
      <c r="A629" s="308" t="str">
        <f aca="false">IFERROR(TRIM(VLOOKUP(UPPER(D627),table_lookups,2,FALSE())),IF(ROW()&gt;2,A628,""))</f>
        <v>EXPENSES</v>
      </c>
      <c r="B629" s="312"/>
      <c r="C629" s="312"/>
      <c r="D629" s="312"/>
      <c r="E629" s="311"/>
      <c r="F629" s="312"/>
      <c r="G629" s="328"/>
    </row>
    <row r="630" customFormat="false" ht="17.35" hidden="false" customHeight="false" outlineLevel="0" collapsed="false">
      <c r="A630" s="308" t="str">
        <f aca="false">IFERROR(TRIM(VLOOKUP(UPPER(D628),table_lookups,2,FALSE())),IF(ROW()&gt;2,A629,""))</f>
        <v>EXPENSES</v>
      </c>
      <c r="B630" s="312"/>
      <c r="C630" s="312"/>
      <c r="D630" s="312"/>
      <c r="E630" s="311"/>
      <c r="F630" s="312"/>
      <c r="G630" s="328"/>
    </row>
    <row r="631" customFormat="false" ht="17.35" hidden="false" customHeight="false" outlineLevel="0" collapsed="false">
      <c r="A631" s="308" t="str">
        <f aca="false">IFERROR(TRIM(VLOOKUP(UPPER(D629),table_lookups,2,FALSE())),IF(ROW()&gt;2,A630,""))</f>
        <v>EXPENSES</v>
      </c>
      <c r="B631" s="312"/>
      <c r="C631" s="312"/>
      <c r="D631" s="312"/>
      <c r="E631" s="311"/>
      <c r="F631" s="312"/>
      <c r="G631" s="328"/>
    </row>
    <row r="632" customFormat="false" ht="17.35" hidden="false" customHeight="false" outlineLevel="0" collapsed="false">
      <c r="A632" s="308" t="str">
        <f aca="false">IFERROR(TRIM(VLOOKUP(UPPER(D630),table_lookups,2,FALSE())),IF(ROW()&gt;2,A631,""))</f>
        <v>EXPENSES</v>
      </c>
      <c r="B632" s="312"/>
      <c r="C632" s="312"/>
      <c r="D632" s="312"/>
      <c r="E632" s="311"/>
      <c r="F632" s="312"/>
      <c r="G632" s="328"/>
    </row>
    <row r="633" customFormat="false" ht="17.35" hidden="false" customHeight="false" outlineLevel="0" collapsed="false">
      <c r="A633" s="308" t="str">
        <f aca="false">IFERROR(TRIM(VLOOKUP(UPPER(D631),table_lookups,2,FALSE())),IF(ROW()&gt;2,A632,""))</f>
        <v>EXPENSES</v>
      </c>
      <c r="B633" s="312"/>
      <c r="C633" s="312"/>
      <c r="D633" s="312"/>
      <c r="E633" s="311"/>
      <c r="F633" s="312"/>
      <c r="G633" s="328"/>
    </row>
    <row r="634" customFormat="false" ht="17.35" hidden="false" customHeight="false" outlineLevel="0" collapsed="false">
      <c r="A634" s="308" t="str">
        <f aca="false">IFERROR(TRIM(VLOOKUP(UPPER(D632),table_lookups,2,FALSE())),IF(ROW()&gt;2,A633,""))</f>
        <v>EXPENSES</v>
      </c>
      <c r="B634" s="312"/>
      <c r="C634" s="312"/>
      <c r="D634" s="312"/>
      <c r="E634" s="311"/>
      <c r="F634" s="312"/>
      <c r="G634" s="328"/>
    </row>
    <row r="635" customFormat="false" ht="17.35" hidden="false" customHeight="false" outlineLevel="0" collapsed="false">
      <c r="A635" s="308" t="str">
        <f aca="false">IFERROR(TRIM(VLOOKUP(UPPER(D633),table_lookups,2,FALSE())),IF(ROW()&gt;2,A634,""))</f>
        <v>EXPENSES</v>
      </c>
      <c r="B635" s="312"/>
      <c r="C635" s="312"/>
      <c r="D635" s="312"/>
      <c r="E635" s="311"/>
      <c r="F635" s="312"/>
      <c r="G635" s="328"/>
    </row>
    <row r="636" customFormat="false" ht="17.35" hidden="false" customHeight="false" outlineLevel="0" collapsed="false">
      <c r="A636" s="308" t="str">
        <f aca="false">IFERROR(TRIM(VLOOKUP(UPPER(D634),table_lookups,2,FALSE())),IF(ROW()&gt;2,A635,""))</f>
        <v>EXPENSES</v>
      </c>
      <c r="B636" s="312"/>
      <c r="C636" s="312"/>
      <c r="D636" s="312"/>
      <c r="E636" s="311"/>
      <c r="F636" s="312"/>
      <c r="G636" s="328"/>
    </row>
    <row r="637" customFormat="false" ht="17.35" hidden="false" customHeight="false" outlineLevel="0" collapsed="false">
      <c r="A637" s="308" t="str">
        <f aca="false">IFERROR(TRIM(VLOOKUP(UPPER(D635),table_lookups,2,FALSE())),IF(ROW()&gt;2,A636,""))</f>
        <v>EXPENSES</v>
      </c>
      <c r="B637" s="312"/>
      <c r="C637" s="312"/>
      <c r="D637" s="312"/>
      <c r="E637" s="311"/>
      <c r="F637" s="312"/>
      <c r="G637" s="328"/>
    </row>
    <row r="638" customFormat="false" ht="17.35" hidden="false" customHeight="false" outlineLevel="0" collapsed="false">
      <c r="A638" s="308" t="str">
        <f aca="false">IFERROR(TRIM(VLOOKUP(UPPER(D636),table_lookups,2,FALSE())),IF(ROW()&gt;2,A637,""))</f>
        <v>EXPENSES</v>
      </c>
      <c r="B638" s="312"/>
      <c r="C638" s="312"/>
      <c r="D638" s="312"/>
      <c r="E638" s="311"/>
      <c r="F638" s="312"/>
      <c r="G638" s="328"/>
    </row>
    <row r="639" customFormat="false" ht="17.35" hidden="false" customHeight="false" outlineLevel="0" collapsed="false">
      <c r="A639" s="308" t="str">
        <f aca="false">IFERROR(TRIM(VLOOKUP(UPPER(D637),table_lookups,2,FALSE())),IF(ROW()&gt;2,A638,""))</f>
        <v>EXPENSES</v>
      </c>
      <c r="B639" s="312"/>
      <c r="C639" s="312"/>
      <c r="D639" s="312"/>
      <c r="E639" s="311"/>
      <c r="F639" s="312"/>
      <c r="G639" s="328"/>
    </row>
    <row r="640" customFormat="false" ht="17.35" hidden="false" customHeight="false" outlineLevel="0" collapsed="false">
      <c r="A640" s="308" t="str">
        <f aca="false">IFERROR(TRIM(VLOOKUP(UPPER(D638),table_lookups,2,FALSE())),IF(ROW()&gt;2,A639,""))</f>
        <v>EXPENSES</v>
      </c>
      <c r="B640" s="312"/>
      <c r="C640" s="312"/>
      <c r="D640" s="312"/>
      <c r="E640" s="311"/>
      <c r="F640" s="312"/>
      <c r="G640" s="328"/>
    </row>
    <row r="641" customFormat="false" ht="17.35" hidden="false" customHeight="false" outlineLevel="0" collapsed="false">
      <c r="A641" s="308" t="str">
        <f aca="false">IFERROR(TRIM(VLOOKUP(UPPER(D639),table_lookups,2,FALSE())),IF(ROW()&gt;2,A640,""))</f>
        <v>EXPENSES</v>
      </c>
      <c r="B641" s="312"/>
      <c r="C641" s="312"/>
      <c r="D641" s="312"/>
      <c r="E641" s="311"/>
      <c r="F641" s="312"/>
      <c r="G641" s="328"/>
    </row>
    <row r="642" customFormat="false" ht="17.35" hidden="false" customHeight="false" outlineLevel="0" collapsed="false">
      <c r="A642" s="308" t="str">
        <f aca="false">IFERROR(TRIM(VLOOKUP(UPPER(D640),table_lookups,2,FALSE())),IF(ROW()&gt;2,A641,""))</f>
        <v>EXPENSES</v>
      </c>
      <c r="B642" s="312"/>
      <c r="C642" s="312"/>
      <c r="D642" s="312"/>
      <c r="E642" s="311"/>
      <c r="F642" s="312"/>
      <c r="G642" s="328"/>
    </row>
    <row r="643" customFormat="false" ht="17.35" hidden="false" customHeight="false" outlineLevel="0" collapsed="false">
      <c r="A643" s="308" t="str">
        <f aca="false">IFERROR(TRIM(VLOOKUP(UPPER(D641),table_lookups,2,FALSE())),IF(ROW()&gt;2,A642,""))</f>
        <v>EXPENSES</v>
      </c>
      <c r="B643" s="312"/>
      <c r="C643" s="312"/>
      <c r="D643" s="312"/>
      <c r="E643" s="311"/>
      <c r="F643" s="312"/>
      <c r="G643" s="328"/>
    </row>
    <row r="644" customFormat="false" ht="17.35" hidden="false" customHeight="false" outlineLevel="0" collapsed="false">
      <c r="A644" s="308" t="str">
        <f aca="false">IFERROR(TRIM(VLOOKUP(UPPER(D642),table_lookups,2,FALSE())),IF(ROW()&gt;2,A643,""))</f>
        <v>EXPENSES</v>
      </c>
      <c r="B644" s="312"/>
      <c r="C644" s="312"/>
      <c r="D644" s="312"/>
      <c r="E644" s="311"/>
      <c r="F644" s="312"/>
      <c r="G644" s="328"/>
    </row>
    <row r="645" customFormat="false" ht="17.35" hidden="false" customHeight="false" outlineLevel="0" collapsed="false">
      <c r="A645" s="308" t="str">
        <f aca="false">IFERROR(TRIM(VLOOKUP(UPPER(D643),table_lookups,2,FALSE())),IF(ROW()&gt;2,A644,""))</f>
        <v>EXPENSES</v>
      </c>
      <c r="B645" s="312"/>
      <c r="C645" s="312"/>
      <c r="D645" s="312"/>
      <c r="E645" s="311"/>
      <c r="F645" s="312"/>
      <c r="G645" s="328"/>
    </row>
    <row r="646" customFormat="false" ht="17.35" hidden="false" customHeight="false" outlineLevel="0" collapsed="false">
      <c r="A646" s="308" t="str">
        <f aca="false">IFERROR(TRIM(VLOOKUP(UPPER(D644),table_lookups,2,FALSE())),IF(ROW()&gt;2,A645,""))</f>
        <v>EXPENSES</v>
      </c>
      <c r="B646" s="312"/>
      <c r="C646" s="312"/>
      <c r="D646" s="312"/>
      <c r="E646" s="311"/>
      <c r="F646" s="312"/>
      <c r="G646" s="328"/>
    </row>
    <row r="647" customFormat="false" ht="17.35" hidden="false" customHeight="false" outlineLevel="0" collapsed="false">
      <c r="A647" s="308" t="str">
        <f aca="false">IFERROR(TRIM(VLOOKUP(UPPER(D645),table_lookups,2,FALSE())),IF(ROW()&gt;2,A646,""))</f>
        <v>EXPENSES</v>
      </c>
      <c r="B647" s="312"/>
      <c r="C647" s="312"/>
      <c r="D647" s="312"/>
      <c r="E647" s="311"/>
      <c r="F647" s="312"/>
      <c r="G647" s="328"/>
    </row>
    <row r="648" customFormat="false" ht="17.35" hidden="false" customHeight="false" outlineLevel="0" collapsed="false">
      <c r="A648" s="308" t="str">
        <f aca="false">IFERROR(TRIM(VLOOKUP(UPPER(D646),table_lookups,2,FALSE())),IF(ROW()&gt;2,A647,""))</f>
        <v>EXPENSES</v>
      </c>
      <c r="B648" s="312"/>
      <c r="C648" s="312"/>
      <c r="D648" s="312"/>
      <c r="E648" s="311"/>
      <c r="F648" s="312"/>
      <c r="G648" s="328"/>
    </row>
    <row r="649" customFormat="false" ht="17.35" hidden="false" customHeight="false" outlineLevel="0" collapsed="false">
      <c r="A649" s="308" t="str">
        <f aca="false">IFERROR(TRIM(VLOOKUP(UPPER(D647),table_lookups,2,FALSE())),IF(ROW()&gt;2,A648,""))</f>
        <v>EXPENSES</v>
      </c>
      <c r="B649" s="312"/>
      <c r="C649" s="312"/>
      <c r="D649" s="312"/>
      <c r="E649" s="311"/>
      <c r="F649" s="312"/>
      <c r="G649" s="328"/>
    </row>
    <row r="650" customFormat="false" ht="17.35" hidden="false" customHeight="false" outlineLevel="0" collapsed="false">
      <c r="A650" s="308" t="str">
        <f aca="false">IFERROR(TRIM(VLOOKUP(UPPER(D648),table_lookups,2,FALSE())),IF(ROW()&gt;2,A649,""))</f>
        <v>EXPENSES</v>
      </c>
      <c r="B650" s="312"/>
      <c r="C650" s="312"/>
      <c r="D650" s="312"/>
      <c r="E650" s="311"/>
      <c r="F650" s="312"/>
      <c r="G650" s="328"/>
    </row>
    <row r="651" customFormat="false" ht="17.35" hidden="false" customHeight="false" outlineLevel="0" collapsed="false">
      <c r="A651" s="308" t="str">
        <f aca="false">IFERROR(TRIM(VLOOKUP(UPPER(D649),table_lookups,2,FALSE())),IF(ROW()&gt;2,A650,""))</f>
        <v>EXPENSES</v>
      </c>
      <c r="B651" s="312"/>
      <c r="C651" s="312"/>
      <c r="D651" s="312"/>
      <c r="E651" s="311"/>
      <c r="F651" s="312"/>
      <c r="G651" s="328"/>
    </row>
    <row r="652" customFormat="false" ht="17.35" hidden="false" customHeight="false" outlineLevel="0" collapsed="false">
      <c r="A652" s="308" t="str">
        <f aca="false">IFERROR(TRIM(VLOOKUP(UPPER(D650),table_lookups,2,FALSE())),IF(ROW()&gt;2,A651,""))</f>
        <v>EXPENSES</v>
      </c>
      <c r="B652" s="312"/>
      <c r="C652" s="312"/>
      <c r="D652" s="312"/>
      <c r="E652" s="311"/>
      <c r="F652" s="312"/>
      <c r="G652" s="328"/>
    </row>
    <row r="653" customFormat="false" ht="17.35" hidden="false" customHeight="false" outlineLevel="0" collapsed="false">
      <c r="A653" s="308" t="str">
        <f aca="false">IFERROR(TRIM(VLOOKUP(UPPER(D651),table_lookups,2,FALSE())),IF(ROW()&gt;2,A652,""))</f>
        <v>EXPENSES</v>
      </c>
      <c r="B653" s="312"/>
      <c r="C653" s="312"/>
      <c r="D653" s="312"/>
      <c r="E653" s="311"/>
      <c r="F653" s="312"/>
      <c r="G653" s="328"/>
    </row>
    <row r="654" customFormat="false" ht="17.35" hidden="false" customHeight="false" outlineLevel="0" collapsed="false">
      <c r="A654" s="308" t="str">
        <f aca="false">IFERROR(TRIM(VLOOKUP(UPPER(D652),table_lookups,2,FALSE())),IF(ROW()&gt;2,A653,""))</f>
        <v>EXPENSES</v>
      </c>
      <c r="B654" s="312"/>
      <c r="C654" s="312"/>
      <c r="D654" s="312"/>
      <c r="E654" s="311"/>
      <c r="F654" s="312"/>
      <c r="G654" s="328"/>
    </row>
    <row r="655" customFormat="false" ht="17.35" hidden="false" customHeight="false" outlineLevel="0" collapsed="false">
      <c r="A655" s="308" t="str">
        <f aca="false">IFERROR(TRIM(VLOOKUP(UPPER(D653),table_lookups,2,FALSE())),IF(ROW()&gt;2,A654,""))</f>
        <v>EXPENSES</v>
      </c>
      <c r="B655" s="312"/>
      <c r="C655" s="312"/>
      <c r="D655" s="312"/>
      <c r="E655" s="311"/>
    </row>
    <row r="656" customFormat="false" ht="17.35" hidden="false" customHeight="false" outlineLevel="0" collapsed="false">
      <c r="A656" s="308" t="str">
        <f aca="false">IFERROR(TRIM(VLOOKUP(UPPER(D654),table_lookups,2,FALSE())),IF(ROW()&gt;2,A655,""))</f>
        <v>EXPENSES</v>
      </c>
      <c r="B656" s="312"/>
      <c r="C656" s="312"/>
      <c r="D656" s="312"/>
      <c r="E656" s="311"/>
      <c r="F656" s="312"/>
      <c r="G656" s="328"/>
    </row>
    <row r="657" customFormat="false" ht="17.35" hidden="false" customHeight="false" outlineLevel="0" collapsed="false">
      <c r="A657" s="308" t="str">
        <f aca="false">IFERROR(TRIM(VLOOKUP(UPPER(D655),table_lookups,2,FALSE())),IF(ROW()&gt;2,A656,""))</f>
        <v>EXPENSES</v>
      </c>
      <c r="B657" s="312"/>
      <c r="C657" s="312"/>
      <c r="D657" s="312"/>
      <c r="E657" s="3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2018-10-01T20:25:50Z</dcterms:created>
  <dc:creator>Microsoft Office User</dc:creator>
  <dc:description/>
  <dc:language>en-US</dc:language>
  <cp:lastModifiedBy>Helios Healthcare Advisors</cp:lastModifiedBy>
  <dcterms:modified xsi:type="dcterms:W3CDTF">2025-07-03T16:32:53Z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