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3.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5.xml" ContentType="application/vnd.openxmlformats-officedocument.spreadsheetml.comments+xml"/>
  <Override PartName="/xl/threadedComments/threadedComment2.xml" ContentType="application/vnd.ms-excel.threadedcomments+xml"/>
  <Override PartName="/xl/comments6.xml" ContentType="application/vnd.openxmlformats-officedocument.spreadsheetml.comments+xml"/>
  <Override PartName="/xl/threadedComments/threadedComment3.xml" ContentType="application/vnd.ms-excel.threadedcomments+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9.xml" ContentType="application/vnd.openxmlformats-officedocument.drawing+xml"/>
  <Override PartName="/xl/tables/table2.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threadedComments/threadedComment4.xml" ContentType="application/vnd.ms-excel.threadedcomments+xml"/>
  <Override PartName="/xl/drawings/drawing11.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4.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7.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8.xml" ContentType="application/vnd.openxmlformats-officedocument.drawing+xml"/>
  <Override PartName="/xl/comments8.xml" ContentType="application/vnd.openxmlformats-officedocument.spreadsheetml.comment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9.xml" ContentType="application/vnd.openxmlformats-officedocument.drawing+xml"/>
  <Override PartName="/xl/comments9.xml" ContentType="application/vnd.openxmlformats-officedocument.spreadsheetml.comment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chula-my.sharepoint.com/personal/jeerath_p_chula_ac_th/Documents/Nephro_research/HITAPP/CKDanalysis/FinalResuts/_KImanuscript/_opendata/"/>
    </mc:Choice>
  </mc:AlternateContent>
  <xr:revisionPtr revIDLastSave="3" documentId="8_{7AFAED51-5DE1-4807-8E9D-23C9ECFAD70A}" xr6:coauthVersionLast="47" xr6:coauthVersionMax="47" xr10:uidLastSave="{41142BE0-F170-48F4-8F63-3EA3D971B8B1}"/>
  <bookViews>
    <workbookView xWindow="-120" yWindow="-120" windowWidth="29040" windowHeight="15840" tabRatio="901" firstSheet="5" activeTab="19" xr2:uid="{E8D50DF7-01D0-A84F-A5FA-BA0C6DFF3468}"/>
  </bookViews>
  <sheets>
    <sheet name="The model" sheetId="1" r:id="rId1"/>
    <sheet name="Relative risk (ESCORT-1)" sheetId="22" r:id="rId2"/>
    <sheet name="Transitional probabilities" sheetId="10" state="hidden" r:id="rId3"/>
    <sheet name="Hazard f_n of dialysis cohort" sheetId="28" state="hidden" r:id="rId4"/>
    <sheet name="Sheet1" sheetId="49" state="hidden" r:id="rId5"/>
    <sheet name="Parameters &amp; DSA" sheetId="2" r:id="rId6"/>
    <sheet name="Life table 2014" sheetId="11" state="hidden" r:id="rId7"/>
    <sheet name="CUA" sheetId="17" r:id="rId8"/>
    <sheet name="MM Conventional" sheetId="14" r:id="rId9"/>
    <sheet name="MM ICP" sheetId="16" r:id="rId10"/>
    <sheet name="Total costs and outcomes" sheetId="30" r:id="rId11"/>
    <sheet name="Scenario analysis" sheetId="35" r:id="rId12"/>
    <sheet name="Tornado_chart" sheetId="50" r:id="rId13"/>
    <sheet name="Simulation" sheetId="18" r:id="rId14"/>
    <sheet name="PSA CE Plane" sheetId="33" r:id="rId15"/>
    <sheet name="AC" sheetId="19" r:id="rId16"/>
    <sheet name="AC ICP" sheetId="46" r:id="rId17"/>
    <sheet name="Population EVPI" sheetId="20" r:id="rId18"/>
    <sheet name="Partial EVPI" sheetId="21" r:id="rId19"/>
    <sheet name="Budget impact analysis (5 yr)" sheetId="34" r:id="rId20"/>
    <sheet name="Budget impact analysis (10 yr)" sheetId="48" state="hidden" r:id="rId21"/>
  </sheets>
  <externalReferences>
    <externalReference r:id="rId22"/>
    <externalReference r:id="rId23"/>
    <externalReference r:id="rId24"/>
    <externalReference r:id="rId25"/>
  </externalReferences>
  <definedNames>
    <definedName name="__CPI1998">[1]Parameters!$O$61</definedName>
    <definedName name="__CPI2001">[1]Parameters!$O$63</definedName>
    <definedName name="__CPI2004">[1]Parameters!$O$66</definedName>
    <definedName name="_Age40">[1]Parameters!#REF!</definedName>
    <definedName name="_Age50">[1]Parameters!#REF!</definedName>
    <definedName name="_Age60">[1]Parameters!#REF!</definedName>
    <definedName name="_Age70">[1]Parameters!#REF!</definedName>
    <definedName name="_cHD1">[1]Parameters!$B$56</definedName>
    <definedName name="_cNP1">#REF!</definedName>
    <definedName name="_cNP2">#REF!</definedName>
    <definedName name="_CPI1998">'Parameters &amp; DSA'!$O$60</definedName>
    <definedName name="_CPI2001">'Parameters &amp; DSA'!$O$63</definedName>
    <definedName name="_CPI2004">'Parameters &amp; DSA'!$O$66</definedName>
    <definedName name="_GPR1">[2]Parameters!#REF!</definedName>
    <definedName name="_PA10">[2]Parameters!#REF!</definedName>
    <definedName name="_PA12">[2]Parameters!#REF!</definedName>
    <definedName name="_PA14">[2]Parameters!#REF!</definedName>
    <definedName name="_PA18">[2]Parameters!#REF!</definedName>
    <definedName name="_PA26">[2]Parameters!#REF!</definedName>
    <definedName name="_PA6">[2]Parameters!#REF!</definedName>
    <definedName name="_pD39">[1]Parameters!#REF!</definedName>
    <definedName name="_pD50">[1]Parameters!#REF!</definedName>
    <definedName name="_pD60">[1]Parameters!#REF!</definedName>
    <definedName name="_pD70">[1]Parameters!#REF!</definedName>
    <definedName name="_pH2">[3]Parameters!#REF!</definedName>
    <definedName name="_PPI10">[2]Parameters!#REF!</definedName>
    <definedName name="_PPI18">[2]Parameters!#REF!</definedName>
    <definedName name="_PPI2">[2]Parameters!#REF!</definedName>
    <definedName name="_PPI26">[2]Parameters!#REF!</definedName>
    <definedName name="_PPI8">[2]Parameters!#REF!</definedName>
    <definedName name="_SWH2">[2]Parameters!#REF!</definedName>
    <definedName name="_wg15">[1]Parameters!#REF!</definedName>
    <definedName name="_wg20">[1]Parameters!#REF!</definedName>
    <definedName name="_wg25">[1]Parameters!#REF!</definedName>
    <definedName name="_wg30">[1]Parameters!#REF!</definedName>
    <definedName name="_wg35">[1]Parameters!#REF!</definedName>
    <definedName name="_wg40">[1]Parameters!#REF!</definedName>
    <definedName name="_wg50">[1]Parameters!#REF!</definedName>
    <definedName name="_wg65">[1]Parameters!#REF!</definedName>
    <definedName name="_xR1">[2]Parameters!#REF!</definedName>
    <definedName name="_xR2">[2]Parameters!#REF!</definedName>
    <definedName name="a" localSheetId="3">'Hazard f_n of dialysis cohort'!$C$58</definedName>
    <definedName name="Age" localSheetId="3">[1]Analysis!$C$6</definedName>
    <definedName name="Age40s">[1]Parameters!#REF!</definedName>
    <definedName name="Age50s">[1]Parameters!#REF!</definedName>
    <definedName name="Age60s">[1]Parameters!#REF!</definedName>
    <definedName name="Age70s">[1]Parameters!#REF!</definedName>
    <definedName name="ageC" localSheetId="3">[1]Parameters!$B$18</definedName>
    <definedName name="AgeUpto39">[1]Parameters!#REF!</definedName>
    <definedName name="b" localSheetId="3">'Hazard f_n of dialysis cohort'!$C$59</definedName>
    <definedName name="BS">[2]Parameters!#REF!</definedName>
    <definedName name="c_" localSheetId="3">'Hazard f_n of dialysis cohort'!$D$59</definedName>
    <definedName name="c_MDCT">'Parameters &amp; DSA'!$B$64</definedName>
    <definedName name="cCath">[1]Parameters!$B$26</definedName>
    <definedName name="cChroHD">[1]Parameters!$B$40</definedName>
    <definedName name="cChroPD">[1]Parameters!$B$39</definedName>
    <definedName name="cComHD">[1]Parameters!$B$43</definedName>
    <definedName name="cCoMobid">[1]Parameters!$B$51</definedName>
    <definedName name="cComPD">[1]Parameters!$B$42</definedName>
    <definedName name="cDC" localSheetId="3">[1]Parameters!$B$6</definedName>
    <definedName name="cDC">'Parameters &amp; DSA'!$B$6</definedName>
    <definedName name="cDO" localSheetId="3">[1]Parameters!$B$7</definedName>
    <definedName name="cDO">'Parameters &amp; DSA'!$B$7</definedName>
    <definedName name="cDR">#REF!</definedName>
    <definedName name="cErythor">[1]Parameters!$B$32</definedName>
    <definedName name="cIdMDonot">[1]Parameters!$B$60</definedName>
    <definedName name="cIdMHD">[1]Parameters!$B$61</definedName>
    <definedName name="cIdMPD">[1]Parameters!$B$62</definedName>
    <definedName name="cIP">[1]Parameters!$B$46</definedName>
    <definedName name="CIS">[2]Parameters!#REF!</definedName>
    <definedName name="cM_3a">'Parameters &amp; DSA'!$B$49</definedName>
    <definedName name="cM_3b">'Parameters &amp; DSA'!$B$50</definedName>
    <definedName name="cM_4">'Parameters &amp; DSA'!$B$51</definedName>
    <definedName name="cM_5">'Parameters &amp; DSA'!$B$52</definedName>
    <definedName name="cM_Dialysis0">'Parameters &amp; DSA'!$B$53</definedName>
    <definedName name="cM_Dialysis1">'Parameters &amp; DSA'!$B$54</definedName>
    <definedName name="cM3a">'Parameters &amp; DSA'!$B$49</definedName>
    <definedName name="cM3b">'Parameters &amp; DSA'!$B$50</definedName>
    <definedName name="cMedHD1">[1]Parameters!$B$56</definedName>
    <definedName name="cMedHD2">[1]Parameters!$B$57</definedName>
    <definedName name="cMedPD1">[1]Parameters!$B$54</definedName>
    <definedName name="cMedPD2">[1]Parameters!$B$55</definedName>
    <definedName name="cMN_3a">'Parameters &amp; DSA'!$B$57</definedName>
    <definedName name="cMN_3b">'Parameters &amp; DSA'!$B$58</definedName>
    <definedName name="cMN_4">'Parameters &amp; DSA'!$B$59</definedName>
    <definedName name="cNM_3a">'Parameters &amp; DSA'!$B$57</definedName>
    <definedName name="cNM_3b">'Parameters &amp; DSA'!$B$58</definedName>
    <definedName name="cNM_4">'Parameters &amp; DSA'!$B$59</definedName>
    <definedName name="cNM_5">'Parameters &amp; DSA'!$B$60</definedName>
    <definedName name="cNM_Dialysis">'Parameters &amp; DSA'!$B$61</definedName>
    <definedName name="cNonMedHD">[1]Parameters!$B$70</definedName>
    <definedName name="cNonMedPD">[1]Parameters!$B$69</definedName>
    <definedName name="cohort2010">[1]PD!#REF!</definedName>
    <definedName name="cohort2011">[1]PD!#REF!</definedName>
    <definedName name="cohort2012">[1]PD!#REF!</definedName>
    <definedName name="cohort2013">[1]PD!#REF!</definedName>
    <definedName name="cohort2014">[1]PD!#REF!</definedName>
    <definedName name="cohort2015">[1]PD!#REF!</definedName>
    <definedName name="cohort2016">[1]PD!#REF!</definedName>
    <definedName name="cohort2017">[1]PD!#REF!</definedName>
    <definedName name="cohort2018">[1]PD!#REF!</definedName>
    <definedName name="cohort2019">[1]PD!#REF!</definedName>
    <definedName name="cohort2020">[1]PD!#REF!</definedName>
    <definedName name="cohort2021">[1]PD!#REF!</definedName>
    <definedName name="cohort2022">[1]PD!#REF!</definedName>
    <definedName name="cohort2023">[1]PD!#REF!</definedName>
    <definedName name="cohort2024">[1]PD!#REF!</definedName>
    <definedName name="cons" localSheetId="3">[1]Parameters!$B$17</definedName>
    <definedName name="cOP">[1]Parameters!$B$47</definedName>
    <definedName name="CostTable">[1]Parameters!#REF!</definedName>
    <definedName name="cPaliative">[1]Parameters!$B$24</definedName>
    <definedName name="cPatientHD">[1]Parameters!$B$65</definedName>
    <definedName name="cPatientPD">[1]Parameters!$B$66</definedName>
    <definedName name="cPD">[1]Parameters!$B$27</definedName>
    <definedName name="cPeritonitis">[1]Parameters!$B$41</definedName>
    <definedName name="CPI">#REF!</definedName>
    <definedName name="cPrimary">#REF!</definedName>
    <definedName name="cRatio">[1]Simulation!#REF!</definedName>
    <definedName name="cRevision">#REF!</definedName>
    <definedName name="CST">[2]Parameters!#REF!</definedName>
    <definedName name="cStandard">#REF!</definedName>
    <definedName name="cSuccess">#REF!</definedName>
    <definedName name="cVas">[1]Parameters!$B$35</definedName>
    <definedName name="cycle">[1]PD!$B$6:$B$105</definedName>
    <definedName name="d" localSheetId="3">'Hazard f_n of dialysis cohort'!$C$60</definedName>
    <definedName name="DDH2RA8">[2]Parameters!#REF!</definedName>
    <definedName name="DDPPI8">[2]Parameters!#REF!</definedName>
    <definedName name="dErythro">[1]Parameters!$B$33</definedName>
    <definedName name="e" localSheetId="3">'Hazard f_n of dialysis cohort'!$D$60</definedName>
    <definedName name="ECG">[2]Parameters!#REF!</definedName>
    <definedName name="effpop">[1]Simulation!#REF!</definedName>
    <definedName name="f" localSheetId="3">'Hazard f_n of dialysis cohort'!$E$60</definedName>
    <definedName name="g" localSheetId="3">'Hazard f_n of dialysis cohort'!#REF!</definedName>
    <definedName name="gamma">[1]Parameters!$B$20</definedName>
    <definedName name="GDP">[1]Parameters!#REF!</definedName>
    <definedName name="GEPA">[2]Parameters!#REF!</definedName>
    <definedName name="GERA">[2]Parameters!#REF!</definedName>
    <definedName name="GPGER1">[2]Parameters!#REF!</definedName>
    <definedName name="GPGER2">[2]Parameters!#REF!</definedName>
    <definedName name="GPMA">[2]Parameters!#REF!</definedName>
    <definedName name="GPRA">[2]Parameters!#REF!</definedName>
    <definedName name="h" localSheetId="3">'Hazard f_n of dialysis cohort'!#REF!</definedName>
    <definedName name="H2RA10">[2]Parameters!#REF!</definedName>
    <definedName name="H2RA18">[2]Parameters!#REF!</definedName>
    <definedName name="H2RA26">[2]Parameters!#REF!</definedName>
    <definedName name="H2RA8">[2]Parameters!#REF!</definedName>
    <definedName name="H2RADD">[2]Parameters!#REF!</definedName>
    <definedName name="hDDH2">[2]Parameters!#REF!</definedName>
    <definedName name="hDDPPI">[2]Parameters!#REF!</definedName>
    <definedName name="hH2_">[2]Parameters!#REF!</definedName>
    <definedName name="hPA">[2]Parameters!#REF!</definedName>
    <definedName name="hPPI">[2]Parameters!#REF!</definedName>
    <definedName name="HR2A18">[2]Parameters!#REF!</definedName>
    <definedName name="HR2A26">[2]Parameters!#REF!</definedName>
    <definedName name="i" localSheetId="3">'Hazard f_n of dialysis cohort'!#REF!</definedName>
    <definedName name="IncESRD">[1]Parameters!#REF!</definedName>
    <definedName name="Invest">[1]Parameters!$B$31</definedName>
    <definedName name="j" localSheetId="3">'Hazard f_n of dialysis cohort'!#REF!</definedName>
    <definedName name="k" localSheetId="3">'Hazard f_n of dialysis cohort'!#REF!</definedName>
    <definedName name="l" localSheetId="3">'Hazard f_n of dialysis cohort'!#REF!</definedName>
    <definedName name="lambda">[1]Parameters!$B$19</definedName>
    <definedName name="LDPPI">[2]Parameters!#REF!</definedName>
    <definedName name="LDPPI18">[2]Parameters!#REF!</definedName>
    <definedName name="LDPPI26">[2]Parameters!#REF!</definedName>
    <definedName name="lngam">#REF!</definedName>
    <definedName name="lnlam">#REF!</definedName>
    <definedName name="m" localSheetId="3">'Hazard f_n of dialysis cohort'!#REF!</definedName>
    <definedName name="male">#REF!</definedName>
    <definedName name="maleC">#REF!</definedName>
    <definedName name="mean">#REF!</definedName>
    <definedName name="MinimizeCosts">FALSE</definedName>
    <definedName name="mortalityTab">[1]Parameters!#REF!</definedName>
    <definedName name="mrHD_1">[3]Parameters!#REF!</definedName>
    <definedName name="mrHD_2">[3]Parameters!#REF!</definedName>
    <definedName name="mrHD_3">[3]Parameters!#REF!</definedName>
    <definedName name="mrHD_4">[3]Parameters!#REF!</definedName>
    <definedName name="mrHD_5">[3]Parameters!#REF!</definedName>
    <definedName name="n" localSheetId="3">'Hazard f_n of dialysis cohort'!#REF!</definedName>
    <definedName name="nBSR2">[2]Parameters!#REF!</definedName>
    <definedName name="nCSTR2">[2]Parameters!#REF!</definedName>
    <definedName name="nECGR1">[2]Parameters!#REF!</definedName>
    <definedName name="nECGR2">[2]Parameters!#REF!</definedName>
    <definedName name="NF">[2]Parameters!#REF!</definedName>
    <definedName name="nGER2">[2]Parameters!#REF!</definedName>
    <definedName name="nGPR2">[2]Parameters!#REF!</definedName>
    <definedName name="NP1cost">[4]NP1!$M$68</definedName>
    <definedName name="NP1qalys">[4]NP1!$O$68</definedName>
    <definedName name="NP2cost">#REF!</definedName>
    <definedName name="NP2lys">#REF!</definedName>
    <definedName name="NP2qalys">#REF!</definedName>
    <definedName name="nUGIER1">[2]Parameters!#REF!</definedName>
    <definedName name="nUGIER2">[2]Parameters!#REF!</definedName>
    <definedName name="nUGISR1">[2]Parameters!#REF!</definedName>
    <definedName name="nUGISR2">[2]Parameters!#REF!</definedName>
    <definedName name="o" localSheetId="3">'Hazard f_n of dialysis cohort'!#REF!</definedName>
    <definedName name="oDR">#REF!</definedName>
    <definedName name="omrPTHR">#REF!</definedName>
    <definedName name="omrRTHR">#REF!</definedName>
    <definedName name="p" localSheetId="3">'Hazard f_n of dialysis cohort'!#REF!</definedName>
    <definedName name="p06H2">[2]Parameters!#REF!</definedName>
    <definedName name="p06LDPPI">[2]Parameters!#REF!</definedName>
    <definedName name="p06PA">[2]Parameters!#REF!</definedName>
    <definedName name="p06PL">[2]Parameters!#REF!</definedName>
    <definedName name="p06PPI">[2]Parameters!#REF!</definedName>
    <definedName name="p06SU">[2]Parameters!#REF!</definedName>
    <definedName name="p3a_3a">'Parameters &amp; DSA'!$B$10</definedName>
    <definedName name="p3a_3aMDCT">'Parameters &amp; DSA'!$B$32</definedName>
    <definedName name="p3a_3b">'Parameters &amp; DSA'!$B$11</definedName>
    <definedName name="p3a_3bMDCT">'Parameters &amp; DSA'!$B$33</definedName>
    <definedName name="p3a_Death">'Parameters &amp; DSA'!$B$12</definedName>
    <definedName name="p3a_DeathMDCT">'Parameters &amp; DSA'!$B$34</definedName>
    <definedName name="p3a3a">'Parameters &amp; DSA'!$B$10</definedName>
    <definedName name="p3a3b">'Parameters &amp; DSA'!$B$11</definedName>
    <definedName name="p3aDeath">'Parameters &amp; DSA'!$B$12</definedName>
    <definedName name="p3b_3b">'Parameters &amp; DSA'!$B$13</definedName>
    <definedName name="p3b_3bMDCT">'Parameters &amp; DSA'!$B$35</definedName>
    <definedName name="p3b_4">'Parameters &amp; DSA'!$B$14</definedName>
    <definedName name="p3b_4MDCT">'Parameters &amp; DSA'!$B$36</definedName>
    <definedName name="p3b_Death">'Parameters &amp; DSA'!$B$15</definedName>
    <definedName name="p3b_DeathMDCT">'Parameters &amp; DSA'!$B$37</definedName>
    <definedName name="p3b3b">'Parameters &amp; DSA'!$B$13</definedName>
    <definedName name="p3b4">'Parameters &amp; DSA'!$B$14</definedName>
    <definedName name="p3bDeath">'Parameters &amp; DSA'!$B$15</definedName>
    <definedName name="p4_4">'Parameters &amp; DSA'!$B$16</definedName>
    <definedName name="p4_4MDCT">'Parameters &amp; DSA'!$B$38</definedName>
    <definedName name="p4_5">'Parameters &amp; DSA'!$B$17</definedName>
    <definedName name="p4_5MDCT">'Parameters &amp; DSA'!$B$39</definedName>
    <definedName name="p4_Death">'Parameters &amp; DSA'!$B$18</definedName>
    <definedName name="p4_DeathMDCT">'Parameters &amp; DSA'!$B$40</definedName>
    <definedName name="p5_5">'Parameters &amp; DSA'!$B$19</definedName>
    <definedName name="p5_5MDCT">'Parameters &amp; DSA'!$B$41</definedName>
    <definedName name="p5_Death">'Parameters &amp; DSA'!$B$21</definedName>
    <definedName name="p5_DeathMDCT">'Parameters &amp; DSA'!$B$43</definedName>
    <definedName name="p5_Dialysis">'Parameters &amp; DSA'!$B$20</definedName>
    <definedName name="p5_DialysisMDCT">'Parameters &amp; DSA'!$B$42</definedName>
    <definedName name="p612H2">[2]Parameters!#REF!</definedName>
    <definedName name="p612LDPPI">[2]Parameters!#REF!</definedName>
    <definedName name="p612PA">[2]Parameters!#REF!</definedName>
    <definedName name="p612PL">[2]Parameters!#REF!</definedName>
    <definedName name="p612PPI">[2]Parameters!#REF!</definedName>
    <definedName name="pAcRRT">[1]Parameters!#REF!</definedName>
    <definedName name="pComHD">[1]Parameters!$B$12</definedName>
    <definedName name="pComPD">[1]Parameters!$B$11</definedName>
    <definedName name="pCon">[3]Parameters!#REF!</definedName>
    <definedName name="pD40s">[1]Parameters!#REF!</definedName>
    <definedName name="pD50s">[1]Parameters!#REF!</definedName>
    <definedName name="pD60s">[1]Parameters!#REF!</definedName>
    <definedName name="pD70s">[1]Parameters!#REF!</definedName>
    <definedName name="pDDH2">[2]Parameters!#REF!</definedName>
    <definedName name="pDDPPI">[2]Parameters!#REF!</definedName>
    <definedName name="pDialysis_Death">'Parameters &amp; DSA'!$B$23</definedName>
    <definedName name="pDialysis_DeathMDCT">'Parameters &amp; DSA'!$B$45</definedName>
    <definedName name="pDialysis_Dialysis">'Parameters &amp; DSA'!$B$22</definedName>
    <definedName name="pDialysis_DialysisMDCT">'Parameters &amp; DSA'!$B$44</definedName>
    <definedName name="pDoNot">[1]Parameters!$B$10</definedName>
    <definedName name="pDupto39">[1]Parameters!#REF!</definedName>
    <definedName name="perspective">[1]Parameters!$B$3</definedName>
    <definedName name="pHD">[1]Parameters!#REF!</definedName>
    <definedName name="pHDtoPD">[1]Parameters!$B$13</definedName>
    <definedName name="pHDtoPD2">[1]Parameters!#REF!</definedName>
    <definedName name="pLE">[2]Parameters!#REF!</definedName>
    <definedName name="pLL">[2]Parameters!#REF!</definedName>
    <definedName name="popEVPI">[1]Simulation!#REF!</definedName>
    <definedName name="Pp2004ESRD">[1]Parameters!#REF!</definedName>
    <definedName name="pPD">[1]Parameters!#REF!</definedName>
    <definedName name="pPDtoHD">[1]Parameters!$B$14</definedName>
    <definedName name="pPDtoHD2">[1]Parameters!#REF!</definedName>
    <definedName name="PPI">[2]Parameters!#REF!</definedName>
    <definedName name="pPPI">[2]Parameters!#REF!</definedName>
    <definedName name="prob">#REF!</definedName>
    <definedName name="Probability?" localSheetId="3">[1]Parameters!$D$2</definedName>
    <definedName name="q">'Hazard f_n of dialysis cohort'!#REF!</definedName>
    <definedName name="r_">'Hazard f_n of dialysis cohort'!#REF!</definedName>
    <definedName name="RateInc">[1]Parameters!#REF!</definedName>
    <definedName name="rER">[1]Parameters!$B$49</definedName>
    <definedName name="rIP">[1]Parameters!$B$48</definedName>
    <definedName name="rOP">[1]Parameters!$B$50</definedName>
    <definedName name="RR">'Parameters &amp; DSA'!$B$29</definedName>
    <definedName name="RR_3a">'Parameters &amp; DSA'!$B$26</definedName>
    <definedName name="RR_3b">'Parameters &amp; DSA'!$B$27</definedName>
    <definedName name="RR_4">'Parameters &amp; DSA'!$B$28</definedName>
    <definedName name="RR_5">'Parameters &amp; DSA'!$B$29</definedName>
    <definedName name="RR3a">'Parameters &amp; DSA'!$B$26</definedName>
    <definedName name="RR3b">'Parameters &amp; DSA'!$B$27</definedName>
    <definedName name="rrNP1">#REF!</definedName>
    <definedName name="rrNP2">#REF!</definedName>
    <definedName name="rrr">#REF!</definedName>
    <definedName name="s" localSheetId="3">'Hazard f_n of dialysis cohort'!#REF!</definedName>
    <definedName name="SD">#REF!</definedName>
    <definedName name="SessionHD">[1]Parameters!$B$37</definedName>
    <definedName name="Set">[1]Parameters!$B$29</definedName>
    <definedName name="STDcost">[4]Standard!$M$68</definedName>
    <definedName name="STDqalys">[4]Standard!$O$68</definedName>
    <definedName name="SWDDH2">[2]Parameters!#REF!</definedName>
    <definedName name="SWDDH2E">[2]Parameters!#REF!</definedName>
    <definedName name="SWDDPPI">[2]Parameters!#REF!</definedName>
    <definedName name="SWDDPPIE">[2]Parameters!#REF!</definedName>
    <definedName name="SWH2E">[2]Parameters!#REF!</definedName>
    <definedName name="SWNH12">[2]Parameters!#REF!</definedName>
    <definedName name="SWNH8">[2]Parameters!#REF!</definedName>
    <definedName name="SWPA">[2]Parameters!#REF!</definedName>
    <definedName name="SWPAE">[2]Parameters!#REF!</definedName>
    <definedName name="SWPPI">[2]Parameters!#REF!</definedName>
    <definedName name="SWPPIE">[2]Parameters!#REF!</definedName>
    <definedName name="SWSU">[2]Parameters!#REF!</definedName>
    <definedName name="t" localSheetId="3">'Hazard f_n of dialysis cohort'!#REF!</definedName>
    <definedName name="TabCostHD">[1]Parameters!#REF!</definedName>
    <definedName name="TabCostPD">[1]Parameters!#REF!</definedName>
    <definedName name="Threshold">Simulation!$BG$3</definedName>
    <definedName name="TreeData">#REF!</definedName>
    <definedName name="TreeDiagBase">#REF!</definedName>
    <definedName name="TreeDiagram">#REF!</definedName>
    <definedName name="u" localSheetId="3">'Hazard f_n of dialysis cohort'!#REF!</definedName>
    <definedName name="u3aCT">'Parameters &amp; DSA'!$B$67</definedName>
    <definedName name="u3aMDCT">'Parameters &amp; DSA'!#REF!</definedName>
    <definedName name="u3bCT">'Parameters &amp; DSA'!$B$68</definedName>
    <definedName name="u3bMDCT">'Parameters &amp; DSA'!#REF!</definedName>
    <definedName name="u4CT">'Parameters &amp; DSA'!$B$69</definedName>
    <definedName name="u4MDCT">'Parameters &amp; DSA'!#REF!</definedName>
    <definedName name="u5CT">'Parameters &amp; DSA'!$B$70</definedName>
    <definedName name="u5MDCT">'Parameters &amp; DSA'!#REF!</definedName>
    <definedName name="uCom">[1]Parameters!$B$75</definedName>
    <definedName name="uDialysisCT">'Parameters &amp; DSA'!$B$71</definedName>
    <definedName name="uDialysisMDCT">'Parameters &amp; DSA'!#REF!</definedName>
    <definedName name="UGIE">[2]Parameters!#REF!</definedName>
    <definedName name="UGIS">[2]Parameters!#REF!</definedName>
    <definedName name="uHD">[1]Parameters!$B$77</definedName>
    <definedName name="uHDnoCom">[1]Parameters!$B$74</definedName>
    <definedName name="uPD">[1]Parameters!$B$76</definedName>
    <definedName name="uPDnoCom">[1]Parameters!$B$73</definedName>
    <definedName name="uRevision">#REF!</definedName>
    <definedName name="UseExpUtility">FALSE</definedName>
    <definedName name="uSuccessP">#REF!</definedName>
    <definedName name="uSuccessR">#REF!</definedName>
    <definedName name="Weight?">[1]Parameters!#REF!</definedName>
    <definedName name="work15">[1]Parameters!#REF!</definedName>
    <definedName name="Work23">[1]Parameters!#REF!</definedName>
    <definedName name="Work25">[1]Parameters!#REF!</definedName>
    <definedName name="Work60">[1]Parameters!#REF!</definedName>
    <definedName name="Work70">[1]Parameters!#REF!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50" l="1"/>
  <c r="G3" i="50"/>
  <c r="G5" i="50"/>
  <c r="G9" i="50"/>
  <c r="G10" i="50"/>
  <c r="G12" i="50"/>
  <c r="G15" i="50"/>
  <c r="G24" i="50"/>
  <c r="G25" i="50"/>
  <c r="G26" i="50"/>
  <c r="G27" i="50"/>
  <c r="G28" i="50"/>
  <c r="G33" i="50"/>
  <c r="G38" i="50"/>
  <c r="G40" i="50"/>
  <c r="G39" i="50"/>
  <c r="G37" i="50"/>
  <c r="G36" i="50"/>
  <c r="G35" i="50"/>
  <c r="G34" i="50"/>
  <c r="G32" i="50"/>
  <c r="G31" i="50"/>
  <c r="G30" i="50"/>
  <c r="G29" i="50"/>
  <c r="G23" i="50"/>
  <c r="G22" i="50"/>
  <c r="G21" i="50"/>
  <c r="G20" i="50"/>
  <c r="G19" i="50"/>
  <c r="G18" i="50"/>
  <c r="G17" i="50"/>
  <c r="G16" i="50"/>
  <c r="G14" i="50"/>
  <c r="G13" i="50"/>
  <c r="G11" i="50"/>
  <c r="G8" i="50"/>
  <c r="G7" i="50"/>
  <c r="G6" i="50"/>
  <c r="G4" i="50"/>
  <c r="H36" i="50"/>
  <c r="H37" i="50"/>
  <c r="H38" i="50"/>
  <c r="H28" i="50"/>
  <c r="H33" i="50"/>
  <c r="H11" i="50"/>
  <c r="H9" i="50"/>
  <c r="H40" i="50"/>
  <c r="H26" i="50"/>
  <c r="H27" i="50"/>
  <c r="H29" i="50"/>
  <c r="H19" i="50"/>
  <c r="H6" i="50"/>
  <c r="H12" i="50"/>
  <c r="H5" i="50"/>
  <c r="H17" i="50"/>
  <c r="H15" i="50"/>
  <c r="H31" i="50"/>
  <c r="H24" i="50"/>
  <c r="H32" i="50"/>
  <c r="H25" i="50"/>
  <c r="H35" i="50"/>
  <c r="H23" i="50"/>
  <c r="H30" i="50"/>
  <c r="H34" i="50"/>
  <c r="H8" i="50"/>
  <c r="H7" i="50"/>
  <c r="H39" i="50"/>
  <c r="H4" i="50"/>
  <c r="H22" i="50"/>
  <c r="H21" i="50"/>
  <c r="H13" i="50"/>
  <c r="H14" i="50"/>
  <c r="H18" i="50"/>
  <c r="H16" i="50"/>
  <c r="H3" i="50"/>
  <c r="H10" i="50"/>
  <c r="H2" i="50"/>
  <c r="H20" i="50"/>
  <c r="G120" i="2"/>
  <c r="H2" i="2"/>
  <c r="G118" i="2"/>
  <c r="G117" i="2"/>
  <c r="G43" i="2" l="1"/>
  <c r="G42" i="2"/>
  <c r="G39" i="2"/>
  <c r="G36" i="2"/>
  <c r="G33" i="2"/>
  <c r="B28" i="2"/>
  <c r="B27" i="2"/>
  <c r="B26" i="2"/>
  <c r="K4" i="16"/>
  <c r="L4" i="16"/>
  <c r="N4" i="16"/>
  <c r="J4" i="34"/>
  <c r="J5" i="34"/>
  <c r="J6" i="34"/>
  <c r="J7" i="34"/>
  <c r="AB47" i="34"/>
  <c r="AB36" i="34"/>
  <c r="F2" i="49"/>
  <c r="F3" i="49"/>
  <c r="F4" i="49"/>
  <c r="F5" i="49"/>
  <c r="F6" i="49"/>
  <c r="F7" i="49"/>
  <c r="F8" i="49"/>
  <c r="F9" i="49"/>
  <c r="F10" i="49"/>
  <c r="F11" i="49"/>
  <c r="F12" i="49"/>
  <c r="F13" i="49"/>
  <c r="F14" i="49"/>
  <c r="F15" i="49"/>
  <c r="F16" i="49"/>
  <c r="F17" i="49"/>
  <c r="F18" i="49"/>
  <c r="F19" i="49"/>
  <c r="F20" i="49"/>
  <c r="F21" i="49"/>
  <c r="F22" i="49"/>
  <c r="F23" i="49"/>
  <c r="F24" i="49"/>
  <c r="F25" i="49"/>
  <c r="F26" i="49"/>
  <c r="F27" i="49"/>
  <c r="F28" i="49"/>
  <c r="F29" i="49"/>
  <c r="F30" i="49"/>
  <c r="F31" i="49"/>
  <c r="F32" i="49"/>
  <c r="F33" i="49"/>
  <c r="F34" i="49"/>
  <c r="F35" i="49"/>
  <c r="F36" i="49"/>
  <c r="F37" i="49"/>
  <c r="F38" i="49"/>
  <c r="F39" i="49"/>
  <c r="L118" i="2"/>
  <c r="G28" i="2"/>
  <c r="G27" i="2"/>
  <c r="G26" i="2"/>
  <c r="AH27" i="48"/>
  <c r="AJ27" i="48" s="1"/>
  <c r="AE27" i="48"/>
  <c r="AG27" i="48" s="1"/>
  <c r="AG26" i="48"/>
  <c r="AE26" i="48"/>
  <c r="AB27" i="48"/>
  <c r="AD27" i="48" s="1"/>
  <c r="AB26" i="48"/>
  <c r="AD26" i="48" s="1"/>
  <c r="AB25" i="48"/>
  <c r="AD25" i="48" s="1"/>
  <c r="Y27" i="48"/>
  <c r="AA27" i="48" s="1"/>
  <c r="Y26" i="48"/>
  <c r="AA26" i="48" s="1"/>
  <c r="Y25" i="48"/>
  <c r="AA25" i="48" s="1"/>
  <c r="Y24" i="48"/>
  <c r="AA24" i="48" s="1"/>
  <c r="V27" i="48"/>
  <c r="X27" i="48" s="1"/>
  <c r="V26" i="48"/>
  <c r="X26" i="48" s="1"/>
  <c r="X25" i="48"/>
  <c r="V25" i="48"/>
  <c r="V24" i="48"/>
  <c r="X24" i="48" s="1"/>
  <c r="X23" i="48"/>
  <c r="V23" i="48"/>
  <c r="U23" i="48"/>
  <c r="U24" i="48"/>
  <c r="U25" i="48"/>
  <c r="U26" i="48"/>
  <c r="U27" i="48"/>
  <c r="S23" i="48"/>
  <c r="S24" i="48"/>
  <c r="S25" i="48"/>
  <c r="S26" i="48"/>
  <c r="S27" i="48"/>
  <c r="R23" i="48"/>
  <c r="R24" i="48"/>
  <c r="R25" i="48"/>
  <c r="R26" i="48"/>
  <c r="R27" i="48"/>
  <c r="P23" i="48"/>
  <c r="P24" i="48"/>
  <c r="P25" i="48"/>
  <c r="P26" i="48"/>
  <c r="P27" i="48"/>
  <c r="O23" i="48"/>
  <c r="O24" i="48"/>
  <c r="O25" i="48"/>
  <c r="O26" i="48"/>
  <c r="O27" i="48"/>
  <c r="L23" i="48"/>
  <c r="M23" i="48"/>
  <c r="L24" i="48"/>
  <c r="M24" i="48"/>
  <c r="L25" i="48"/>
  <c r="M25" i="48"/>
  <c r="L26" i="48"/>
  <c r="M26" i="48"/>
  <c r="L27" i="48"/>
  <c r="M27" i="48"/>
  <c r="J23" i="48"/>
  <c r="J24" i="48"/>
  <c r="J25" i="48"/>
  <c r="J26" i="48"/>
  <c r="J27" i="48"/>
  <c r="I23" i="48"/>
  <c r="I24" i="48"/>
  <c r="I25" i="48"/>
  <c r="I26" i="48"/>
  <c r="AK26" i="48" s="1"/>
  <c r="I27" i="48"/>
  <c r="AK27" i="48" s="1"/>
  <c r="G23" i="48"/>
  <c r="G24" i="48"/>
  <c r="G25" i="48"/>
  <c r="G26" i="48"/>
  <c r="G27" i="48"/>
  <c r="AH12" i="48"/>
  <c r="AJ12" i="48" s="1"/>
  <c r="AE12" i="48"/>
  <c r="AG12" i="48" s="1"/>
  <c r="AE11" i="48"/>
  <c r="AG11" i="48" s="1"/>
  <c r="AB12" i="48"/>
  <c r="AD12" i="48" s="1"/>
  <c r="AB11" i="48"/>
  <c r="AD11" i="48" s="1"/>
  <c r="AB10" i="48"/>
  <c r="AD10" i="48" s="1"/>
  <c r="Y12" i="48"/>
  <c r="AA12" i="48" s="1"/>
  <c r="Y11" i="48"/>
  <c r="AA11" i="48" s="1"/>
  <c r="Y10" i="48"/>
  <c r="AA10" i="48" s="1"/>
  <c r="Y9" i="48"/>
  <c r="AA9" i="48" s="1"/>
  <c r="V9" i="48"/>
  <c r="X9" i="48" s="1"/>
  <c r="V10" i="48"/>
  <c r="X10" i="48" s="1"/>
  <c r="V11" i="48"/>
  <c r="X11" i="48" s="1"/>
  <c r="V12" i="48"/>
  <c r="X12" i="48" s="1"/>
  <c r="V8" i="48"/>
  <c r="X8" i="48" s="1"/>
  <c r="S8" i="48"/>
  <c r="U8" i="48" s="1"/>
  <c r="S9" i="48"/>
  <c r="U9" i="48" s="1"/>
  <c r="S10" i="48"/>
  <c r="U10" i="48" s="1"/>
  <c r="S11" i="48"/>
  <c r="U11" i="48" s="1"/>
  <c r="S12" i="48"/>
  <c r="U12" i="48" s="1"/>
  <c r="P8" i="48"/>
  <c r="R8" i="48" s="1"/>
  <c r="P9" i="48"/>
  <c r="R9" i="48" s="1"/>
  <c r="P10" i="48"/>
  <c r="R10" i="48" s="1"/>
  <c r="P11" i="48"/>
  <c r="R11" i="48" s="1"/>
  <c r="P12" i="48"/>
  <c r="R12" i="48" s="1"/>
  <c r="M8" i="48"/>
  <c r="O8" i="48" s="1"/>
  <c r="M9" i="48"/>
  <c r="O9" i="48" s="1"/>
  <c r="M10" i="48"/>
  <c r="O10" i="48" s="1"/>
  <c r="M11" i="48"/>
  <c r="O11" i="48" s="1"/>
  <c r="M12" i="48"/>
  <c r="O12" i="48" s="1"/>
  <c r="J8" i="48"/>
  <c r="L8" i="48" s="1"/>
  <c r="J9" i="48"/>
  <c r="L9" i="48" s="1"/>
  <c r="J10" i="48"/>
  <c r="L10" i="48" s="1"/>
  <c r="J11" i="48"/>
  <c r="L11" i="48" s="1"/>
  <c r="J12" i="48"/>
  <c r="L12" i="48" s="1"/>
  <c r="AY69" i="48"/>
  <c r="AQ69" i="48"/>
  <c r="AY68" i="48"/>
  <c r="AQ68" i="48"/>
  <c r="AY67" i="48"/>
  <c r="AQ67" i="48"/>
  <c r="AY66" i="48"/>
  <c r="AQ66" i="48"/>
  <c r="AY65" i="48"/>
  <c r="AQ65" i="48"/>
  <c r="AY57" i="48"/>
  <c r="AQ57" i="48"/>
  <c r="AY56" i="48"/>
  <c r="AQ56" i="48"/>
  <c r="AY55" i="48"/>
  <c r="AQ55" i="48"/>
  <c r="AY54" i="48"/>
  <c r="AQ54" i="48"/>
  <c r="AY46" i="48"/>
  <c r="AQ46" i="48"/>
  <c r="AY45" i="48"/>
  <c r="AQ45" i="48"/>
  <c r="AY44" i="48"/>
  <c r="AQ44" i="48"/>
  <c r="AY36" i="48"/>
  <c r="AQ36" i="48"/>
  <c r="AY35" i="48"/>
  <c r="AQ35" i="48"/>
  <c r="AY22" i="48"/>
  <c r="AQ22" i="48"/>
  <c r="S22" i="48"/>
  <c r="U22" i="48" s="1"/>
  <c r="P22" i="48"/>
  <c r="R22" i="48" s="1"/>
  <c r="M22" i="48"/>
  <c r="O22" i="48" s="1"/>
  <c r="J22" i="48"/>
  <c r="L22" i="48" s="1"/>
  <c r="P21" i="48"/>
  <c r="R21" i="48" s="1"/>
  <c r="M21" i="48"/>
  <c r="O21" i="48" s="1"/>
  <c r="J21" i="48"/>
  <c r="L21" i="48" s="1"/>
  <c r="M20" i="48"/>
  <c r="O20" i="48" s="1"/>
  <c r="J20" i="48"/>
  <c r="L20" i="48" s="1"/>
  <c r="J19" i="48"/>
  <c r="L19" i="48" s="1"/>
  <c r="C19" i="48"/>
  <c r="C18" i="48"/>
  <c r="B13" i="48"/>
  <c r="S7" i="48"/>
  <c r="U7" i="48" s="1"/>
  <c r="P7" i="48"/>
  <c r="R7" i="48" s="1"/>
  <c r="M7" i="48"/>
  <c r="O7" i="48" s="1"/>
  <c r="J7" i="48"/>
  <c r="L7" i="48" s="1"/>
  <c r="P6" i="48"/>
  <c r="R6" i="48" s="1"/>
  <c r="M6" i="48"/>
  <c r="O6" i="48" s="1"/>
  <c r="J6" i="48"/>
  <c r="L6" i="48" s="1"/>
  <c r="M5" i="48"/>
  <c r="O5" i="48" s="1"/>
  <c r="J5" i="48"/>
  <c r="L5" i="48" s="1"/>
  <c r="B5" i="48"/>
  <c r="B33" i="48" s="1"/>
  <c r="J4" i="48"/>
  <c r="L4" i="48" s="1"/>
  <c r="F127" i="2"/>
  <c r="F128" i="2"/>
  <c r="F129" i="2"/>
  <c r="F130" i="2"/>
  <c r="F131" i="2"/>
  <c r="F132" i="2"/>
  <c r="F133" i="2"/>
  <c r="F134" i="2"/>
  <c r="F135" i="2"/>
  <c r="F136" i="2"/>
  <c r="F137" i="2"/>
  <c r="F138" i="2"/>
  <c r="F139" i="2"/>
  <c r="F140" i="2"/>
  <c r="F141" i="2"/>
  <c r="F142" i="2"/>
  <c r="F143" i="2"/>
  <c r="F145" i="2"/>
  <c r="F146" i="2"/>
  <c r="F147" i="2"/>
  <c r="F148" i="2"/>
  <c r="F149" i="2"/>
  <c r="F150" i="2"/>
  <c r="F151" i="2"/>
  <c r="F152" i="2"/>
  <c r="F153" i="2"/>
  <c r="F154" i="2"/>
  <c r="F155" i="2"/>
  <c r="F126" i="2"/>
  <c r="E152" i="2"/>
  <c r="N16" i="10"/>
  <c r="M15" i="10"/>
  <c r="L14" i="10"/>
  <c r="BU48" i="18"/>
  <c r="BU49" i="18"/>
  <c r="BU50" i="18"/>
  <c r="BU51" i="18"/>
  <c r="BU52" i="18"/>
  <c r="BU53" i="18"/>
  <c r="BU54" i="18"/>
  <c r="BU55" i="18"/>
  <c r="BU56" i="18"/>
  <c r="BU57" i="18"/>
  <c r="BU58" i="18"/>
  <c r="BU59" i="18"/>
  <c r="BU60" i="18"/>
  <c r="BU61" i="18"/>
  <c r="BU62" i="18"/>
  <c r="BU63" i="18"/>
  <c r="BU64" i="18"/>
  <c r="BU65" i="18"/>
  <c r="BU66" i="18"/>
  <c r="BU67" i="18"/>
  <c r="F26" i="2"/>
  <c r="H28" i="2"/>
  <c r="F28" i="2" s="1"/>
  <c r="G17" i="2" s="1"/>
  <c r="B23" i="22"/>
  <c r="B22" i="22"/>
  <c r="B21" i="22"/>
  <c r="C21" i="22"/>
  <c r="H26" i="2" s="1"/>
  <c r="C23" i="22"/>
  <c r="C22" i="22"/>
  <c r="AB55" i="34"/>
  <c r="AB44" i="34"/>
  <c r="AB34" i="34"/>
  <c r="AB25" i="34"/>
  <c r="AB17" i="34"/>
  <c r="AJ59" i="34"/>
  <c r="AJ58" i="34"/>
  <c r="AJ57" i="34"/>
  <c r="AJ56" i="34"/>
  <c r="AJ55" i="34"/>
  <c r="AB59" i="34"/>
  <c r="AB58" i="34"/>
  <c r="AB57" i="34"/>
  <c r="AB56" i="34"/>
  <c r="AJ47" i="34"/>
  <c r="AJ46" i="34"/>
  <c r="AJ45" i="34"/>
  <c r="AJ44" i="34"/>
  <c r="AB46" i="34"/>
  <c r="AB45" i="34"/>
  <c r="AJ36" i="34"/>
  <c r="AJ35" i="34"/>
  <c r="AJ34" i="34"/>
  <c r="AB35" i="34"/>
  <c r="AJ26" i="34"/>
  <c r="AJ25" i="34"/>
  <c r="AB26" i="34"/>
  <c r="AJ17" i="34"/>
  <c r="B5" i="34"/>
  <c r="S7" i="34"/>
  <c r="P7" i="34"/>
  <c r="P6" i="34"/>
  <c r="S17" i="34"/>
  <c r="P17" i="34"/>
  <c r="P16" i="34"/>
  <c r="M16" i="34"/>
  <c r="M17" i="34"/>
  <c r="M15" i="34"/>
  <c r="J15" i="34"/>
  <c r="J16" i="34"/>
  <c r="J17" i="34"/>
  <c r="J14" i="34"/>
  <c r="M6" i="34"/>
  <c r="M7" i="34"/>
  <c r="M5" i="34"/>
  <c r="L26" i="2"/>
  <c r="J96" i="2"/>
  <c r="J97" i="2"/>
  <c r="J98" i="2"/>
  <c r="J99" i="2"/>
  <c r="J100" i="2"/>
  <c r="J101" i="2"/>
  <c r="J104" i="2"/>
  <c r="J105" i="2"/>
  <c r="J106" i="2"/>
  <c r="J107" i="2"/>
  <c r="J108" i="2"/>
  <c r="J109" i="2"/>
  <c r="G11" i="2" l="1"/>
  <c r="AG17" i="34"/>
  <c r="AK24" i="48"/>
  <c r="AK23" i="48"/>
  <c r="AK25" i="48"/>
  <c r="B31" i="48"/>
  <c r="B32" i="48"/>
  <c r="B30" i="48"/>
  <c r="AV56" i="48"/>
  <c r="AV65" i="48"/>
  <c r="AV69" i="48"/>
  <c r="AV55" i="48"/>
  <c r="AV35" i="48"/>
  <c r="AV44" i="48"/>
  <c r="AV46" i="48"/>
  <c r="AV22" i="48"/>
  <c r="AV36" i="48"/>
  <c r="AV45" i="48"/>
  <c r="AV67" i="48"/>
  <c r="AV57" i="48"/>
  <c r="AV54" i="48"/>
  <c r="AV66" i="48"/>
  <c r="AV68" i="48"/>
  <c r="B34" i="48"/>
  <c r="B1" i="48"/>
  <c r="K26" i="2"/>
  <c r="L28" i="2"/>
  <c r="K28" i="2"/>
  <c r="AG55" i="34"/>
  <c r="AG44" i="34"/>
  <c r="AG34" i="34"/>
  <c r="AG25" i="34"/>
  <c r="AG56" i="34"/>
  <c r="AG45" i="34"/>
  <c r="AG58" i="34"/>
  <c r="AG57" i="34"/>
  <c r="AG59" i="34"/>
  <c r="AG36" i="34"/>
  <c r="AG46" i="34"/>
  <c r="AG47" i="34"/>
  <c r="AG26" i="34"/>
  <c r="AG35" i="34"/>
  <c r="H88" i="2"/>
  <c r="G38" i="2"/>
  <c r="G35" i="2"/>
  <c r="G32" i="2"/>
  <c r="G79" i="2"/>
  <c r="G76" i="2"/>
  <c r="L120" i="2"/>
  <c r="K120" i="2"/>
  <c r="K118" i="2"/>
  <c r="L117" i="2"/>
  <c r="K117" i="2"/>
  <c r="H93" i="2"/>
  <c r="J93" i="2" s="1"/>
  <c r="H92" i="2"/>
  <c r="J92" i="2" s="1"/>
  <c r="H89" i="2"/>
  <c r="J89" i="2" s="1"/>
  <c r="G8" i="48" l="1"/>
  <c r="I8" i="48" s="1"/>
  <c r="AK8" i="48" s="1"/>
  <c r="AK37" i="48" s="1"/>
  <c r="G12" i="48"/>
  <c r="I12" i="48" s="1"/>
  <c r="AK12" i="48" s="1"/>
  <c r="AK41" i="48" s="1"/>
  <c r="G9" i="48"/>
  <c r="I9" i="48" s="1"/>
  <c r="AK9" i="48" s="1"/>
  <c r="AK38" i="48" s="1"/>
  <c r="G10" i="48"/>
  <c r="I10" i="48" s="1"/>
  <c r="AK10" i="48" s="1"/>
  <c r="AK39" i="48" s="1"/>
  <c r="G11" i="48"/>
  <c r="I11" i="48" s="1"/>
  <c r="AK11" i="48" s="1"/>
  <c r="AK40" i="48" s="1"/>
  <c r="AT6" i="48"/>
  <c r="G5" i="48"/>
  <c r="I5" i="48" s="1"/>
  <c r="G22" i="48"/>
  <c r="I22" i="48" s="1"/>
  <c r="G20" i="48"/>
  <c r="I20" i="48" s="1"/>
  <c r="G4" i="48"/>
  <c r="I4" i="48" s="1"/>
  <c r="G3" i="48"/>
  <c r="I3" i="48" s="1"/>
  <c r="G21" i="48"/>
  <c r="I21" i="48" s="1"/>
  <c r="G19" i="48"/>
  <c r="I19" i="48" s="1"/>
  <c r="G18" i="48"/>
  <c r="I18" i="48" s="1"/>
  <c r="G7" i="48"/>
  <c r="I7" i="48" s="1"/>
  <c r="G6" i="48"/>
  <c r="I6" i="48" s="1"/>
  <c r="I88" i="2"/>
  <c r="J88" i="2"/>
  <c r="G41" i="2"/>
  <c r="H43" i="2"/>
  <c r="E153" i="2"/>
  <c r="E154" i="2"/>
  <c r="E155" i="2"/>
  <c r="E126" i="2"/>
  <c r="E127" i="2"/>
  <c r="E128" i="2"/>
  <c r="E129" i="2"/>
  <c r="E130" i="2"/>
  <c r="E131" i="2"/>
  <c r="E132" i="2"/>
  <c r="E133" i="2"/>
  <c r="E134" i="2"/>
  <c r="E135" i="2"/>
  <c r="E136" i="2"/>
  <c r="E137" i="2"/>
  <c r="E138" i="2"/>
  <c r="E139" i="2"/>
  <c r="E140" i="2"/>
  <c r="E141" i="2"/>
  <c r="E142" i="2"/>
  <c r="E143" i="2"/>
  <c r="E145" i="2"/>
  <c r="E146" i="2"/>
  <c r="E147" i="2"/>
  <c r="E148" i="2"/>
  <c r="E149" i="2"/>
  <c r="E150" i="2"/>
  <c r="E151" i="2"/>
  <c r="E8" i="22"/>
  <c r="G8" i="22"/>
  <c r="AG2" i="16"/>
  <c r="B21" i="34"/>
  <c r="B20" i="34"/>
  <c r="C14" i="34"/>
  <c r="C13" i="34"/>
  <c r="B24" i="34"/>
  <c r="B23" i="34"/>
  <c r="B22" i="34"/>
  <c r="W4" i="16"/>
  <c r="F43" i="22" s="1"/>
  <c r="B8" i="34"/>
  <c r="E31" i="22"/>
  <c r="F31" i="22"/>
  <c r="G31" i="22"/>
  <c r="BD8" i="18"/>
  <c r="BD9" i="18"/>
  <c r="BD10" i="18"/>
  <c r="BD11" i="18"/>
  <c r="BD12" i="18"/>
  <c r="BD13" i="18"/>
  <c r="BD14" i="18"/>
  <c r="BD15" i="18"/>
  <c r="BD16" i="18"/>
  <c r="BD17" i="18"/>
  <c r="BD18" i="18"/>
  <c r="BD19" i="18"/>
  <c r="BD20" i="18"/>
  <c r="BD21" i="18"/>
  <c r="BD22" i="18"/>
  <c r="BD23" i="18"/>
  <c r="BD24" i="18"/>
  <c r="BD25" i="18"/>
  <c r="BD26" i="18"/>
  <c r="BD27" i="18"/>
  <c r="BD28" i="18"/>
  <c r="BD29" i="18"/>
  <c r="BD30" i="18"/>
  <c r="BD31" i="18"/>
  <c r="BD32" i="18"/>
  <c r="BD33" i="18"/>
  <c r="BD34" i="18"/>
  <c r="BD35" i="18"/>
  <c r="BD36" i="18"/>
  <c r="BD37" i="18"/>
  <c r="BD38" i="18"/>
  <c r="BD39" i="18"/>
  <c r="BD40" i="18"/>
  <c r="BD41" i="18"/>
  <c r="BD42" i="18"/>
  <c r="BD43" i="18"/>
  <c r="BD44" i="18"/>
  <c r="BD45" i="18"/>
  <c r="BD46" i="18"/>
  <c r="BD47" i="18"/>
  <c r="BD48" i="18"/>
  <c r="BD49" i="18"/>
  <c r="BD50" i="18"/>
  <c r="BD51" i="18"/>
  <c r="BD52" i="18"/>
  <c r="BD53" i="18"/>
  <c r="BD54" i="18"/>
  <c r="BD55" i="18"/>
  <c r="BD56" i="18"/>
  <c r="BD57" i="18"/>
  <c r="BD58" i="18"/>
  <c r="BD59" i="18"/>
  <c r="BD60" i="18"/>
  <c r="BD61" i="18"/>
  <c r="BD62" i="18"/>
  <c r="BD63" i="18"/>
  <c r="BD64" i="18"/>
  <c r="BD65" i="18"/>
  <c r="BD66" i="18"/>
  <c r="BD67" i="18"/>
  <c r="BD68" i="18"/>
  <c r="BD69" i="18"/>
  <c r="BD70" i="18"/>
  <c r="BD71" i="18"/>
  <c r="BD72" i="18"/>
  <c r="BD73" i="18"/>
  <c r="BD74" i="18"/>
  <c r="BD75" i="18"/>
  <c r="BD76" i="18"/>
  <c r="BD77" i="18"/>
  <c r="BD78" i="18"/>
  <c r="BD79" i="18"/>
  <c r="BD80" i="18"/>
  <c r="BD81" i="18"/>
  <c r="BD82" i="18"/>
  <c r="BD83" i="18"/>
  <c r="BD84" i="18"/>
  <c r="BD85" i="18"/>
  <c r="BD86" i="18"/>
  <c r="BD87" i="18"/>
  <c r="BD88" i="18"/>
  <c r="BD89" i="18"/>
  <c r="BD90" i="18"/>
  <c r="BD91" i="18"/>
  <c r="BD92" i="18"/>
  <c r="BD93" i="18"/>
  <c r="BD94" i="18"/>
  <c r="BD95" i="18"/>
  <c r="BD96" i="18"/>
  <c r="BD97" i="18"/>
  <c r="BD98" i="18"/>
  <c r="BD99" i="18"/>
  <c r="BD100" i="18"/>
  <c r="BD101" i="18"/>
  <c r="BD102" i="18"/>
  <c r="BD103" i="18"/>
  <c r="BD104" i="18"/>
  <c r="BD105" i="18"/>
  <c r="BD106" i="18"/>
  <c r="BD107" i="18"/>
  <c r="BD108" i="18"/>
  <c r="BD109" i="18"/>
  <c r="BD110" i="18"/>
  <c r="BD111" i="18"/>
  <c r="BD112" i="18"/>
  <c r="BD113" i="18"/>
  <c r="BD114" i="18"/>
  <c r="BD115" i="18"/>
  <c r="BD116" i="18"/>
  <c r="BD117" i="18"/>
  <c r="BD118" i="18"/>
  <c r="BD119" i="18"/>
  <c r="BD120" i="18"/>
  <c r="BD121" i="18"/>
  <c r="BD122" i="18"/>
  <c r="BD123" i="18"/>
  <c r="BD124" i="18"/>
  <c r="BD125" i="18"/>
  <c r="BD126" i="18"/>
  <c r="BD127" i="18"/>
  <c r="BD128" i="18"/>
  <c r="BD129" i="18"/>
  <c r="BD130" i="18"/>
  <c r="BD131" i="18"/>
  <c r="BD132" i="18"/>
  <c r="BD133" i="18"/>
  <c r="BD134" i="18"/>
  <c r="BD135" i="18"/>
  <c r="BD136" i="18"/>
  <c r="BD137" i="18"/>
  <c r="BD138" i="18"/>
  <c r="BD139" i="18"/>
  <c r="BD140" i="18"/>
  <c r="BD141" i="18"/>
  <c r="BD142" i="18"/>
  <c r="BD143" i="18"/>
  <c r="BD144" i="18"/>
  <c r="BD145" i="18"/>
  <c r="BD146" i="18"/>
  <c r="BD147" i="18"/>
  <c r="BD148" i="18"/>
  <c r="BD149" i="18"/>
  <c r="BD150" i="18"/>
  <c r="BD151" i="18"/>
  <c r="BD152" i="18"/>
  <c r="BD153" i="18"/>
  <c r="BD154" i="18"/>
  <c r="BD155" i="18"/>
  <c r="BD156" i="18"/>
  <c r="BD157" i="18"/>
  <c r="BD158" i="18"/>
  <c r="BD159" i="18"/>
  <c r="BD160" i="18"/>
  <c r="BD161" i="18"/>
  <c r="BD162" i="18"/>
  <c r="BD163" i="18"/>
  <c r="BD164" i="18"/>
  <c r="BD165" i="18"/>
  <c r="BD166" i="18"/>
  <c r="BD167" i="18"/>
  <c r="BD168" i="18"/>
  <c r="BD169" i="18"/>
  <c r="BD170" i="18"/>
  <c r="BD171" i="18"/>
  <c r="BD172" i="18"/>
  <c r="BD173" i="18"/>
  <c r="BD174" i="18"/>
  <c r="BD175" i="18"/>
  <c r="BD176" i="18"/>
  <c r="BD177" i="18"/>
  <c r="BD178" i="18"/>
  <c r="BD179" i="18"/>
  <c r="BD180" i="18"/>
  <c r="BD181" i="18"/>
  <c r="BD182" i="18"/>
  <c r="BD183" i="18"/>
  <c r="BD184" i="18"/>
  <c r="BD185" i="18"/>
  <c r="BD186" i="18"/>
  <c r="BD187" i="18"/>
  <c r="BD188" i="18"/>
  <c r="BD189" i="18"/>
  <c r="BD190" i="18"/>
  <c r="BD191" i="18"/>
  <c r="BD192" i="18"/>
  <c r="BD193" i="18"/>
  <c r="BD194" i="18"/>
  <c r="BD195" i="18"/>
  <c r="BD196" i="18"/>
  <c r="BD197" i="18"/>
  <c r="BD198" i="18"/>
  <c r="BD199" i="18"/>
  <c r="BD200" i="18"/>
  <c r="BD201" i="18"/>
  <c r="BD202" i="18"/>
  <c r="BD203" i="18"/>
  <c r="BD204" i="18"/>
  <c r="BD205" i="18"/>
  <c r="BD206" i="18"/>
  <c r="BD207" i="18"/>
  <c r="BD208" i="18"/>
  <c r="BD209" i="18"/>
  <c r="BD210" i="18"/>
  <c r="BD211" i="18"/>
  <c r="BD212" i="18"/>
  <c r="BD213" i="18"/>
  <c r="BD214" i="18"/>
  <c r="BD215" i="18"/>
  <c r="BD216" i="18"/>
  <c r="BD217" i="18"/>
  <c r="BD218" i="18"/>
  <c r="BD219" i="18"/>
  <c r="BD220" i="18"/>
  <c r="BD221" i="18"/>
  <c r="BD222" i="18"/>
  <c r="BD223" i="18"/>
  <c r="BD224" i="18"/>
  <c r="BD225" i="18"/>
  <c r="BD226" i="18"/>
  <c r="BD227" i="18"/>
  <c r="BD228" i="18"/>
  <c r="BD229" i="18"/>
  <c r="BD230" i="18"/>
  <c r="BD231" i="18"/>
  <c r="BD232" i="18"/>
  <c r="BD233" i="18"/>
  <c r="BD234" i="18"/>
  <c r="BD235" i="18"/>
  <c r="BD236" i="18"/>
  <c r="BD237" i="18"/>
  <c r="BD238" i="18"/>
  <c r="BD239" i="18"/>
  <c r="BD240" i="18"/>
  <c r="BD241" i="18"/>
  <c r="BD242" i="18"/>
  <c r="BD243" i="18"/>
  <c r="BD244" i="18"/>
  <c r="BD245" i="18"/>
  <c r="BD246" i="18"/>
  <c r="BD247" i="18"/>
  <c r="BD248" i="18"/>
  <c r="BD249" i="18"/>
  <c r="BD250" i="18"/>
  <c r="BD251" i="18"/>
  <c r="BD252" i="18"/>
  <c r="BD253" i="18"/>
  <c r="BD254" i="18"/>
  <c r="BD255" i="18"/>
  <c r="BD256" i="18"/>
  <c r="BD257" i="18"/>
  <c r="BD258" i="18"/>
  <c r="BD259" i="18"/>
  <c r="BD260" i="18"/>
  <c r="BD261" i="18"/>
  <c r="BD262" i="18"/>
  <c r="BD263" i="18"/>
  <c r="BD264" i="18"/>
  <c r="BD265" i="18"/>
  <c r="BD266" i="18"/>
  <c r="BD267" i="18"/>
  <c r="BD268" i="18"/>
  <c r="BD269" i="18"/>
  <c r="BD270" i="18"/>
  <c r="BD271" i="18"/>
  <c r="BD272" i="18"/>
  <c r="BD273" i="18"/>
  <c r="BD274" i="18"/>
  <c r="BD275" i="18"/>
  <c r="BD276" i="18"/>
  <c r="BD277" i="18"/>
  <c r="BD278" i="18"/>
  <c r="BD279" i="18"/>
  <c r="BD280" i="18"/>
  <c r="BD281" i="18"/>
  <c r="BD282" i="18"/>
  <c r="BD283" i="18"/>
  <c r="BD284" i="18"/>
  <c r="BD285" i="18"/>
  <c r="BD286" i="18"/>
  <c r="BD287" i="18"/>
  <c r="BD288" i="18"/>
  <c r="BD289" i="18"/>
  <c r="BD290" i="18"/>
  <c r="BD291" i="18"/>
  <c r="BD292" i="18"/>
  <c r="BD293" i="18"/>
  <c r="BD294" i="18"/>
  <c r="BD295" i="18"/>
  <c r="BD296" i="18"/>
  <c r="BD297" i="18"/>
  <c r="BD298" i="18"/>
  <c r="BD299" i="18"/>
  <c r="BD300" i="18"/>
  <c r="BD301" i="18"/>
  <c r="BD302" i="18"/>
  <c r="BD303" i="18"/>
  <c r="BD304" i="18"/>
  <c r="BD305" i="18"/>
  <c r="BD306" i="18"/>
  <c r="BD307" i="18"/>
  <c r="BD308" i="18"/>
  <c r="BD309" i="18"/>
  <c r="BD310" i="18"/>
  <c r="BD311" i="18"/>
  <c r="BD312" i="18"/>
  <c r="BD313" i="18"/>
  <c r="BD314" i="18"/>
  <c r="BD315" i="18"/>
  <c r="BD316" i="18"/>
  <c r="BD317" i="18"/>
  <c r="BD318" i="18"/>
  <c r="BD319" i="18"/>
  <c r="BD320" i="18"/>
  <c r="BD321" i="18"/>
  <c r="BD322" i="18"/>
  <c r="BD323" i="18"/>
  <c r="BD324" i="18"/>
  <c r="BD325" i="18"/>
  <c r="BD326" i="18"/>
  <c r="BD327" i="18"/>
  <c r="BD328" i="18"/>
  <c r="BD329" i="18"/>
  <c r="BD330" i="18"/>
  <c r="BD331" i="18"/>
  <c r="BD332" i="18"/>
  <c r="BD333" i="18"/>
  <c r="BD334" i="18"/>
  <c r="BD335" i="18"/>
  <c r="BD336" i="18"/>
  <c r="BD337" i="18"/>
  <c r="BD338" i="18"/>
  <c r="BD339" i="18"/>
  <c r="BD340" i="18"/>
  <c r="BD341" i="18"/>
  <c r="BD342" i="18"/>
  <c r="BD343" i="18"/>
  <c r="BD344" i="18"/>
  <c r="BD345" i="18"/>
  <c r="BD346" i="18"/>
  <c r="BD347" i="18"/>
  <c r="BD348" i="18"/>
  <c r="BD349" i="18"/>
  <c r="BD350" i="18"/>
  <c r="BD351" i="18"/>
  <c r="BD352" i="18"/>
  <c r="BD353" i="18"/>
  <c r="BD354" i="18"/>
  <c r="BD355" i="18"/>
  <c r="BD356" i="18"/>
  <c r="BD357" i="18"/>
  <c r="BD358" i="18"/>
  <c r="BD359" i="18"/>
  <c r="BD360" i="18"/>
  <c r="BD361" i="18"/>
  <c r="BD362" i="18"/>
  <c r="BD363" i="18"/>
  <c r="BD364" i="18"/>
  <c r="BD365" i="18"/>
  <c r="BD366" i="18"/>
  <c r="BD367" i="18"/>
  <c r="BD368" i="18"/>
  <c r="BD369" i="18"/>
  <c r="BD370" i="18"/>
  <c r="BD371" i="18"/>
  <c r="BD372" i="18"/>
  <c r="BD373" i="18"/>
  <c r="BD374" i="18"/>
  <c r="BD375" i="18"/>
  <c r="BD376" i="18"/>
  <c r="BD377" i="18"/>
  <c r="BD378" i="18"/>
  <c r="BD379" i="18"/>
  <c r="BD380" i="18"/>
  <c r="BD381" i="18"/>
  <c r="BD382" i="18"/>
  <c r="BD383" i="18"/>
  <c r="BD384" i="18"/>
  <c r="BD385" i="18"/>
  <c r="BD386" i="18"/>
  <c r="BD387" i="18"/>
  <c r="BD388" i="18"/>
  <c r="BD389" i="18"/>
  <c r="BD390" i="18"/>
  <c r="BD391" i="18"/>
  <c r="BD392" i="18"/>
  <c r="BD393" i="18"/>
  <c r="BD394" i="18"/>
  <c r="BD395" i="18"/>
  <c r="BD396" i="18"/>
  <c r="BD397" i="18"/>
  <c r="BD398" i="18"/>
  <c r="BD399" i="18"/>
  <c r="BD400" i="18"/>
  <c r="BD401" i="18"/>
  <c r="BD402" i="18"/>
  <c r="BD403" i="18"/>
  <c r="BD404" i="18"/>
  <c r="BD405" i="18"/>
  <c r="BD406" i="18"/>
  <c r="BD407" i="18"/>
  <c r="BD408" i="18"/>
  <c r="BD409" i="18"/>
  <c r="BD410" i="18"/>
  <c r="BD411" i="18"/>
  <c r="BD412" i="18"/>
  <c r="BD413" i="18"/>
  <c r="BD414" i="18"/>
  <c r="BD415" i="18"/>
  <c r="BD416" i="18"/>
  <c r="BD417" i="18"/>
  <c r="BD418" i="18"/>
  <c r="BD419" i="18"/>
  <c r="BD420" i="18"/>
  <c r="BD421" i="18"/>
  <c r="BD422" i="18"/>
  <c r="BD423" i="18"/>
  <c r="BD424" i="18"/>
  <c r="BD425" i="18"/>
  <c r="BD426" i="18"/>
  <c r="BD427" i="18"/>
  <c r="BD428" i="18"/>
  <c r="BD429" i="18"/>
  <c r="BD430" i="18"/>
  <c r="BD431" i="18"/>
  <c r="BD432" i="18"/>
  <c r="BD433" i="18"/>
  <c r="BD434" i="18"/>
  <c r="BD435" i="18"/>
  <c r="BD436" i="18"/>
  <c r="BD437" i="18"/>
  <c r="BD438" i="18"/>
  <c r="BD439" i="18"/>
  <c r="BD440" i="18"/>
  <c r="BD441" i="18"/>
  <c r="BD442" i="18"/>
  <c r="BD443" i="18"/>
  <c r="BD444" i="18"/>
  <c r="BD445" i="18"/>
  <c r="BD446" i="18"/>
  <c r="BD447" i="18"/>
  <c r="BD448" i="18"/>
  <c r="BD449" i="18"/>
  <c r="BD450" i="18"/>
  <c r="BD451" i="18"/>
  <c r="BD452" i="18"/>
  <c r="BD453" i="18"/>
  <c r="BD454" i="18"/>
  <c r="BD455" i="18"/>
  <c r="BD456" i="18"/>
  <c r="BD457" i="18"/>
  <c r="BD458" i="18"/>
  <c r="BD459" i="18"/>
  <c r="BD460" i="18"/>
  <c r="BD461" i="18"/>
  <c r="BD462" i="18"/>
  <c r="BD463" i="18"/>
  <c r="BD464" i="18"/>
  <c r="BD465" i="18"/>
  <c r="BD466" i="18"/>
  <c r="BD467" i="18"/>
  <c r="BD468" i="18"/>
  <c r="BD469" i="18"/>
  <c r="BD470" i="18"/>
  <c r="BD471" i="18"/>
  <c r="BD472" i="18"/>
  <c r="BD473" i="18"/>
  <c r="BD474" i="18"/>
  <c r="BD475" i="18"/>
  <c r="BD476" i="18"/>
  <c r="BD477" i="18"/>
  <c r="BD478" i="18"/>
  <c r="BD479" i="18"/>
  <c r="BD480" i="18"/>
  <c r="BD481" i="18"/>
  <c r="BD482" i="18"/>
  <c r="BD483" i="18"/>
  <c r="BD484" i="18"/>
  <c r="BD485" i="18"/>
  <c r="BD486" i="18"/>
  <c r="BD487" i="18"/>
  <c r="BD488" i="18"/>
  <c r="BD489" i="18"/>
  <c r="BD490" i="18"/>
  <c r="BD491" i="18"/>
  <c r="BD492" i="18"/>
  <c r="BD493" i="18"/>
  <c r="BD494" i="18"/>
  <c r="BD495" i="18"/>
  <c r="BD496" i="18"/>
  <c r="BD497" i="18"/>
  <c r="BD498" i="18"/>
  <c r="BD499" i="18"/>
  <c r="BD500" i="18"/>
  <c r="BD501" i="18"/>
  <c r="BD502" i="18"/>
  <c r="BD503" i="18"/>
  <c r="BD504" i="18"/>
  <c r="BD505" i="18"/>
  <c r="BD506" i="18"/>
  <c r="BD507" i="18"/>
  <c r="BD508" i="18"/>
  <c r="BD509" i="18"/>
  <c r="BD510" i="18"/>
  <c r="BD511" i="18"/>
  <c r="BD512" i="18"/>
  <c r="BD513" i="18"/>
  <c r="BD514" i="18"/>
  <c r="BD515" i="18"/>
  <c r="BD516" i="18"/>
  <c r="BD517" i="18"/>
  <c r="BD518" i="18"/>
  <c r="BD519" i="18"/>
  <c r="BD520" i="18"/>
  <c r="BD521" i="18"/>
  <c r="BD522" i="18"/>
  <c r="BD523" i="18"/>
  <c r="BD524" i="18"/>
  <c r="BD525" i="18"/>
  <c r="BD526" i="18"/>
  <c r="BD527" i="18"/>
  <c r="BD528" i="18"/>
  <c r="BD529" i="18"/>
  <c r="BD530" i="18"/>
  <c r="BD531" i="18"/>
  <c r="BD532" i="18"/>
  <c r="BD533" i="18"/>
  <c r="BD534" i="18"/>
  <c r="BD535" i="18"/>
  <c r="BD536" i="18"/>
  <c r="BD537" i="18"/>
  <c r="BD538" i="18"/>
  <c r="BD539" i="18"/>
  <c r="BD540" i="18"/>
  <c r="BD541" i="18"/>
  <c r="BD542" i="18"/>
  <c r="BD543" i="18"/>
  <c r="BD544" i="18"/>
  <c r="BD545" i="18"/>
  <c r="BD546" i="18"/>
  <c r="BD547" i="18"/>
  <c r="BD548" i="18"/>
  <c r="BD549" i="18"/>
  <c r="BD550" i="18"/>
  <c r="BD551" i="18"/>
  <c r="BD552" i="18"/>
  <c r="BD553" i="18"/>
  <c r="BD554" i="18"/>
  <c r="BD555" i="18"/>
  <c r="BD556" i="18"/>
  <c r="BD557" i="18"/>
  <c r="BD558" i="18"/>
  <c r="BD559" i="18"/>
  <c r="BD560" i="18"/>
  <c r="BD561" i="18"/>
  <c r="BD562" i="18"/>
  <c r="BD563" i="18"/>
  <c r="BD564" i="18"/>
  <c r="BD565" i="18"/>
  <c r="BD566" i="18"/>
  <c r="BD567" i="18"/>
  <c r="BD568" i="18"/>
  <c r="BD569" i="18"/>
  <c r="BD570" i="18"/>
  <c r="BD571" i="18"/>
  <c r="BD572" i="18"/>
  <c r="BD573" i="18"/>
  <c r="BD574" i="18"/>
  <c r="BD575" i="18"/>
  <c r="BD576" i="18"/>
  <c r="BD577" i="18"/>
  <c r="BD578" i="18"/>
  <c r="BD579" i="18"/>
  <c r="BD580" i="18"/>
  <c r="BD581" i="18"/>
  <c r="BD582" i="18"/>
  <c r="BD583" i="18"/>
  <c r="BD584" i="18"/>
  <c r="BD585" i="18"/>
  <c r="BD586" i="18"/>
  <c r="BD587" i="18"/>
  <c r="BD588" i="18"/>
  <c r="BD589" i="18"/>
  <c r="BD590" i="18"/>
  <c r="BD591" i="18"/>
  <c r="BD592" i="18"/>
  <c r="BD593" i="18"/>
  <c r="BD594" i="18"/>
  <c r="BD595" i="18"/>
  <c r="BD596" i="18"/>
  <c r="BD597" i="18"/>
  <c r="BD598" i="18"/>
  <c r="BD599" i="18"/>
  <c r="BD600" i="18"/>
  <c r="BD601" i="18"/>
  <c r="BD602" i="18"/>
  <c r="BD603" i="18"/>
  <c r="BD604" i="18"/>
  <c r="BD605" i="18"/>
  <c r="BD606" i="18"/>
  <c r="BD607" i="18"/>
  <c r="BD608" i="18"/>
  <c r="BD609" i="18"/>
  <c r="BD610" i="18"/>
  <c r="BD611" i="18"/>
  <c r="BD612" i="18"/>
  <c r="BD613" i="18"/>
  <c r="BD614" i="18"/>
  <c r="BD615" i="18"/>
  <c r="BD616" i="18"/>
  <c r="BD617" i="18"/>
  <c r="BD618" i="18"/>
  <c r="BD619" i="18"/>
  <c r="BD620" i="18"/>
  <c r="BD621" i="18"/>
  <c r="BD622" i="18"/>
  <c r="BD623" i="18"/>
  <c r="BD624" i="18"/>
  <c r="BD625" i="18"/>
  <c r="BD626" i="18"/>
  <c r="BD627" i="18"/>
  <c r="BD628" i="18"/>
  <c r="BD629" i="18"/>
  <c r="BD630" i="18"/>
  <c r="BD631" i="18"/>
  <c r="BD632" i="18"/>
  <c r="BD633" i="18"/>
  <c r="BD634" i="18"/>
  <c r="BD635" i="18"/>
  <c r="BD636" i="18"/>
  <c r="BD637" i="18"/>
  <c r="BD638" i="18"/>
  <c r="BD639" i="18"/>
  <c r="BD640" i="18"/>
  <c r="BD641" i="18"/>
  <c r="BD642" i="18"/>
  <c r="BD643" i="18"/>
  <c r="BD644" i="18"/>
  <c r="BD645" i="18"/>
  <c r="BD646" i="18"/>
  <c r="BD647" i="18"/>
  <c r="BD648" i="18"/>
  <c r="BD649" i="18"/>
  <c r="BD650" i="18"/>
  <c r="BD651" i="18"/>
  <c r="BD652" i="18"/>
  <c r="BD653" i="18"/>
  <c r="BD654" i="18"/>
  <c r="BD655" i="18"/>
  <c r="BD656" i="18"/>
  <c r="BD657" i="18"/>
  <c r="BD658" i="18"/>
  <c r="BD659" i="18"/>
  <c r="BD660" i="18"/>
  <c r="BD661" i="18"/>
  <c r="BD662" i="18"/>
  <c r="BD663" i="18"/>
  <c r="BD664" i="18"/>
  <c r="BD665" i="18"/>
  <c r="BD666" i="18"/>
  <c r="BD667" i="18"/>
  <c r="BD668" i="18"/>
  <c r="BD669" i="18"/>
  <c r="BD670" i="18"/>
  <c r="BD671" i="18"/>
  <c r="BD672" i="18"/>
  <c r="BD673" i="18"/>
  <c r="BD674" i="18"/>
  <c r="BD675" i="18"/>
  <c r="BD676" i="18"/>
  <c r="BD677" i="18"/>
  <c r="BD678" i="18"/>
  <c r="BD679" i="18"/>
  <c r="BD680" i="18"/>
  <c r="BD681" i="18"/>
  <c r="BD682" i="18"/>
  <c r="BD683" i="18"/>
  <c r="BD684" i="18"/>
  <c r="BD685" i="18"/>
  <c r="BD686" i="18"/>
  <c r="BD687" i="18"/>
  <c r="BD688" i="18"/>
  <c r="BD689" i="18"/>
  <c r="BD690" i="18"/>
  <c r="BD691" i="18"/>
  <c r="BD692" i="18"/>
  <c r="BD693" i="18"/>
  <c r="BD694" i="18"/>
  <c r="BD695" i="18"/>
  <c r="BD696" i="18"/>
  <c r="BD697" i="18"/>
  <c r="BD698" i="18"/>
  <c r="BD699" i="18"/>
  <c r="BD700" i="18"/>
  <c r="BD701" i="18"/>
  <c r="BD702" i="18"/>
  <c r="BD703" i="18"/>
  <c r="BD704" i="18"/>
  <c r="BD705" i="18"/>
  <c r="BD706" i="18"/>
  <c r="BD707" i="18"/>
  <c r="BD708" i="18"/>
  <c r="BD709" i="18"/>
  <c r="BD710" i="18"/>
  <c r="BD711" i="18"/>
  <c r="BD712" i="18"/>
  <c r="BD713" i="18"/>
  <c r="BD714" i="18"/>
  <c r="BD715" i="18"/>
  <c r="BD716" i="18"/>
  <c r="BD717" i="18"/>
  <c r="BD718" i="18"/>
  <c r="BD719" i="18"/>
  <c r="BD720" i="18"/>
  <c r="BD721" i="18"/>
  <c r="BD722" i="18"/>
  <c r="BD723" i="18"/>
  <c r="BD724" i="18"/>
  <c r="BD725" i="18"/>
  <c r="BD726" i="18"/>
  <c r="BD727" i="18"/>
  <c r="BD728" i="18"/>
  <c r="BD729" i="18"/>
  <c r="BD730" i="18"/>
  <c r="BD731" i="18"/>
  <c r="BD732" i="18"/>
  <c r="BD733" i="18"/>
  <c r="BD734" i="18"/>
  <c r="BD735" i="18"/>
  <c r="BD736" i="18"/>
  <c r="BD737" i="18"/>
  <c r="BD738" i="18"/>
  <c r="BD739" i="18"/>
  <c r="BD740" i="18"/>
  <c r="BD741" i="18"/>
  <c r="BD742" i="18"/>
  <c r="BD743" i="18"/>
  <c r="BD744" i="18"/>
  <c r="BD745" i="18"/>
  <c r="BD746" i="18"/>
  <c r="BD747" i="18"/>
  <c r="BD748" i="18"/>
  <c r="BD749" i="18"/>
  <c r="BD750" i="18"/>
  <c r="BD751" i="18"/>
  <c r="BD752" i="18"/>
  <c r="BD753" i="18"/>
  <c r="BD754" i="18"/>
  <c r="BD755" i="18"/>
  <c r="BD756" i="18"/>
  <c r="BD757" i="18"/>
  <c r="BD758" i="18"/>
  <c r="BD759" i="18"/>
  <c r="BD760" i="18"/>
  <c r="BD761" i="18"/>
  <c r="BD762" i="18"/>
  <c r="BD763" i="18"/>
  <c r="BD764" i="18"/>
  <c r="BD765" i="18"/>
  <c r="BD766" i="18"/>
  <c r="BD767" i="18"/>
  <c r="BD768" i="18"/>
  <c r="BD769" i="18"/>
  <c r="BD770" i="18"/>
  <c r="BD771" i="18"/>
  <c r="BD772" i="18"/>
  <c r="BD773" i="18"/>
  <c r="BD774" i="18"/>
  <c r="BD775" i="18"/>
  <c r="BD776" i="18"/>
  <c r="BD777" i="18"/>
  <c r="BD778" i="18"/>
  <c r="BD779" i="18"/>
  <c r="BD780" i="18"/>
  <c r="BD781" i="18"/>
  <c r="BD782" i="18"/>
  <c r="BD783" i="18"/>
  <c r="BD784" i="18"/>
  <c r="BD785" i="18"/>
  <c r="BD786" i="18"/>
  <c r="BD787" i="18"/>
  <c r="BD788" i="18"/>
  <c r="BD789" i="18"/>
  <c r="BD790" i="18"/>
  <c r="BD791" i="18"/>
  <c r="BD792" i="18"/>
  <c r="BD793" i="18"/>
  <c r="BD794" i="18"/>
  <c r="BD795" i="18"/>
  <c r="BD796" i="18"/>
  <c r="BD797" i="18"/>
  <c r="BD798" i="18"/>
  <c r="BD799" i="18"/>
  <c r="BD800" i="18"/>
  <c r="BD801" i="18"/>
  <c r="BD802" i="18"/>
  <c r="BD803" i="18"/>
  <c r="BD804" i="18"/>
  <c r="BD805" i="18"/>
  <c r="BD806" i="18"/>
  <c r="BD807" i="18"/>
  <c r="BD808" i="18"/>
  <c r="BD809" i="18"/>
  <c r="BD810" i="18"/>
  <c r="BD811" i="18"/>
  <c r="BD812" i="18"/>
  <c r="BD813" i="18"/>
  <c r="BD814" i="18"/>
  <c r="BD815" i="18"/>
  <c r="BD816" i="18"/>
  <c r="BD817" i="18"/>
  <c r="BD818" i="18"/>
  <c r="BD819" i="18"/>
  <c r="BD820" i="18"/>
  <c r="BD821" i="18"/>
  <c r="BD822" i="18"/>
  <c r="BD823" i="18"/>
  <c r="BD824" i="18"/>
  <c r="BD825" i="18"/>
  <c r="BD826" i="18"/>
  <c r="BD827" i="18"/>
  <c r="BD828" i="18"/>
  <c r="BD829" i="18"/>
  <c r="BD830" i="18"/>
  <c r="BD831" i="18"/>
  <c r="BD832" i="18"/>
  <c r="BD833" i="18"/>
  <c r="BD834" i="18"/>
  <c r="BD835" i="18"/>
  <c r="BD836" i="18"/>
  <c r="BD837" i="18"/>
  <c r="BD838" i="18"/>
  <c r="BD839" i="18"/>
  <c r="BD840" i="18"/>
  <c r="BD841" i="18"/>
  <c r="BD842" i="18"/>
  <c r="BD843" i="18"/>
  <c r="BD844" i="18"/>
  <c r="BD845" i="18"/>
  <c r="BD846" i="18"/>
  <c r="BD847" i="18"/>
  <c r="BD848" i="18"/>
  <c r="BD849" i="18"/>
  <c r="BD850" i="18"/>
  <c r="BD851" i="18"/>
  <c r="BD852" i="18"/>
  <c r="BD853" i="18"/>
  <c r="BD854" i="18"/>
  <c r="BD855" i="18"/>
  <c r="BD856" i="18"/>
  <c r="BD857" i="18"/>
  <c r="BD858" i="18"/>
  <c r="BD859" i="18"/>
  <c r="BD860" i="18"/>
  <c r="BD861" i="18"/>
  <c r="BD862" i="18"/>
  <c r="BD863" i="18"/>
  <c r="BD864" i="18"/>
  <c r="BD865" i="18"/>
  <c r="BD866" i="18"/>
  <c r="BD867" i="18"/>
  <c r="BD868" i="18"/>
  <c r="BD869" i="18"/>
  <c r="BD870" i="18"/>
  <c r="BD871" i="18"/>
  <c r="BD872" i="18"/>
  <c r="BD873" i="18"/>
  <c r="BD874" i="18"/>
  <c r="BD875" i="18"/>
  <c r="BD876" i="18"/>
  <c r="BD877" i="18"/>
  <c r="BD878" i="18"/>
  <c r="BD879" i="18"/>
  <c r="BD880" i="18"/>
  <c r="BD881" i="18"/>
  <c r="BD882" i="18"/>
  <c r="BD883" i="18"/>
  <c r="BD884" i="18"/>
  <c r="BD885" i="18"/>
  <c r="BD886" i="18"/>
  <c r="BD887" i="18"/>
  <c r="BD888" i="18"/>
  <c r="BD889" i="18"/>
  <c r="BD890" i="18"/>
  <c r="BD891" i="18"/>
  <c r="BD892" i="18"/>
  <c r="BD893" i="18"/>
  <c r="BD894" i="18"/>
  <c r="BD895" i="18"/>
  <c r="BD896" i="18"/>
  <c r="BD897" i="18"/>
  <c r="BD898" i="18"/>
  <c r="BD899" i="18"/>
  <c r="BD900" i="18"/>
  <c r="BD901" i="18"/>
  <c r="BD902" i="18"/>
  <c r="BD903" i="18"/>
  <c r="BD904" i="18"/>
  <c r="BD905" i="18"/>
  <c r="BD906" i="18"/>
  <c r="BD907" i="18"/>
  <c r="BD908" i="18"/>
  <c r="BD909" i="18"/>
  <c r="BD910" i="18"/>
  <c r="BD911" i="18"/>
  <c r="BD912" i="18"/>
  <c r="BD913" i="18"/>
  <c r="BD914" i="18"/>
  <c r="BD915" i="18"/>
  <c r="BD916" i="18"/>
  <c r="BD917" i="18"/>
  <c r="BD918" i="18"/>
  <c r="BD919" i="18"/>
  <c r="BD920" i="18"/>
  <c r="BD921" i="18"/>
  <c r="BD922" i="18"/>
  <c r="BD923" i="18"/>
  <c r="BD924" i="18"/>
  <c r="BD925" i="18"/>
  <c r="BD926" i="18"/>
  <c r="BD927" i="18"/>
  <c r="BD928" i="18"/>
  <c r="BD929" i="18"/>
  <c r="BD930" i="18"/>
  <c r="BD931" i="18"/>
  <c r="BD932" i="18"/>
  <c r="BD933" i="18"/>
  <c r="BD934" i="18"/>
  <c r="BD935" i="18"/>
  <c r="BD936" i="18"/>
  <c r="BD937" i="18"/>
  <c r="BD938" i="18"/>
  <c r="BD939" i="18"/>
  <c r="BD940" i="18"/>
  <c r="BD941" i="18"/>
  <c r="BD942" i="18"/>
  <c r="BD943" i="18"/>
  <c r="BD944" i="18"/>
  <c r="BD945" i="18"/>
  <c r="BD946" i="18"/>
  <c r="BD947" i="18"/>
  <c r="BD948" i="18"/>
  <c r="BD949" i="18"/>
  <c r="BD950" i="18"/>
  <c r="BD951" i="18"/>
  <c r="BD952" i="18"/>
  <c r="BD953" i="18"/>
  <c r="BD954" i="18"/>
  <c r="BD955" i="18"/>
  <c r="BD956" i="18"/>
  <c r="BD957" i="18"/>
  <c r="BD958" i="18"/>
  <c r="BD959" i="18"/>
  <c r="BD960" i="18"/>
  <c r="BD961" i="18"/>
  <c r="BD962" i="18"/>
  <c r="BD963" i="18"/>
  <c r="BD964" i="18"/>
  <c r="BD965" i="18"/>
  <c r="BD966" i="18"/>
  <c r="BD967" i="18"/>
  <c r="BD968" i="18"/>
  <c r="BD969" i="18"/>
  <c r="BD970" i="18"/>
  <c r="BD971" i="18"/>
  <c r="BD972" i="18"/>
  <c r="BD973" i="18"/>
  <c r="BD974" i="18"/>
  <c r="BD975" i="18"/>
  <c r="BD976" i="18"/>
  <c r="BD977" i="18"/>
  <c r="BD978" i="18"/>
  <c r="BD979" i="18"/>
  <c r="BD980" i="18"/>
  <c r="BD981" i="18"/>
  <c r="BD982" i="18"/>
  <c r="BD983" i="18"/>
  <c r="BD984" i="18"/>
  <c r="BD985" i="18"/>
  <c r="BD986" i="18"/>
  <c r="BD987" i="18"/>
  <c r="BD988" i="18"/>
  <c r="BD989" i="18"/>
  <c r="BD990" i="18"/>
  <c r="BD991" i="18"/>
  <c r="BD992" i="18"/>
  <c r="BD993" i="18"/>
  <c r="BD994" i="18"/>
  <c r="BD995" i="18"/>
  <c r="BD996" i="18"/>
  <c r="BD997" i="18"/>
  <c r="BD998" i="18"/>
  <c r="BD999" i="18"/>
  <c r="BD1000" i="18"/>
  <c r="BD1001" i="18"/>
  <c r="BD1002" i="18"/>
  <c r="BD1003" i="18"/>
  <c r="BD1004" i="18"/>
  <c r="BD1005" i="18"/>
  <c r="BD1006" i="18"/>
  <c r="BD7" i="18"/>
  <c r="BC8" i="18"/>
  <c r="BC9" i="18"/>
  <c r="BC10" i="18"/>
  <c r="BC11" i="18"/>
  <c r="BC12" i="18"/>
  <c r="BC13" i="18"/>
  <c r="BC14" i="18"/>
  <c r="BC15" i="18"/>
  <c r="BC16" i="18"/>
  <c r="BC17" i="18"/>
  <c r="BC18" i="18"/>
  <c r="BC19" i="18"/>
  <c r="BC20" i="18"/>
  <c r="BC21" i="18"/>
  <c r="BC22" i="18"/>
  <c r="BC23" i="18"/>
  <c r="BC24" i="18"/>
  <c r="BC25" i="18"/>
  <c r="BC26" i="18"/>
  <c r="BC27" i="18"/>
  <c r="BC28" i="18"/>
  <c r="BC29" i="18"/>
  <c r="BC30" i="18"/>
  <c r="BC31" i="18"/>
  <c r="BC32" i="18"/>
  <c r="BC33" i="18"/>
  <c r="BC34" i="18"/>
  <c r="BC35" i="18"/>
  <c r="BC36" i="18"/>
  <c r="BC37" i="18"/>
  <c r="BC38" i="18"/>
  <c r="BC39" i="18"/>
  <c r="BC40" i="18"/>
  <c r="BC41" i="18"/>
  <c r="BC42" i="18"/>
  <c r="BC43" i="18"/>
  <c r="BC44" i="18"/>
  <c r="BC45" i="18"/>
  <c r="BC46" i="18"/>
  <c r="BC47" i="18"/>
  <c r="BC48" i="18"/>
  <c r="BC49" i="18"/>
  <c r="BC50" i="18"/>
  <c r="BC51" i="18"/>
  <c r="BC52" i="18"/>
  <c r="BC53" i="18"/>
  <c r="BC54" i="18"/>
  <c r="BC55" i="18"/>
  <c r="BC56" i="18"/>
  <c r="BC57" i="18"/>
  <c r="BC58" i="18"/>
  <c r="BC59" i="18"/>
  <c r="BC60" i="18"/>
  <c r="BC61" i="18"/>
  <c r="BC62" i="18"/>
  <c r="BC63" i="18"/>
  <c r="BC64" i="18"/>
  <c r="BC65" i="18"/>
  <c r="BC66" i="18"/>
  <c r="BC67" i="18"/>
  <c r="BC68" i="18"/>
  <c r="BC69" i="18"/>
  <c r="BC70" i="18"/>
  <c r="BC71" i="18"/>
  <c r="BC72" i="18"/>
  <c r="BC73" i="18"/>
  <c r="BC74" i="18"/>
  <c r="BC75" i="18"/>
  <c r="BC76" i="18"/>
  <c r="BC77" i="18"/>
  <c r="BC78" i="18"/>
  <c r="BC79" i="18"/>
  <c r="BC80" i="18"/>
  <c r="BC81" i="18"/>
  <c r="BC82" i="18"/>
  <c r="BC83" i="18"/>
  <c r="BC84" i="18"/>
  <c r="BC85" i="18"/>
  <c r="BC86" i="18"/>
  <c r="BC87" i="18"/>
  <c r="BC88" i="18"/>
  <c r="BC89" i="18"/>
  <c r="BC90" i="18"/>
  <c r="BC91" i="18"/>
  <c r="BC92" i="18"/>
  <c r="BC93" i="18"/>
  <c r="BC94" i="18"/>
  <c r="BC95" i="18"/>
  <c r="BC96" i="18"/>
  <c r="BC97" i="18"/>
  <c r="BC98" i="18"/>
  <c r="BC99" i="18"/>
  <c r="BC100" i="18"/>
  <c r="BC101" i="18"/>
  <c r="BC102" i="18"/>
  <c r="BC103" i="18"/>
  <c r="BC104" i="18"/>
  <c r="BC105" i="18"/>
  <c r="BC106" i="18"/>
  <c r="BC107" i="18"/>
  <c r="BC108" i="18"/>
  <c r="BC109" i="18"/>
  <c r="BC110" i="18"/>
  <c r="BC111" i="18"/>
  <c r="BC112" i="18"/>
  <c r="BC113" i="18"/>
  <c r="BC114" i="18"/>
  <c r="BC115" i="18"/>
  <c r="BC116" i="18"/>
  <c r="BC117" i="18"/>
  <c r="BC118" i="18"/>
  <c r="BC119" i="18"/>
  <c r="BC120" i="18"/>
  <c r="BC121" i="18"/>
  <c r="BC122" i="18"/>
  <c r="BC123" i="18"/>
  <c r="BC124" i="18"/>
  <c r="BC125" i="18"/>
  <c r="BC126" i="18"/>
  <c r="BC127" i="18"/>
  <c r="BC128" i="18"/>
  <c r="BC129" i="18"/>
  <c r="BC130" i="18"/>
  <c r="BC131" i="18"/>
  <c r="BC132" i="18"/>
  <c r="BC133" i="18"/>
  <c r="BC134" i="18"/>
  <c r="BC135" i="18"/>
  <c r="BC136" i="18"/>
  <c r="BC137" i="18"/>
  <c r="BC138" i="18"/>
  <c r="BC139" i="18"/>
  <c r="BC140" i="18"/>
  <c r="BC141" i="18"/>
  <c r="BC142" i="18"/>
  <c r="BC143" i="18"/>
  <c r="BC144" i="18"/>
  <c r="BC145" i="18"/>
  <c r="BC146" i="18"/>
  <c r="BC147" i="18"/>
  <c r="BC148" i="18"/>
  <c r="BC149" i="18"/>
  <c r="BC150" i="18"/>
  <c r="BC151" i="18"/>
  <c r="BC152" i="18"/>
  <c r="BC153" i="18"/>
  <c r="BC154" i="18"/>
  <c r="BC155" i="18"/>
  <c r="BC156" i="18"/>
  <c r="BC157" i="18"/>
  <c r="BC158" i="18"/>
  <c r="BC159" i="18"/>
  <c r="BC160" i="18"/>
  <c r="BC161" i="18"/>
  <c r="BC162" i="18"/>
  <c r="BC163" i="18"/>
  <c r="BC164" i="18"/>
  <c r="BC165" i="18"/>
  <c r="BC166" i="18"/>
  <c r="BC167" i="18"/>
  <c r="BC168" i="18"/>
  <c r="BC169" i="18"/>
  <c r="BC170" i="18"/>
  <c r="BC171" i="18"/>
  <c r="BC172" i="18"/>
  <c r="BC173" i="18"/>
  <c r="BC174" i="18"/>
  <c r="BC175" i="18"/>
  <c r="BC176" i="18"/>
  <c r="BC177" i="18"/>
  <c r="BC178" i="18"/>
  <c r="BC179" i="18"/>
  <c r="BC180" i="18"/>
  <c r="BC181" i="18"/>
  <c r="BC182" i="18"/>
  <c r="BC183" i="18"/>
  <c r="BC184" i="18"/>
  <c r="BC185" i="18"/>
  <c r="BC186" i="18"/>
  <c r="BC187" i="18"/>
  <c r="BC188" i="18"/>
  <c r="BC189" i="18"/>
  <c r="BC190" i="18"/>
  <c r="BC191" i="18"/>
  <c r="BC192" i="18"/>
  <c r="BC193" i="18"/>
  <c r="BC194" i="18"/>
  <c r="BC195" i="18"/>
  <c r="BC196" i="18"/>
  <c r="BC197" i="18"/>
  <c r="BC198" i="18"/>
  <c r="BC199" i="18"/>
  <c r="BC200" i="18"/>
  <c r="BC201" i="18"/>
  <c r="BC202" i="18"/>
  <c r="BC203" i="18"/>
  <c r="BC204" i="18"/>
  <c r="BC205" i="18"/>
  <c r="BC206" i="18"/>
  <c r="BC207" i="18"/>
  <c r="BC208" i="18"/>
  <c r="BC209" i="18"/>
  <c r="BC210" i="18"/>
  <c r="BC211" i="18"/>
  <c r="BC212" i="18"/>
  <c r="BC213" i="18"/>
  <c r="BC214" i="18"/>
  <c r="BC215" i="18"/>
  <c r="BC216" i="18"/>
  <c r="BC217" i="18"/>
  <c r="BC218" i="18"/>
  <c r="BC219" i="18"/>
  <c r="BC220" i="18"/>
  <c r="BC221" i="18"/>
  <c r="BC222" i="18"/>
  <c r="BC223" i="18"/>
  <c r="BC224" i="18"/>
  <c r="BC225" i="18"/>
  <c r="BC226" i="18"/>
  <c r="BC227" i="18"/>
  <c r="BC228" i="18"/>
  <c r="BC229" i="18"/>
  <c r="BC230" i="18"/>
  <c r="BC231" i="18"/>
  <c r="BC232" i="18"/>
  <c r="BC233" i="18"/>
  <c r="BC234" i="18"/>
  <c r="BC235" i="18"/>
  <c r="BC236" i="18"/>
  <c r="BC237" i="18"/>
  <c r="BC238" i="18"/>
  <c r="BC239" i="18"/>
  <c r="BC240" i="18"/>
  <c r="BC241" i="18"/>
  <c r="BC242" i="18"/>
  <c r="BC243" i="18"/>
  <c r="BC244" i="18"/>
  <c r="BC245" i="18"/>
  <c r="BC246" i="18"/>
  <c r="BC247" i="18"/>
  <c r="BC248" i="18"/>
  <c r="BC249" i="18"/>
  <c r="BC250" i="18"/>
  <c r="BC251" i="18"/>
  <c r="BC252" i="18"/>
  <c r="BC253" i="18"/>
  <c r="BC254" i="18"/>
  <c r="BC255" i="18"/>
  <c r="BC256" i="18"/>
  <c r="BC257" i="18"/>
  <c r="BC258" i="18"/>
  <c r="BC259" i="18"/>
  <c r="BC260" i="18"/>
  <c r="BC261" i="18"/>
  <c r="BC262" i="18"/>
  <c r="BC263" i="18"/>
  <c r="BC264" i="18"/>
  <c r="BC265" i="18"/>
  <c r="BC266" i="18"/>
  <c r="BC267" i="18"/>
  <c r="BC268" i="18"/>
  <c r="BC269" i="18"/>
  <c r="BC270" i="18"/>
  <c r="BC271" i="18"/>
  <c r="BC272" i="18"/>
  <c r="BC273" i="18"/>
  <c r="BC274" i="18"/>
  <c r="BC275" i="18"/>
  <c r="BC276" i="18"/>
  <c r="BC277" i="18"/>
  <c r="BC278" i="18"/>
  <c r="BC279" i="18"/>
  <c r="BC280" i="18"/>
  <c r="BC281" i="18"/>
  <c r="BC282" i="18"/>
  <c r="BC283" i="18"/>
  <c r="BC284" i="18"/>
  <c r="BC285" i="18"/>
  <c r="BC286" i="18"/>
  <c r="BC287" i="18"/>
  <c r="BC288" i="18"/>
  <c r="BC289" i="18"/>
  <c r="BC290" i="18"/>
  <c r="BC291" i="18"/>
  <c r="BC292" i="18"/>
  <c r="BC293" i="18"/>
  <c r="BC294" i="18"/>
  <c r="BC295" i="18"/>
  <c r="BC296" i="18"/>
  <c r="BC297" i="18"/>
  <c r="BC298" i="18"/>
  <c r="BC299" i="18"/>
  <c r="BC300" i="18"/>
  <c r="BC301" i="18"/>
  <c r="BC302" i="18"/>
  <c r="BC303" i="18"/>
  <c r="BC304" i="18"/>
  <c r="BC305" i="18"/>
  <c r="BC306" i="18"/>
  <c r="BC307" i="18"/>
  <c r="BC308" i="18"/>
  <c r="BC309" i="18"/>
  <c r="BC310" i="18"/>
  <c r="BC311" i="18"/>
  <c r="BC312" i="18"/>
  <c r="BC313" i="18"/>
  <c r="BC314" i="18"/>
  <c r="BC315" i="18"/>
  <c r="BC316" i="18"/>
  <c r="BC317" i="18"/>
  <c r="BC318" i="18"/>
  <c r="BC319" i="18"/>
  <c r="BC320" i="18"/>
  <c r="BC321" i="18"/>
  <c r="BC322" i="18"/>
  <c r="BC323" i="18"/>
  <c r="BC324" i="18"/>
  <c r="BC325" i="18"/>
  <c r="BC326" i="18"/>
  <c r="BC327" i="18"/>
  <c r="BC328" i="18"/>
  <c r="BC329" i="18"/>
  <c r="BC330" i="18"/>
  <c r="BC331" i="18"/>
  <c r="BC332" i="18"/>
  <c r="BC333" i="18"/>
  <c r="BC334" i="18"/>
  <c r="BC335" i="18"/>
  <c r="BC336" i="18"/>
  <c r="BC337" i="18"/>
  <c r="BC338" i="18"/>
  <c r="BC339" i="18"/>
  <c r="BC340" i="18"/>
  <c r="BC341" i="18"/>
  <c r="BC342" i="18"/>
  <c r="BC343" i="18"/>
  <c r="BC344" i="18"/>
  <c r="BC345" i="18"/>
  <c r="BC346" i="18"/>
  <c r="BC347" i="18"/>
  <c r="BC348" i="18"/>
  <c r="BC349" i="18"/>
  <c r="BC350" i="18"/>
  <c r="BC351" i="18"/>
  <c r="BC352" i="18"/>
  <c r="BC353" i="18"/>
  <c r="BC354" i="18"/>
  <c r="BC355" i="18"/>
  <c r="BC356" i="18"/>
  <c r="BC357" i="18"/>
  <c r="BC358" i="18"/>
  <c r="BC359" i="18"/>
  <c r="BC360" i="18"/>
  <c r="BC361" i="18"/>
  <c r="BC362" i="18"/>
  <c r="BC363" i="18"/>
  <c r="BC364" i="18"/>
  <c r="BC365" i="18"/>
  <c r="BC366" i="18"/>
  <c r="BC367" i="18"/>
  <c r="BC368" i="18"/>
  <c r="BC369" i="18"/>
  <c r="BC370" i="18"/>
  <c r="BC371" i="18"/>
  <c r="BC372" i="18"/>
  <c r="BC373" i="18"/>
  <c r="BC374" i="18"/>
  <c r="BC375" i="18"/>
  <c r="BC376" i="18"/>
  <c r="BC377" i="18"/>
  <c r="BC378" i="18"/>
  <c r="BC379" i="18"/>
  <c r="BC380" i="18"/>
  <c r="BC381" i="18"/>
  <c r="BC382" i="18"/>
  <c r="BC383" i="18"/>
  <c r="BC384" i="18"/>
  <c r="BC385" i="18"/>
  <c r="BC386" i="18"/>
  <c r="BC387" i="18"/>
  <c r="BC388" i="18"/>
  <c r="BC389" i="18"/>
  <c r="BC390" i="18"/>
  <c r="BC391" i="18"/>
  <c r="BC392" i="18"/>
  <c r="BC393" i="18"/>
  <c r="BC394" i="18"/>
  <c r="BC395" i="18"/>
  <c r="BC396" i="18"/>
  <c r="BC397" i="18"/>
  <c r="BC398" i="18"/>
  <c r="BC399" i="18"/>
  <c r="BC400" i="18"/>
  <c r="BC401" i="18"/>
  <c r="BC402" i="18"/>
  <c r="BC403" i="18"/>
  <c r="BC404" i="18"/>
  <c r="BC405" i="18"/>
  <c r="BC406" i="18"/>
  <c r="BC407" i="18"/>
  <c r="BC408" i="18"/>
  <c r="BC409" i="18"/>
  <c r="BC410" i="18"/>
  <c r="BC411" i="18"/>
  <c r="BC412" i="18"/>
  <c r="BC413" i="18"/>
  <c r="BC414" i="18"/>
  <c r="BC415" i="18"/>
  <c r="BC416" i="18"/>
  <c r="BC417" i="18"/>
  <c r="BC418" i="18"/>
  <c r="BC419" i="18"/>
  <c r="BC420" i="18"/>
  <c r="BC421" i="18"/>
  <c r="BC422" i="18"/>
  <c r="BC423" i="18"/>
  <c r="BC424" i="18"/>
  <c r="BC425" i="18"/>
  <c r="BC426" i="18"/>
  <c r="BC427" i="18"/>
  <c r="BC428" i="18"/>
  <c r="BC429" i="18"/>
  <c r="BC430" i="18"/>
  <c r="BC431" i="18"/>
  <c r="BC432" i="18"/>
  <c r="BC433" i="18"/>
  <c r="BC434" i="18"/>
  <c r="BC435" i="18"/>
  <c r="BC436" i="18"/>
  <c r="BC437" i="18"/>
  <c r="BC438" i="18"/>
  <c r="BC439" i="18"/>
  <c r="BC440" i="18"/>
  <c r="BC441" i="18"/>
  <c r="BC442" i="18"/>
  <c r="BC443" i="18"/>
  <c r="BC444" i="18"/>
  <c r="BC445" i="18"/>
  <c r="BC446" i="18"/>
  <c r="BC447" i="18"/>
  <c r="BC448" i="18"/>
  <c r="BC449" i="18"/>
  <c r="BC450" i="18"/>
  <c r="BC451" i="18"/>
  <c r="BC452" i="18"/>
  <c r="BC453" i="18"/>
  <c r="BC454" i="18"/>
  <c r="BC455" i="18"/>
  <c r="BC456" i="18"/>
  <c r="BC457" i="18"/>
  <c r="BC458" i="18"/>
  <c r="BC459" i="18"/>
  <c r="BC460" i="18"/>
  <c r="BC461" i="18"/>
  <c r="BC462" i="18"/>
  <c r="BC463" i="18"/>
  <c r="BC464" i="18"/>
  <c r="BC465" i="18"/>
  <c r="BC466" i="18"/>
  <c r="BC467" i="18"/>
  <c r="BC468" i="18"/>
  <c r="BC469" i="18"/>
  <c r="BC470" i="18"/>
  <c r="BC471" i="18"/>
  <c r="BC472" i="18"/>
  <c r="BC473" i="18"/>
  <c r="BC474" i="18"/>
  <c r="BC475" i="18"/>
  <c r="BC476" i="18"/>
  <c r="BC477" i="18"/>
  <c r="BC478" i="18"/>
  <c r="BC479" i="18"/>
  <c r="BC480" i="18"/>
  <c r="BC481" i="18"/>
  <c r="BC482" i="18"/>
  <c r="BC483" i="18"/>
  <c r="BC484" i="18"/>
  <c r="BC485" i="18"/>
  <c r="BC486" i="18"/>
  <c r="BC487" i="18"/>
  <c r="BC488" i="18"/>
  <c r="BC489" i="18"/>
  <c r="BC490" i="18"/>
  <c r="BC491" i="18"/>
  <c r="BC492" i="18"/>
  <c r="BC493" i="18"/>
  <c r="BC494" i="18"/>
  <c r="BC495" i="18"/>
  <c r="BC496" i="18"/>
  <c r="BC497" i="18"/>
  <c r="BC498" i="18"/>
  <c r="BC499" i="18"/>
  <c r="BC500" i="18"/>
  <c r="BC501" i="18"/>
  <c r="BC502" i="18"/>
  <c r="BC503" i="18"/>
  <c r="BC504" i="18"/>
  <c r="BC505" i="18"/>
  <c r="BC506" i="18"/>
  <c r="BC507" i="18"/>
  <c r="BC508" i="18"/>
  <c r="BC509" i="18"/>
  <c r="BC510" i="18"/>
  <c r="BC511" i="18"/>
  <c r="BC512" i="18"/>
  <c r="BC513" i="18"/>
  <c r="BC514" i="18"/>
  <c r="BC515" i="18"/>
  <c r="BC516" i="18"/>
  <c r="BC517" i="18"/>
  <c r="BC518" i="18"/>
  <c r="BC519" i="18"/>
  <c r="BC520" i="18"/>
  <c r="BC521" i="18"/>
  <c r="BC522" i="18"/>
  <c r="BC523" i="18"/>
  <c r="BC524" i="18"/>
  <c r="BC525" i="18"/>
  <c r="BC526" i="18"/>
  <c r="BC527" i="18"/>
  <c r="BC528" i="18"/>
  <c r="BC529" i="18"/>
  <c r="BC530" i="18"/>
  <c r="BC531" i="18"/>
  <c r="BC532" i="18"/>
  <c r="BC533" i="18"/>
  <c r="BC534" i="18"/>
  <c r="BC535" i="18"/>
  <c r="BC536" i="18"/>
  <c r="BC537" i="18"/>
  <c r="BC538" i="18"/>
  <c r="BC539" i="18"/>
  <c r="BC540" i="18"/>
  <c r="BC541" i="18"/>
  <c r="BC542" i="18"/>
  <c r="BC543" i="18"/>
  <c r="BC544" i="18"/>
  <c r="BC545" i="18"/>
  <c r="BC546" i="18"/>
  <c r="BC547" i="18"/>
  <c r="BC548" i="18"/>
  <c r="BC549" i="18"/>
  <c r="BC550" i="18"/>
  <c r="BC551" i="18"/>
  <c r="BC552" i="18"/>
  <c r="BC553" i="18"/>
  <c r="BC554" i="18"/>
  <c r="BC555" i="18"/>
  <c r="BC556" i="18"/>
  <c r="BC557" i="18"/>
  <c r="BC558" i="18"/>
  <c r="BC559" i="18"/>
  <c r="BC560" i="18"/>
  <c r="BC561" i="18"/>
  <c r="BC562" i="18"/>
  <c r="BC563" i="18"/>
  <c r="BC564" i="18"/>
  <c r="BC565" i="18"/>
  <c r="BC566" i="18"/>
  <c r="BC567" i="18"/>
  <c r="BC568" i="18"/>
  <c r="BC569" i="18"/>
  <c r="BC570" i="18"/>
  <c r="BC571" i="18"/>
  <c r="BC572" i="18"/>
  <c r="BC573" i="18"/>
  <c r="BC574" i="18"/>
  <c r="BC575" i="18"/>
  <c r="BC576" i="18"/>
  <c r="BC577" i="18"/>
  <c r="BC578" i="18"/>
  <c r="BC579" i="18"/>
  <c r="BC580" i="18"/>
  <c r="BC581" i="18"/>
  <c r="BC582" i="18"/>
  <c r="BC583" i="18"/>
  <c r="BC584" i="18"/>
  <c r="BC585" i="18"/>
  <c r="BC586" i="18"/>
  <c r="BC587" i="18"/>
  <c r="BC588" i="18"/>
  <c r="BC589" i="18"/>
  <c r="BC590" i="18"/>
  <c r="BC591" i="18"/>
  <c r="BC592" i="18"/>
  <c r="BC593" i="18"/>
  <c r="BC594" i="18"/>
  <c r="BC595" i="18"/>
  <c r="BC596" i="18"/>
  <c r="BC597" i="18"/>
  <c r="BC598" i="18"/>
  <c r="BC599" i="18"/>
  <c r="BC600" i="18"/>
  <c r="BC601" i="18"/>
  <c r="BC602" i="18"/>
  <c r="BC603" i="18"/>
  <c r="BC604" i="18"/>
  <c r="BC605" i="18"/>
  <c r="BC606" i="18"/>
  <c r="BC607" i="18"/>
  <c r="BC608" i="18"/>
  <c r="BC609" i="18"/>
  <c r="BC610" i="18"/>
  <c r="BC611" i="18"/>
  <c r="BC612" i="18"/>
  <c r="BC613" i="18"/>
  <c r="BC614" i="18"/>
  <c r="BC615" i="18"/>
  <c r="BC616" i="18"/>
  <c r="BC617" i="18"/>
  <c r="BC618" i="18"/>
  <c r="BC619" i="18"/>
  <c r="BC620" i="18"/>
  <c r="BC621" i="18"/>
  <c r="BC622" i="18"/>
  <c r="BC623" i="18"/>
  <c r="BC624" i="18"/>
  <c r="BC625" i="18"/>
  <c r="BC626" i="18"/>
  <c r="BC627" i="18"/>
  <c r="BC628" i="18"/>
  <c r="BC629" i="18"/>
  <c r="BC630" i="18"/>
  <c r="BC631" i="18"/>
  <c r="BC632" i="18"/>
  <c r="BC633" i="18"/>
  <c r="BC634" i="18"/>
  <c r="BC635" i="18"/>
  <c r="BC636" i="18"/>
  <c r="BC637" i="18"/>
  <c r="BC638" i="18"/>
  <c r="BC639" i="18"/>
  <c r="BC640" i="18"/>
  <c r="BC641" i="18"/>
  <c r="BC642" i="18"/>
  <c r="BC643" i="18"/>
  <c r="BC644" i="18"/>
  <c r="BC645" i="18"/>
  <c r="BC646" i="18"/>
  <c r="BC647" i="18"/>
  <c r="BC648" i="18"/>
  <c r="BC649" i="18"/>
  <c r="BC650" i="18"/>
  <c r="BC651" i="18"/>
  <c r="BC652" i="18"/>
  <c r="BC653" i="18"/>
  <c r="BC654" i="18"/>
  <c r="BC655" i="18"/>
  <c r="BC656" i="18"/>
  <c r="BC657" i="18"/>
  <c r="BC658" i="18"/>
  <c r="BC659" i="18"/>
  <c r="BC660" i="18"/>
  <c r="BC661" i="18"/>
  <c r="BC662" i="18"/>
  <c r="BC663" i="18"/>
  <c r="BC664" i="18"/>
  <c r="BC665" i="18"/>
  <c r="BC666" i="18"/>
  <c r="BC667" i="18"/>
  <c r="BC668" i="18"/>
  <c r="BC669" i="18"/>
  <c r="BC670" i="18"/>
  <c r="BC671" i="18"/>
  <c r="BC672" i="18"/>
  <c r="BC673" i="18"/>
  <c r="BC674" i="18"/>
  <c r="BC675" i="18"/>
  <c r="BC676" i="18"/>
  <c r="BC677" i="18"/>
  <c r="BC678" i="18"/>
  <c r="BC679" i="18"/>
  <c r="BC680" i="18"/>
  <c r="BC681" i="18"/>
  <c r="BC682" i="18"/>
  <c r="BC683" i="18"/>
  <c r="BC684" i="18"/>
  <c r="BC685" i="18"/>
  <c r="BC686" i="18"/>
  <c r="BC687" i="18"/>
  <c r="BC688" i="18"/>
  <c r="BC689" i="18"/>
  <c r="BC690" i="18"/>
  <c r="BC691" i="18"/>
  <c r="BC692" i="18"/>
  <c r="BC693" i="18"/>
  <c r="BC694" i="18"/>
  <c r="BC695" i="18"/>
  <c r="BC696" i="18"/>
  <c r="BC697" i="18"/>
  <c r="BC698" i="18"/>
  <c r="BC699" i="18"/>
  <c r="BC700" i="18"/>
  <c r="BC701" i="18"/>
  <c r="BC702" i="18"/>
  <c r="BC703" i="18"/>
  <c r="BC704" i="18"/>
  <c r="BC705" i="18"/>
  <c r="BC706" i="18"/>
  <c r="BC707" i="18"/>
  <c r="BC708" i="18"/>
  <c r="BC709" i="18"/>
  <c r="BC710" i="18"/>
  <c r="BC711" i="18"/>
  <c r="BC712" i="18"/>
  <c r="BC713" i="18"/>
  <c r="BC714" i="18"/>
  <c r="BC715" i="18"/>
  <c r="BC716" i="18"/>
  <c r="BC717" i="18"/>
  <c r="BC718" i="18"/>
  <c r="BC719" i="18"/>
  <c r="BC720" i="18"/>
  <c r="BC721" i="18"/>
  <c r="BC722" i="18"/>
  <c r="BC723" i="18"/>
  <c r="BC724" i="18"/>
  <c r="BC725" i="18"/>
  <c r="BC726" i="18"/>
  <c r="BC727" i="18"/>
  <c r="BC728" i="18"/>
  <c r="BC729" i="18"/>
  <c r="BC730" i="18"/>
  <c r="BC731" i="18"/>
  <c r="BC732" i="18"/>
  <c r="BC733" i="18"/>
  <c r="BC734" i="18"/>
  <c r="BC735" i="18"/>
  <c r="BC736" i="18"/>
  <c r="BC737" i="18"/>
  <c r="BC738" i="18"/>
  <c r="BC739" i="18"/>
  <c r="BC740" i="18"/>
  <c r="BC741" i="18"/>
  <c r="BC742" i="18"/>
  <c r="BC743" i="18"/>
  <c r="BC744" i="18"/>
  <c r="BC745" i="18"/>
  <c r="BC746" i="18"/>
  <c r="BC747" i="18"/>
  <c r="BC748" i="18"/>
  <c r="BC749" i="18"/>
  <c r="BC750" i="18"/>
  <c r="BC751" i="18"/>
  <c r="BC752" i="18"/>
  <c r="BC753" i="18"/>
  <c r="BC754" i="18"/>
  <c r="BC755" i="18"/>
  <c r="BC756" i="18"/>
  <c r="BC757" i="18"/>
  <c r="BC758" i="18"/>
  <c r="BC759" i="18"/>
  <c r="BC760" i="18"/>
  <c r="BC761" i="18"/>
  <c r="BC762" i="18"/>
  <c r="BC763" i="18"/>
  <c r="BC764" i="18"/>
  <c r="BC765" i="18"/>
  <c r="BC766" i="18"/>
  <c r="BC767" i="18"/>
  <c r="BC768" i="18"/>
  <c r="BC769" i="18"/>
  <c r="BC770" i="18"/>
  <c r="BC771" i="18"/>
  <c r="BC772" i="18"/>
  <c r="BC773" i="18"/>
  <c r="BC774" i="18"/>
  <c r="BC775" i="18"/>
  <c r="BC776" i="18"/>
  <c r="BC777" i="18"/>
  <c r="BC778" i="18"/>
  <c r="BC779" i="18"/>
  <c r="BC780" i="18"/>
  <c r="BC781" i="18"/>
  <c r="BC782" i="18"/>
  <c r="BC783" i="18"/>
  <c r="BC784" i="18"/>
  <c r="BC785" i="18"/>
  <c r="BC786" i="18"/>
  <c r="BC787" i="18"/>
  <c r="BC788" i="18"/>
  <c r="BC789" i="18"/>
  <c r="BC790" i="18"/>
  <c r="BC791" i="18"/>
  <c r="BC792" i="18"/>
  <c r="BC793" i="18"/>
  <c r="BC794" i="18"/>
  <c r="BC795" i="18"/>
  <c r="BC796" i="18"/>
  <c r="BC797" i="18"/>
  <c r="BC798" i="18"/>
  <c r="BC799" i="18"/>
  <c r="BC800" i="18"/>
  <c r="BC801" i="18"/>
  <c r="BC802" i="18"/>
  <c r="BC803" i="18"/>
  <c r="BC804" i="18"/>
  <c r="BC805" i="18"/>
  <c r="BC806" i="18"/>
  <c r="BC807" i="18"/>
  <c r="BC808" i="18"/>
  <c r="BC809" i="18"/>
  <c r="BC810" i="18"/>
  <c r="BC811" i="18"/>
  <c r="BC812" i="18"/>
  <c r="BC813" i="18"/>
  <c r="BC814" i="18"/>
  <c r="BC815" i="18"/>
  <c r="BC816" i="18"/>
  <c r="BC817" i="18"/>
  <c r="BC818" i="18"/>
  <c r="BC819" i="18"/>
  <c r="BC820" i="18"/>
  <c r="BC821" i="18"/>
  <c r="BC822" i="18"/>
  <c r="BC823" i="18"/>
  <c r="BC824" i="18"/>
  <c r="BC825" i="18"/>
  <c r="BC826" i="18"/>
  <c r="BC827" i="18"/>
  <c r="BC828" i="18"/>
  <c r="BC829" i="18"/>
  <c r="BC830" i="18"/>
  <c r="BC831" i="18"/>
  <c r="BC832" i="18"/>
  <c r="BC833" i="18"/>
  <c r="BC834" i="18"/>
  <c r="BC835" i="18"/>
  <c r="BC836" i="18"/>
  <c r="BC837" i="18"/>
  <c r="BC838" i="18"/>
  <c r="BC839" i="18"/>
  <c r="BC840" i="18"/>
  <c r="BC841" i="18"/>
  <c r="BC842" i="18"/>
  <c r="BC843" i="18"/>
  <c r="BC844" i="18"/>
  <c r="BC845" i="18"/>
  <c r="BC846" i="18"/>
  <c r="BC847" i="18"/>
  <c r="BC848" i="18"/>
  <c r="BC849" i="18"/>
  <c r="BC850" i="18"/>
  <c r="BC851" i="18"/>
  <c r="BC852" i="18"/>
  <c r="BC853" i="18"/>
  <c r="BC854" i="18"/>
  <c r="BC855" i="18"/>
  <c r="BC856" i="18"/>
  <c r="BC857" i="18"/>
  <c r="BC858" i="18"/>
  <c r="BC859" i="18"/>
  <c r="BC860" i="18"/>
  <c r="BC861" i="18"/>
  <c r="BC862" i="18"/>
  <c r="BC863" i="18"/>
  <c r="BC864" i="18"/>
  <c r="BC865" i="18"/>
  <c r="BC866" i="18"/>
  <c r="BC867" i="18"/>
  <c r="BC868" i="18"/>
  <c r="BC869" i="18"/>
  <c r="BC870" i="18"/>
  <c r="BC871" i="18"/>
  <c r="BC872" i="18"/>
  <c r="BC873" i="18"/>
  <c r="BC874" i="18"/>
  <c r="BC875" i="18"/>
  <c r="BC876" i="18"/>
  <c r="BC877" i="18"/>
  <c r="BC878" i="18"/>
  <c r="BC879" i="18"/>
  <c r="BC880" i="18"/>
  <c r="BC881" i="18"/>
  <c r="BC882" i="18"/>
  <c r="BC883" i="18"/>
  <c r="BC884" i="18"/>
  <c r="BC885" i="18"/>
  <c r="BC886" i="18"/>
  <c r="BC887" i="18"/>
  <c r="BC888" i="18"/>
  <c r="BC889" i="18"/>
  <c r="BC890" i="18"/>
  <c r="BC891" i="18"/>
  <c r="BC892" i="18"/>
  <c r="BC893" i="18"/>
  <c r="BC894" i="18"/>
  <c r="BC895" i="18"/>
  <c r="BC896" i="18"/>
  <c r="BC897" i="18"/>
  <c r="BC898" i="18"/>
  <c r="BC899" i="18"/>
  <c r="BC900" i="18"/>
  <c r="BC901" i="18"/>
  <c r="BC902" i="18"/>
  <c r="BC903" i="18"/>
  <c r="BC904" i="18"/>
  <c r="BC905" i="18"/>
  <c r="BC906" i="18"/>
  <c r="BC907" i="18"/>
  <c r="BC908" i="18"/>
  <c r="BC909" i="18"/>
  <c r="BC910" i="18"/>
  <c r="BC911" i="18"/>
  <c r="BC912" i="18"/>
  <c r="BC913" i="18"/>
  <c r="BC914" i="18"/>
  <c r="BC915" i="18"/>
  <c r="BC916" i="18"/>
  <c r="BC917" i="18"/>
  <c r="BC918" i="18"/>
  <c r="BC919" i="18"/>
  <c r="BC920" i="18"/>
  <c r="BC921" i="18"/>
  <c r="BC922" i="18"/>
  <c r="BC923" i="18"/>
  <c r="BC924" i="18"/>
  <c r="BC925" i="18"/>
  <c r="BC926" i="18"/>
  <c r="BC927" i="18"/>
  <c r="BC928" i="18"/>
  <c r="BC929" i="18"/>
  <c r="BC930" i="18"/>
  <c r="BC931" i="18"/>
  <c r="BC932" i="18"/>
  <c r="BC933" i="18"/>
  <c r="BC934" i="18"/>
  <c r="BC935" i="18"/>
  <c r="BC936" i="18"/>
  <c r="BC937" i="18"/>
  <c r="BC938" i="18"/>
  <c r="BC939" i="18"/>
  <c r="BC940" i="18"/>
  <c r="BC941" i="18"/>
  <c r="BC942" i="18"/>
  <c r="BC943" i="18"/>
  <c r="BC944" i="18"/>
  <c r="BC945" i="18"/>
  <c r="BC946" i="18"/>
  <c r="BC947" i="18"/>
  <c r="BC948" i="18"/>
  <c r="BC949" i="18"/>
  <c r="BC950" i="18"/>
  <c r="BC951" i="18"/>
  <c r="BC952" i="18"/>
  <c r="BC953" i="18"/>
  <c r="BC954" i="18"/>
  <c r="BC955" i="18"/>
  <c r="BC956" i="18"/>
  <c r="BC957" i="18"/>
  <c r="BC958" i="18"/>
  <c r="BC959" i="18"/>
  <c r="BC960" i="18"/>
  <c r="BC961" i="18"/>
  <c r="BC962" i="18"/>
  <c r="BC963" i="18"/>
  <c r="BC964" i="18"/>
  <c r="BC965" i="18"/>
  <c r="BC966" i="18"/>
  <c r="BC967" i="18"/>
  <c r="BC968" i="18"/>
  <c r="BC969" i="18"/>
  <c r="BC970" i="18"/>
  <c r="BC971" i="18"/>
  <c r="BC972" i="18"/>
  <c r="BC973" i="18"/>
  <c r="BC974" i="18"/>
  <c r="BC975" i="18"/>
  <c r="BC976" i="18"/>
  <c r="BC977" i="18"/>
  <c r="BC978" i="18"/>
  <c r="BC979" i="18"/>
  <c r="BC980" i="18"/>
  <c r="BC981" i="18"/>
  <c r="BC982" i="18"/>
  <c r="BC983" i="18"/>
  <c r="BC984" i="18"/>
  <c r="BC985" i="18"/>
  <c r="BC986" i="18"/>
  <c r="BC987" i="18"/>
  <c r="BC988" i="18"/>
  <c r="BC989" i="18"/>
  <c r="BC990" i="18"/>
  <c r="BC991" i="18"/>
  <c r="BC992" i="18"/>
  <c r="BC993" i="18"/>
  <c r="BC994" i="18"/>
  <c r="BC995" i="18"/>
  <c r="BC996" i="18"/>
  <c r="BC997" i="18"/>
  <c r="BC998" i="18"/>
  <c r="BC999" i="18"/>
  <c r="BC1000" i="18"/>
  <c r="BC1001" i="18"/>
  <c r="BC1002" i="18"/>
  <c r="BC1003" i="18"/>
  <c r="BC1004" i="18"/>
  <c r="BC1005" i="18"/>
  <c r="BC1006" i="18"/>
  <c r="BC7" i="18"/>
  <c r="M4" i="16"/>
  <c r="O4" i="16"/>
  <c r="P4" i="16"/>
  <c r="R4" i="16"/>
  <c r="S4" i="16"/>
  <c r="T4" i="16"/>
  <c r="E43" i="22" s="1"/>
  <c r="U4" i="16"/>
  <c r="V4" i="16"/>
  <c r="X4" i="16"/>
  <c r="Y4" i="16"/>
  <c r="G43" i="22" s="1"/>
  <c r="K88" i="2" l="1"/>
  <c r="AK21" i="48"/>
  <c r="AY58" i="48" s="1"/>
  <c r="AK22" i="48"/>
  <c r="AY70" i="48" s="1"/>
  <c r="AY28" i="48"/>
  <c r="AK18" i="48"/>
  <c r="AK19" i="48"/>
  <c r="AY37" i="48" s="1"/>
  <c r="AK20" i="48"/>
  <c r="AY47" i="48" s="1"/>
  <c r="AK3" i="48"/>
  <c r="AK32" i="48" s="1"/>
  <c r="AQ28" i="48"/>
  <c r="AV28" i="48" s="1"/>
  <c r="AK7" i="48"/>
  <c r="AQ47" i="48"/>
  <c r="AK5" i="48"/>
  <c r="AK4" i="48"/>
  <c r="AK6" i="48"/>
  <c r="AU14" i="48"/>
  <c r="AW14" i="48"/>
  <c r="B1" i="34"/>
  <c r="AE6" i="34" s="1"/>
  <c r="L7" i="34"/>
  <c r="L16" i="34"/>
  <c r="O6" i="34"/>
  <c r="O15" i="34"/>
  <c r="U7" i="34"/>
  <c r="R16" i="34"/>
  <c r="L4" i="34"/>
  <c r="L6" i="34"/>
  <c r="R6" i="34"/>
  <c r="L17" i="34"/>
  <c r="O16" i="34"/>
  <c r="R17" i="34"/>
  <c r="L5" i="34"/>
  <c r="O7" i="34"/>
  <c r="R7" i="34"/>
  <c r="L14" i="34"/>
  <c r="O17" i="34"/>
  <c r="U17" i="34"/>
  <c r="O5" i="34"/>
  <c r="L15" i="34"/>
  <c r="D31" i="22"/>
  <c r="BF10" i="18"/>
  <c r="C4" i="14"/>
  <c r="AJ4" i="18"/>
  <c r="AI4" i="18"/>
  <c r="AH4" i="18"/>
  <c r="AG4" i="18"/>
  <c r="AF4" i="18"/>
  <c r="AE4" i="18"/>
  <c r="AD4" i="18"/>
  <c r="AC4" i="18"/>
  <c r="AB4" i="18"/>
  <c r="AA4" i="18"/>
  <c r="Z4" i="18"/>
  <c r="Y4" i="18"/>
  <c r="C66" i="28"/>
  <c r="C65" i="28"/>
  <c r="C64" i="28"/>
  <c r="D53" i="28"/>
  <c r="C53" i="28"/>
  <c r="C52" i="28"/>
  <c r="D46" i="28"/>
  <c r="C46" i="28"/>
  <c r="D45" i="28"/>
  <c r="H117" i="2" s="1"/>
  <c r="C45" i="28"/>
  <c r="D44" i="28"/>
  <c r="C44" i="28"/>
  <c r="E44" i="28" s="1"/>
  <c r="AK34" i="48" l="1"/>
  <c r="AK29" i="48"/>
  <c r="AV47" i="48"/>
  <c r="AQ58" i="48"/>
  <c r="AV58" i="48" s="1"/>
  <c r="AK35" i="48"/>
  <c r="AQ70" i="48"/>
  <c r="AV70" i="48" s="1"/>
  <c r="AK36" i="48"/>
  <c r="AQ37" i="48"/>
  <c r="AV37" i="48" s="1"/>
  <c r="AK33" i="48"/>
  <c r="AK14" i="48"/>
  <c r="G7" i="34"/>
  <c r="I7" i="34" s="1"/>
  <c r="V7" i="34" s="1"/>
  <c r="AB60" i="34" s="1"/>
  <c r="G13" i="34"/>
  <c r="I13" i="34" s="1"/>
  <c r="V13" i="34" s="1"/>
  <c r="G5" i="34"/>
  <c r="I5" i="34" s="1"/>
  <c r="V5" i="34" s="1"/>
  <c r="AB37" i="34" s="1"/>
  <c r="G16" i="34"/>
  <c r="I16" i="34" s="1"/>
  <c r="V16" i="34" s="1"/>
  <c r="AJ48" i="34" s="1"/>
  <c r="G14" i="34"/>
  <c r="I14" i="34" s="1"/>
  <c r="V14" i="34" s="1"/>
  <c r="AJ27" i="34" s="1"/>
  <c r="G3" i="34"/>
  <c r="I3" i="34" s="1"/>
  <c r="G6" i="34"/>
  <c r="I6" i="34" s="1"/>
  <c r="V6" i="34" s="1"/>
  <c r="AB48" i="34" s="1"/>
  <c r="G17" i="34"/>
  <c r="I17" i="34" s="1"/>
  <c r="V17" i="34" s="1"/>
  <c r="AH9" i="34"/>
  <c r="AF9" i="34"/>
  <c r="G15" i="34"/>
  <c r="I15" i="34" s="1"/>
  <c r="V15" i="34" s="1"/>
  <c r="G4" i="34"/>
  <c r="I4" i="34" s="1"/>
  <c r="V4" i="34" s="1"/>
  <c r="AB27" i="34" s="1"/>
  <c r="C51" i="28"/>
  <c r="C58" i="28" s="1"/>
  <c r="H120" i="2"/>
  <c r="E53" i="28"/>
  <c r="M53" i="28" s="1"/>
  <c r="D52" i="28"/>
  <c r="L52" i="28" s="1"/>
  <c r="E45" i="28"/>
  <c r="H118" i="2"/>
  <c r="Q4" i="16"/>
  <c r="D43" i="22" s="1"/>
  <c r="B31" i="22"/>
  <c r="C31" i="22"/>
  <c r="E46" i="28"/>
  <c r="G4" i="16"/>
  <c r="G103" i="16"/>
  <c r="G102" i="16"/>
  <c r="G101" i="16"/>
  <c r="G100" i="16"/>
  <c r="G99" i="16"/>
  <c r="G98" i="16"/>
  <c r="G97" i="16"/>
  <c r="G96" i="16"/>
  <c r="G95" i="16"/>
  <c r="G94" i="16"/>
  <c r="G93" i="16"/>
  <c r="G92" i="16"/>
  <c r="G91" i="16"/>
  <c r="G90" i="16"/>
  <c r="G89" i="16"/>
  <c r="G88" i="16"/>
  <c r="G87" i="16"/>
  <c r="G86" i="16"/>
  <c r="G85" i="16"/>
  <c r="G84" i="16"/>
  <c r="G83" i="16"/>
  <c r="G82" i="16"/>
  <c r="G81" i="16"/>
  <c r="G80" i="16"/>
  <c r="G79" i="16"/>
  <c r="G78" i="16"/>
  <c r="G77" i="16"/>
  <c r="G76" i="16"/>
  <c r="G75" i="16"/>
  <c r="G74" i="16"/>
  <c r="G73" i="16"/>
  <c r="G72" i="16"/>
  <c r="G71" i="16"/>
  <c r="G70" i="16"/>
  <c r="G69" i="16"/>
  <c r="G68" i="16"/>
  <c r="G67" i="16"/>
  <c r="G66" i="16"/>
  <c r="G65" i="16"/>
  <c r="G64" i="16"/>
  <c r="G63" i="16"/>
  <c r="G62" i="16"/>
  <c r="G61" i="16"/>
  <c r="G60" i="16"/>
  <c r="G59" i="16"/>
  <c r="G58" i="16"/>
  <c r="G57" i="16"/>
  <c r="G56" i="16"/>
  <c r="G55" i="16"/>
  <c r="G54" i="16"/>
  <c r="G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G16" i="16"/>
  <c r="G15" i="16"/>
  <c r="G14" i="16"/>
  <c r="G13" i="16"/>
  <c r="G12" i="16"/>
  <c r="G11" i="16"/>
  <c r="G10" i="16"/>
  <c r="G9" i="16"/>
  <c r="G8" i="16"/>
  <c r="G7" i="16"/>
  <c r="G6" i="16"/>
  <c r="G5" i="16"/>
  <c r="G32" i="48" l="1"/>
  <c r="AV74" i="48"/>
  <c r="AJ18" i="34"/>
  <c r="AJ60" i="34"/>
  <c r="AG60" i="34" s="1"/>
  <c r="AJ37" i="34"/>
  <c r="AG37" i="34" s="1"/>
  <c r="AG48" i="34"/>
  <c r="AG27" i="34"/>
  <c r="V3" i="34"/>
  <c r="V9" i="34" s="1"/>
  <c r="AB18" i="34"/>
  <c r="K51" i="28"/>
  <c r="K52" i="28"/>
  <c r="L53" i="28"/>
  <c r="V19" i="34"/>
  <c r="E64" i="28"/>
  <c r="G64" i="28" s="1"/>
  <c r="F120" i="2" s="1"/>
  <c r="B120" i="2" s="1"/>
  <c r="C59" i="28"/>
  <c r="D59" i="28" s="1"/>
  <c r="C60" i="28"/>
  <c r="K53" i="28"/>
  <c r="B43" i="22"/>
  <c r="C43" i="22"/>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4" i="14"/>
  <c r="I114" i="2"/>
  <c r="I113" i="2"/>
  <c r="I109" i="2"/>
  <c r="I101" i="2"/>
  <c r="I108" i="2"/>
  <c r="I105" i="2"/>
  <c r="I106" i="2"/>
  <c r="I107" i="2"/>
  <c r="I104" i="2"/>
  <c r="I100" i="2"/>
  <c r="AG18" i="34" l="1"/>
  <c r="AG64" i="34" s="1"/>
  <c r="J114" i="2"/>
  <c r="K114" i="2" s="1"/>
  <c r="K109" i="2"/>
  <c r="L109" i="2"/>
  <c r="K108" i="2"/>
  <c r="L108" i="2"/>
  <c r="K107" i="2"/>
  <c r="L107" i="2"/>
  <c r="K106" i="2"/>
  <c r="L106" i="2"/>
  <c r="K105" i="2"/>
  <c r="L105" i="2"/>
  <c r="K104" i="2"/>
  <c r="L104" i="2"/>
  <c r="L101" i="2"/>
  <c r="K101" i="2"/>
  <c r="K100" i="2"/>
  <c r="L100" i="2"/>
  <c r="R5" i="18"/>
  <c r="D60" i="28"/>
  <c r="E60" i="28" s="1"/>
  <c r="E66" i="28" s="1"/>
  <c r="G66" i="28" s="1"/>
  <c r="F118" i="2" s="1"/>
  <c r="E65" i="28"/>
  <c r="G65" i="28" s="1"/>
  <c r="F117" i="2" s="1"/>
  <c r="B117" i="2" s="1"/>
  <c r="G22" i="34"/>
  <c r="G28" i="34" s="1"/>
  <c r="F108" i="2"/>
  <c r="B108" i="2" s="1"/>
  <c r="F106" i="2"/>
  <c r="B106" i="2" s="1"/>
  <c r="F107" i="2"/>
  <c r="B107" i="2" s="1"/>
  <c r="F105" i="2"/>
  <c r="B105" i="2" s="1"/>
  <c r="F104" i="2"/>
  <c r="B104" i="2" s="1"/>
  <c r="F101" i="2"/>
  <c r="B101" i="2" s="1"/>
  <c r="F100" i="2"/>
  <c r="B100" i="2" s="1"/>
  <c r="F109" i="2"/>
  <c r="B109" i="2" s="1"/>
  <c r="J113" i="2"/>
  <c r="F113" i="2" s="1"/>
  <c r="B113" i="2" s="1"/>
  <c r="F114" i="2"/>
  <c r="B114" i="2" s="1"/>
  <c r="B118" i="2" l="1"/>
  <c r="B119" i="2" s="1"/>
  <c r="L114" i="2"/>
  <c r="L113" i="2"/>
  <c r="K113" i="2"/>
  <c r="O5" i="18"/>
  <c r="N8" i="22"/>
  <c r="P8" i="22"/>
  <c r="P5" i="18" l="1"/>
  <c r="H97" i="14"/>
  <c r="H52" i="16"/>
  <c r="H43" i="14"/>
  <c r="H13" i="14"/>
  <c r="H84" i="16"/>
  <c r="H72" i="14"/>
  <c r="H30" i="14"/>
  <c r="H11" i="16"/>
  <c r="H102" i="16"/>
  <c r="H96" i="16"/>
  <c r="H57" i="14"/>
  <c r="H75" i="16"/>
  <c r="H23" i="14"/>
  <c r="H94" i="14"/>
  <c r="H6" i="14"/>
  <c r="H77" i="14"/>
  <c r="H40" i="14"/>
  <c r="H43" i="16"/>
  <c r="H95" i="16"/>
  <c r="H87" i="14"/>
  <c r="H70" i="14"/>
  <c r="H86" i="16"/>
  <c r="H25" i="16"/>
  <c r="H8" i="14"/>
  <c r="H67" i="14"/>
  <c r="H26" i="16"/>
  <c r="H50" i="14"/>
  <c r="H33" i="16"/>
  <c r="H33" i="14"/>
  <c r="H4" i="14"/>
  <c r="H82" i="16"/>
  <c r="H20" i="16"/>
  <c r="H83" i="14"/>
  <c r="H39" i="14"/>
  <c r="H98" i="16"/>
  <c r="H86" i="14"/>
  <c r="H46" i="14"/>
  <c r="H93" i="16"/>
  <c r="H81" i="16"/>
  <c r="H73" i="14"/>
  <c r="H29" i="14"/>
  <c r="H42" i="16"/>
  <c r="H92" i="14"/>
  <c r="H28" i="14"/>
  <c r="H94" i="16"/>
  <c r="H63" i="16"/>
  <c r="H75" i="14"/>
  <c r="H55" i="14"/>
  <c r="H11" i="14"/>
  <c r="H73" i="16"/>
  <c r="H102" i="14"/>
  <c r="H82" i="14"/>
  <c r="H62" i="14"/>
  <c r="H38" i="14"/>
  <c r="H18" i="14"/>
  <c r="H69" i="16"/>
  <c r="H88" i="16"/>
  <c r="H54" i="16"/>
  <c r="H89" i="14"/>
  <c r="H65" i="14"/>
  <c r="H45" i="14"/>
  <c r="H25" i="14"/>
  <c r="H61" i="16"/>
  <c r="H10" i="16"/>
  <c r="H78" i="16"/>
  <c r="H88" i="14"/>
  <c r="H56" i="14"/>
  <c r="H24" i="14"/>
  <c r="H92" i="16"/>
  <c r="H70" i="16"/>
  <c r="H27" i="16"/>
  <c r="H59" i="16"/>
  <c r="H4" i="16"/>
  <c r="H36" i="16"/>
  <c r="H68" i="16"/>
  <c r="H103" i="14"/>
  <c r="H59" i="14"/>
  <c r="H19" i="14"/>
  <c r="H45" i="16"/>
  <c r="H62" i="16"/>
  <c r="H66" i="14"/>
  <c r="H22" i="14"/>
  <c r="H50" i="16"/>
  <c r="H93" i="14"/>
  <c r="H49" i="14"/>
  <c r="H9" i="14"/>
  <c r="H97" i="16"/>
  <c r="H60" i="14"/>
  <c r="H21" i="16"/>
  <c r="H24" i="16"/>
  <c r="H56" i="16"/>
  <c r="H91" i="16"/>
  <c r="H31" i="16"/>
  <c r="H99" i="16"/>
  <c r="H99" i="14"/>
  <c r="H35" i="14"/>
  <c r="H13" i="16"/>
  <c r="H91" i="14"/>
  <c r="H71" i="14"/>
  <c r="H51" i="14"/>
  <c r="H27" i="14"/>
  <c r="H7" i="14"/>
  <c r="H89" i="16"/>
  <c r="H9" i="16"/>
  <c r="H98" i="14"/>
  <c r="H78" i="14"/>
  <c r="H54" i="14"/>
  <c r="H34" i="14"/>
  <c r="H14" i="14"/>
  <c r="H5" i="16"/>
  <c r="H65" i="16"/>
  <c r="H22" i="16"/>
  <c r="H81" i="14"/>
  <c r="H61" i="14"/>
  <c r="H41" i="14"/>
  <c r="H17" i="14"/>
  <c r="H29" i="16"/>
  <c r="H85" i="16"/>
  <c r="H14" i="16"/>
  <c r="H76" i="14"/>
  <c r="H44" i="14"/>
  <c r="H12" i="14"/>
  <c r="H101" i="16"/>
  <c r="H8" i="16"/>
  <c r="H40" i="16"/>
  <c r="H72" i="16"/>
  <c r="H15" i="16"/>
  <c r="H47" i="16"/>
  <c r="H79" i="16"/>
  <c r="H84" i="14"/>
  <c r="H52" i="14"/>
  <c r="H20" i="14"/>
  <c r="H66" i="16"/>
  <c r="H38" i="16"/>
  <c r="H32" i="16"/>
  <c r="H48" i="16"/>
  <c r="H64" i="16"/>
  <c r="H87" i="16"/>
  <c r="H7" i="16"/>
  <c r="H23" i="16"/>
  <c r="H39" i="16"/>
  <c r="H55" i="16"/>
  <c r="Q5" i="18"/>
  <c r="H100" i="14"/>
  <c r="H68" i="14"/>
  <c r="H36" i="14"/>
  <c r="H80" i="16"/>
  <c r="H49" i="16"/>
  <c r="H16" i="16"/>
  <c r="H71" i="16"/>
  <c r="H95" i="14"/>
  <c r="H79" i="14"/>
  <c r="H63" i="14"/>
  <c r="H47" i="14"/>
  <c r="H31" i="14"/>
  <c r="H15" i="14"/>
  <c r="H77" i="16"/>
  <c r="H58" i="16"/>
  <c r="H41" i="16"/>
  <c r="H30" i="16"/>
  <c r="H90" i="14"/>
  <c r="H74" i="14"/>
  <c r="H58" i="14"/>
  <c r="H42" i="14"/>
  <c r="H26" i="14"/>
  <c r="H10" i="14"/>
  <c r="H37" i="16"/>
  <c r="H18" i="16"/>
  <c r="H100" i="16"/>
  <c r="H101" i="14"/>
  <c r="H85" i="14"/>
  <c r="H69" i="14"/>
  <c r="H53" i="14"/>
  <c r="H37" i="14"/>
  <c r="H21" i="14"/>
  <c r="H90" i="16"/>
  <c r="H74" i="16"/>
  <c r="H57" i="16"/>
  <c r="H46" i="16"/>
  <c r="H96" i="14"/>
  <c r="H80" i="14"/>
  <c r="H64" i="14"/>
  <c r="H48" i="14"/>
  <c r="H32" i="14"/>
  <c r="H16" i="14"/>
  <c r="H53" i="16"/>
  <c r="H34" i="16"/>
  <c r="H17" i="16"/>
  <c r="H6" i="16"/>
  <c r="H19" i="16"/>
  <c r="H35" i="16"/>
  <c r="H51" i="16"/>
  <c r="H67" i="16"/>
  <c r="H103" i="16"/>
  <c r="H12" i="16"/>
  <c r="H28" i="16"/>
  <c r="H44" i="16"/>
  <c r="H60" i="16"/>
  <c r="H76" i="16"/>
  <c r="H83" i="16"/>
  <c r="H5" i="14"/>
  <c r="G8" i="10"/>
  <c r="E8" i="10"/>
  <c r="B61" i="2"/>
  <c r="I46" i="14" l="1"/>
  <c r="I31" i="14"/>
  <c r="I73" i="16"/>
  <c r="I46" i="16"/>
  <c r="I57" i="14"/>
  <c r="I81" i="14"/>
  <c r="I63" i="14"/>
  <c r="I78" i="16"/>
  <c r="I79" i="16"/>
  <c r="I77" i="14"/>
  <c r="I86" i="16"/>
  <c r="I11" i="16"/>
  <c r="I39" i="14"/>
  <c r="I38" i="14"/>
  <c r="I67" i="14"/>
  <c r="I68" i="14"/>
  <c r="I53" i="16"/>
  <c r="I43" i="16"/>
  <c r="I55" i="16"/>
  <c r="I43" i="14"/>
  <c r="I82" i="16"/>
  <c r="I83" i="16"/>
  <c r="I87" i="14"/>
  <c r="I10" i="16"/>
  <c r="I27" i="14"/>
  <c r="I52" i="16"/>
  <c r="I98" i="16"/>
  <c r="I93" i="16"/>
  <c r="I102" i="16"/>
  <c r="I71" i="16"/>
  <c r="I35" i="14"/>
  <c r="I40" i="16"/>
  <c r="I9" i="16"/>
  <c r="I45" i="14"/>
  <c r="I41" i="14"/>
  <c r="I24" i="14"/>
  <c r="I36" i="16"/>
  <c r="I18" i="16"/>
  <c r="I48" i="16"/>
  <c r="I81" i="16"/>
  <c r="I23" i="16"/>
  <c r="I29" i="14"/>
  <c r="I71" i="14"/>
  <c r="I26" i="16"/>
  <c r="I83" i="14"/>
  <c r="I73" i="14"/>
  <c r="I55" i="14"/>
  <c r="I33" i="16"/>
  <c r="I89" i="16"/>
  <c r="I96" i="16"/>
  <c r="I30" i="14"/>
  <c r="I61" i="16"/>
  <c r="I20" i="16"/>
  <c r="I65" i="14"/>
  <c r="I102" i="14"/>
  <c r="I75" i="14"/>
  <c r="I95" i="16"/>
  <c r="I34" i="14"/>
  <c r="I72" i="14"/>
  <c r="I13" i="14"/>
  <c r="I8" i="14"/>
  <c r="I27" i="16"/>
  <c r="I103" i="14"/>
  <c r="I76" i="14"/>
  <c r="I18" i="14"/>
  <c r="I51" i="14"/>
  <c r="I93" i="14"/>
  <c r="I92" i="14"/>
  <c r="I25" i="16"/>
  <c r="I19" i="14"/>
  <c r="I6" i="14"/>
  <c r="I45" i="16"/>
  <c r="I90" i="14"/>
  <c r="I14" i="14"/>
  <c r="I70" i="16"/>
  <c r="I56" i="14"/>
  <c r="I9" i="14"/>
  <c r="I69" i="16"/>
  <c r="I82" i="14"/>
  <c r="I32" i="16"/>
  <c r="I22" i="16"/>
  <c r="I44" i="14"/>
  <c r="I88" i="16"/>
  <c r="I84" i="14"/>
  <c r="I94" i="16"/>
  <c r="I95" i="14"/>
  <c r="I62" i="16"/>
  <c r="I8" i="16"/>
  <c r="I78" i="14"/>
  <c r="I100" i="16"/>
  <c r="I94" i="14"/>
  <c r="I6" i="16"/>
  <c r="I53" i="14"/>
  <c r="I64" i="16"/>
  <c r="I49" i="16"/>
  <c r="I76" i="16"/>
  <c r="I12" i="16"/>
  <c r="I86" i="14"/>
  <c r="I59" i="16"/>
  <c r="I75" i="16"/>
  <c r="I28" i="14"/>
  <c r="I21" i="16"/>
  <c r="I50" i="14"/>
  <c r="I66" i="14"/>
  <c r="I84" i="16"/>
  <c r="I24" i="16"/>
  <c r="I17" i="14"/>
  <c r="I16" i="16"/>
  <c r="I99" i="14"/>
  <c r="I60" i="14"/>
  <c r="I92" i="16"/>
  <c r="I80" i="16"/>
  <c r="I29" i="16"/>
  <c r="I33" i="14"/>
  <c r="I70" i="14"/>
  <c r="I31" i="16"/>
  <c r="I98" i="14"/>
  <c r="I65" i="16"/>
  <c r="I49" i="14"/>
  <c r="I103" i="16"/>
  <c r="I11" i="14"/>
  <c r="I47" i="14"/>
  <c r="I36" i="14"/>
  <c r="I12" i="14"/>
  <c r="I85" i="16"/>
  <c r="I23" i="14"/>
  <c r="I21" i="14"/>
  <c r="I88" i="14"/>
  <c r="I40" i="14"/>
  <c r="I14" i="16"/>
  <c r="I66" i="16"/>
  <c r="I69" i="14"/>
  <c r="I64" i="14"/>
  <c r="I39" i="16"/>
  <c r="I62" i="14"/>
  <c r="I5" i="16"/>
  <c r="I28" i="16"/>
  <c r="I51" i="16"/>
  <c r="I96" i="14"/>
  <c r="I90" i="16"/>
  <c r="I42" i="14"/>
  <c r="I50" i="16"/>
  <c r="I57" i="16"/>
  <c r="I56" i="16"/>
  <c r="I7" i="14"/>
  <c r="I99" i="16"/>
  <c r="I47" i="16"/>
  <c r="I68" i="16"/>
  <c r="I54" i="14"/>
  <c r="I101" i="16"/>
  <c r="I85" i="14"/>
  <c r="I20" i="14"/>
  <c r="I37" i="16"/>
  <c r="I26" i="14"/>
  <c r="I74" i="16"/>
  <c r="I63" i="16"/>
  <c r="I5" i="14"/>
  <c r="I87" i="16"/>
  <c r="I44" i="16"/>
  <c r="I67" i="16"/>
  <c r="I54" i="16"/>
  <c r="I10" i="14"/>
  <c r="I58" i="16"/>
  <c r="I25" i="14"/>
  <c r="I89" i="14"/>
  <c r="I72" i="16"/>
  <c r="I22" i="14"/>
  <c r="I61" i="14"/>
  <c r="I7" i="16"/>
  <c r="I37" i="14"/>
  <c r="I101" i="14"/>
  <c r="I74" i="14"/>
  <c r="I59" i="14"/>
  <c r="I97" i="16"/>
  <c r="I91" i="14"/>
  <c r="I32" i="14"/>
  <c r="I48" i="14"/>
  <c r="I41" i="16"/>
  <c r="I38" i="16"/>
  <c r="I60" i="16"/>
  <c r="I30" i="16"/>
  <c r="I52" i="14"/>
  <c r="I35" i="16"/>
  <c r="I34" i="16"/>
  <c r="I42" i="16"/>
  <c r="I15" i="16"/>
  <c r="I77" i="16"/>
  <c r="I13" i="16"/>
  <c r="I97" i="14"/>
  <c r="I58" i="14"/>
  <c r="I100" i="14"/>
  <c r="I17" i="16"/>
  <c r="I19" i="16"/>
  <c r="I16" i="14"/>
  <c r="I80" i="14"/>
  <c r="I91" i="16"/>
  <c r="I15" i="14"/>
  <c r="I79" i="14"/>
  <c r="I97" i="2"/>
  <c r="K97" i="2" s="1"/>
  <c r="I98" i="2"/>
  <c r="I99" i="2"/>
  <c r="L99" i="2" s="1"/>
  <c r="I96" i="2"/>
  <c r="H85" i="2"/>
  <c r="J85" i="2" s="1"/>
  <c r="H84" i="2"/>
  <c r="J84" i="2" s="1"/>
  <c r="H77" i="2"/>
  <c r="J77" i="2" s="1"/>
  <c r="H78" i="2"/>
  <c r="J78" i="2" s="1"/>
  <c r="H80" i="2"/>
  <c r="J80" i="2" s="1"/>
  <c r="H81" i="2"/>
  <c r="J81" i="2" s="1"/>
  <c r="F9" i="22"/>
  <c r="G9" i="22" s="1"/>
  <c r="G9" i="10" s="1"/>
  <c r="AF2" i="16"/>
  <c r="AD2" i="16"/>
  <c r="C4" i="16"/>
  <c r="I89" i="2"/>
  <c r="I92" i="2"/>
  <c r="I93" i="2"/>
  <c r="K99" i="2" l="1"/>
  <c r="L98" i="2"/>
  <c r="K98" i="2"/>
  <c r="L97" i="2"/>
  <c r="L96" i="2"/>
  <c r="K96" i="2"/>
  <c r="K93" i="2"/>
  <c r="L93" i="2"/>
  <c r="K92" i="2"/>
  <c r="L92" i="2"/>
  <c r="L89" i="2"/>
  <c r="K89" i="2"/>
  <c r="L88" i="2"/>
  <c r="P9" i="10"/>
  <c r="F88" i="2"/>
  <c r="I80" i="2"/>
  <c r="O9" i="22"/>
  <c r="I77" i="2"/>
  <c r="K77" i="2" s="1"/>
  <c r="F96" i="2"/>
  <c r="B96" i="2" s="1"/>
  <c r="F98" i="2"/>
  <c r="B98" i="2" s="1"/>
  <c r="F89" i="2"/>
  <c r="F99" i="2"/>
  <c r="B99" i="2" s="1"/>
  <c r="F97" i="2"/>
  <c r="B97" i="2" s="1"/>
  <c r="I84" i="2"/>
  <c r="I81" i="2"/>
  <c r="I85" i="2"/>
  <c r="I78" i="2"/>
  <c r="P9" i="22"/>
  <c r="F9" i="10"/>
  <c r="F93" i="2"/>
  <c r="F92" i="2"/>
  <c r="B88" i="2" l="1"/>
  <c r="AE5" i="18" s="1"/>
  <c r="B89" i="2"/>
  <c r="AF5" i="18" s="1"/>
  <c r="B92" i="2"/>
  <c r="AG5" i="18" s="1"/>
  <c r="B93" i="2"/>
  <c r="AH5" i="18" s="1"/>
  <c r="F85" i="2"/>
  <c r="L85" i="2"/>
  <c r="K85" i="2"/>
  <c r="K84" i="2"/>
  <c r="L84" i="2"/>
  <c r="K81" i="2"/>
  <c r="L81" i="2"/>
  <c r="L80" i="2"/>
  <c r="K80" i="2"/>
  <c r="L78" i="2"/>
  <c r="K78" i="2"/>
  <c r="L77" i="2"/>
  <c r="F81" i="2"/>
  <c r="F84" i="2"/>
  <c r="B54" i="2"/>
  <c r="AJ5" i="18" s="1"/>
  <c r="B53" i="2"/>
  <c r="O9" i="10"/>
  <c r="F78" i="2"/>
  <c r="F80" i="2"/>
  <c r="F77" i="2"/>
  <c r="B58" i="2" l="1"/>
  <c r="B59" i="2"/>
  <c r="B60" i="2"/>
  <c r="B78" i="2"/>
  <c r="Z5" i="18" s="1"/>
  <c r="B81" i="2"/>
  <c r="AB5" i="18" s="1"/>
  <c r="B57" i="2"/>
  <c r="B77" i="2"/>
  <c r="Y5" i="18" s="1"/>
  <c r="B80" i="2"/>
  <c r="AA5" i="18" s="1"/>
  <c r="B84" i="2"/>
  <c r="AC5" i="18" s="1"/>
  <c r="B85" i="2"/>
  <c r="AD5" i="18" s="1"/>
  <c r="F79" i="2"/>
  <c r="B79" i="2" s="1"/>
  <c r="F76" i="2"/>
  <c r="B76" i="2" s="1"/>
  <c r="AI5" i="18"/>
  <c r="P8" i="10"/>
  <c r="H9" i="10"/>
  <c r="E7" i="10"/>
  <c r="D7" i="10"/>
  <c r="D6" i="10"/>
  <c r="C6" i="10"/>
  <c r="C5" i="10"/>
  <c r="B5" i="10"/>
  <c r="AE4" i="14" l="1"/>
  <c r="AD4" i="14"/>
  <c r="AC4" i="14"/>
  <c r="AB4" i="14"/>
  <c r="AE4" i="16"/>
  <c r="AD4" i="16"/>
  <c r="AC4" i="16"/>
  <c r="AB4" i="16"/>
  <c r="H6" i="10"/>
  <c r="H36" i="2" s="1"/>
  <c r="H5" i="10"/>
  <c r="B14" i="10" s="1"/>
  <c r="D18" i="10"/>
  <c r="B49" i="2"/>
  <c r="B52" i="2"/>
  <c r="B51" i="2"/>
  <c r="B64" i="2"/>
  <c r="B50" i="2"/>
  <c r="H7" i="10"/>
  <c r="H40" i="2" s="1"/>
  <c r="H45" i="2"/>
  <c r="H44" i="2"/>
  <c r="H35" i="2"/>
  <c r="C15" i="10"/>
  <c r="H37" i="2"/>
  <c r="D15" i="10"/>
  <c r="F15" i="10"/>
  <c r="G18" i="10"/>
  <c r="C18" i="10"/>
  <c r="F18" i="10"/>
  <c r="B18" i="10"/>
  <c r="E18" i="10"/>
  <c r="AG4" i="16" l="1"/>
  <c r="AG4" i="14"/>
  <c r="F14" i="10"/>
  <c r="B15" i="10"/>
  <c r="G14" i="10"/>
  <c r="E15" i="10"/>
  <c r="H33" i="2"/>
  <c r="G15" i="10"/>
  <c r="D14" i="10"/>
  <c r="H32" i="2"/>
  <c r="E14" i="10"/>
  <c r="D16" i="10"/>
  <c r="H34" i="2"/>
  <c r="C14" i="10"/>
  <c r="H18" i="10"/>
  <c r="B16" i="10"/>
  <c r="H38" i="2"/>
  <c r="H39" i="2"/>
  <c r="C16" i="10"/>
  <c r="G16" i="10"/>
  <c r="F16" i="10"/>
  <c r="E16" i="10"/>
  <c r="K44" i="2" l="1"/>
  <c r="L44" i="2"/>
  <c r="K45" i="2"/>
  <c r="L45" i="2"/>
  <c r="Q18" i="22"/>
  <c r="Q9" i="22"/>
  <c r="P17" i="22" s="1"/>
  <c r="Q7" i="22"/>
  <c r="Q6" i="22"/>
  <c r="N14" i="22" s="1"/>
  <c r="Q5" i="22"/>
  <c r="L13" i="22" s="1"/>
  <c r="H18" i="22"/>
  <c r="H9" i="22"/>
  <c r="G17" i="22" s="1"/>
  <c r="H7" i="22"/>
  <c r="F15" i="22" s="1"/>
  <c r="H6" i="22"/>
  <c r="G14" i="22" s="1"/>
  <c r="H5" i="22"/>
  <c r="E13" i="22" s="1"/>
  <c r="E7" i="17"/>
  <c r="BZ8" i="18"/>
  <c r="BZ9" i="18"/>
  <c r="BZ10" i="18"/>
  <c r="BZ11" i="18"/>
  <c r="BZ12" i="18"/>
  <c r="BZ13" i="18"/>
  <c r="BZ14" i="18"/>
  <c r="BZ15" i="18"/>
  <c r="BZ16" i="18"/>
  <c r="BZ7" i="18"/>
  <c r="BY5" i="18"/>
  <c r="BU13" i="18"/>
  <c r="BU10" i="18"/>
  <c r="BU8" i="18"/>
  <c r="BU9" i="18"/>
  <c r="BU11" i="18"/>
  <c r="BU12" i="18"/>
  <c r="BU14" i="18"/>
  <c r="BU15" i="18"/>
  <c r="BU16" i="18"/>
  <c r="BU17" i="18"/>
  <c r="BU18" i="18"/>
  <c r="BU19" i="18"/>
  <c r="BU20" i="18"/>
  <c r="BU21" i="18"/>
  <c r="BU22" i="18"/>
  <c r="BU23" i="18"/>
  <c r="BU24" i="18"/>
  <c r="BU25" i="18"/>
  <c r="BU26" i="18"/>
  <c r="BU27" i="18"/>
  <c r="BU28" i="18"/>
  <c r="BU29" i="18"/>
  <c r="BU30" i="18"/>
  <c r="BU31" i="18"/>
  <c r="BU32" i="18"/>
  <c r="BU33" i="18"/>
  <c r="BU34" i="18"/>
  <c r="BU35" i="18"/>
  <c r="BU36" i="18"/>
  <c r="BU37" i="18"/>
  <c r="BU38" i="18"/>
  <c r="BU39" i="18"/>
  <c r="BU40" i="18"/>
  <c r="BU41" i="18"/>
  <c r="BU42" i="18"/>
  <c r="BU43" i="18"/>
  <c r="BU44" i="18"/>
  <c r="BU45" i="18"/>
  <c r="BU46" i="18"/>
  <c r="BU47" i="18"/>
  <c r="BU7" i="18"/>
  <c r="O15" i="22" l="1"/>
  <c r="N15" i="22"/>
  <c r="M15" i="22"/>
  <c r="O13" i="22"/>
  <c r="L14" i="22"/>
  <c r="M14" i="22"/>
  <c r="O17" i="22"/>
  <c r="Q17" i="22" s="1"/>
  <c r="K13" i="22"/>
  <c r="N13" i="22"/>
  <c r="P14" i="22"/>
  <c r="M13" i="22"/>
  <c r="O14" i="22"/>
  <c r="P15" i="22"/>
  <c r="P13" i="22"/>
  <c r="G15" i="22"/>
  <c r="B13" i="22"/>
  <c r="G13" i="22"/>
  <c r="C13" i="22"/>
  <c r="F13" i="22"/>
  <c r="D13" i="22"/>
  <c r="E14" i="22"/>
  <c r="D15" i="22"/>
  <c r="F14" i="22"/>
  <c r="F17" i="22"/>
  <c r="H17" i="22" s="1"/>
  <c r="D14" i="22"/>
  <c r="E15" i="22"/>
  <c r="C14" i="22"/>
  <c r="BZ5" i="18"/>
  <c r="BF58" i="18"/>
  <c r="Q15" i="22" l="1"/>
  <c r="Q14" i="22"/>
  <c r="Q13" i="22"/>
  <c r="H15" i="22"/>
  <c r="H14" i="22"/>
  <c r="H13" i="22"/>
  <c r="BG57" i="18"/>
  <c r="BG58" i="18"/>
  <c r="BP58" i="18" s="1"/>
  <c r="BG59" i="18"/>
  <c r="BG60" i="18"/>
  <c r="BG61" i="18"/>
  <c r="BG62" i="18"/>
  <c r="BG63" i="18"/>
  <c r="BG64" i="18"/>
  <c r="BG65" i="18"/>
  <c r="BG66" i="18"/>
  <c r="BG67" i="18"/>
  <c r="BG68" i="18"/>
  <c r="BG69" i="18"/>
  <c r="BG70" i="18"/>
  <c r="BG71" i="18"/>
  <c r="BG72" i="18"/>
  <c r="BG73" i="18"/>
  <c r="BG74" i="18"/>
  <c r="BG75" i="18"/>
  <c r="BG76" i="18"/>
  <c r="BG77" i="18"/>
  <c r="BG78" i="18"/>
  <c r="BG79" i="18"/>
  <c r="BG80" i="18"/>
  <c r="BG81" i="18"/>
  <c r="BG82" i="18"/>
  <c r="BG83" i="18"/>
  <c r="BG84" i="18"/>
  <c r="BG85" i="18"/>
  <c r="BG86" i="18"/>
  <c r="BG87" i="18"/>
  <c r="BG88" i="18"/>
  <c r="BG89" i="18"/>
  <c r="BG90" i="18"/>
  <c r="BG91" i="18"/>
  <c r="BG92" i="18"/>
  <c r="BG93" i="18"/>
  <c r="BG94" i="18"/>
  <c r="BG95" i="18"/>
  <c r="BG96" i="18"/>
  <c r="BG97" i="18"/>
  <c r="BG98" i="18"/>
  <c r="BG99" i="18"/>
  <c r="BG100" i="18"/>
  <c r="BG101" i="18"/>
  <c r="BG102" i="18"/>
  <c r="BG103" i="18"/>
  <c r="BG104" i="18"/>
  <c r="BG105" i="18"/>
  <c r="BG106" i="18"/>
  <c r="BG107" i="18"/>
  <c r="BG108" i="18"/>
  <c r="BG109" i="18"/>
  <c r="BG110" i="18"/>
  <c r="BG111" i="18"/>
  <c r="BG112" i="18"/>
  <c r="BG113" i="18"/>
  <c r="BG114" i="18"/>
  <c r="BG115" i="18"/>
  <c r="BG116" i="18"/>
  <c r="BG117" i="18"/>
  <c r="BG118" i="18"/>
  <c r="BG119" i="18"/>
  <c r="BG120" i="18"/>
  <c r="BG121" i="18"/>
  <c r="BG122" i="18"/>
  <c r="BG123" i="18"/>
  <c r="BG124" i="18"/>
  <c r="BG125" i="18"/>
  <c r="BG126" i="18"/>
  <c r="BG127" i="18"/>
  <c r="BG128" i="18"/>
  <c r="BG129" i="18"/>
  <c r="BG130" i="18"/>
  <c r="BG131" i="18"/>
  <c r="BG132" i="18"/>
  <c r="BG133" i="18"/>
  <c r="BG134" i="18"/>
  <c r="BG135" i="18"/>
  <c r="BG136" i="18"/>
  <c r="BG137" i="18"/>
  <c r="BG138" i="18"/>
  <c r="BG139" i="18"/>
  <c r="BG140" i="18"/>
  <c r="BG141" i="18"/>
  <c r="BG142" i="18"/>
  <c r="BG143" i="18"/>
  <c r="BG144" i="18"/>
  <c r="BG145" i="18"/>
  <c r="BG146" i="18"/>
  <c r="BG147" i="18"/>
  <c r="BG148" i="18"/>
  <c r="BG149" i="18"/>
  <c r="BG150" i="18"/>
  <c r="BG151" i="18"/>
  <c r="BG152" i="18"/>
  <c r="BG153" i="18"/>
  <c r="BG154" i="18"/>
  <c r="BG155" i="18"/>
  <c r="BG156" i="18"/>
  <c r="BG157" i="18"/>
  <c r="BG158" i="18"/>
  <c r="BG159" i="18"/>
  <c r="BG160" i="18"/>
  <c r="BG161" i="18"/>
  <c r="BG162" i="18"/>
  <c r="BG163" i="18"/>
  <c r="BG164" i="18"/>
  <c r="BG165" i="18"/>
  <c r="BG166" i="18"/>
  <c r="BG167" i="18"/>
  <c r="BG168" i="18"/>
  <c r="BG169" i="18"/>
  <c r="BG170" i="18"/>
  <c r="BG171" i="18"/>
  <c r="BG172" i="18"/>
  <c r="BG173" i="18"/>
  <c r="BG174" i="18"/>
  <c r="BG175" i="18"/>
  <c r="BG176" i="18"/>
  <c r="BG177" i="18"/>
  <c r="BG178" i="18"/>
  <c r="BG179" i="18"/>
  <c r="BG180" i="18"/>
  <c r="BG181" i="18"/>
  <c r="BG182" i="18"/>
  <c r="BG183" i="18"/>
  <c r="BG184" i="18"/>
  <c r="BG185" i="18"/>
  <c r="BG186" i="18"/>
  <c r="BG187" i="18"/>
  <c r="BG188" i="18"/>
  <c r="BG189" i="18"/>
  <c r="BG190" i="18"/>
  <c r="BG191" i="18"/>
  <c r="BG192" i="18"/>
  <c r="BG193" i="18"/>
  <c r="BG194" i="18"/>
  <c r="BG195" i="18"/>
  <c r="BG196" i="18"/>
  <c r="BG197" i="18"/>
  <c r="BG198" i="18"/>
  <c r="BG199" i="18"/>
  <c r="BG200" i="18"/>
  <c r="BG201" i="18"/>
  <c r="BG202" i="18"/>
  <c r="BG203" i="18"/>
  <c r="BG204" i="18"/>
  <c r="BG205" i="18"/>
  <c r="BG206" i="18"/>
  <c r="BG207" i="18"/>
  <c r="BG208" i="18"/>
  <c r="BG209" i="18"/>
  <c r="BG210" i="18"/>
  <c r="BG211" i="18"/>
  <c r="BG212" i="18"/>
  <c r="BG213" i="18"/>
  <c r="BG214" i="18"/>
  <c r="BG215" i="18"/>
  <c r="BG216" i="18"/>
  <c r="BG217" i="18"/>
  <c r="BG218" i="18"/>
  <c r="BG219" i="18"/>
  <c r="BG220" i="18"/>
  <c r="BG221" i="18"/>
  <c r="BG222" i="18"/>
  <c r="BG223" i="18"/>
  <c r="BG224" i="18"/>
  <c r="BG225" i="18"/>
  <c r="BG226" i="18"/>
  <c r="BG227" i="18"/>
  <c r="BG228" i="18"/>
  <c r="BG229" i="18"/>
  <c r="BG230" i="18"/>
  <c r="BG231" i="18"/>
  <c r="BG232" i="18"/>
  <c r="BG233" i="18"/>
  <c r="BG234" i="18"/>
  <c r="BG235" i="18"/>
  <c r="BG236" i="18"/>
  <c r="BG237" i="18"/>
  <c r="BG238" i="18"/>
  <c r="BG239" i="18"/>
  <c r="BG240" i="18"/>
  <c r="BG241" i="18"/>
  <c r="BG242" i="18"/>
  <c r="BG243" i="18"/>
  <c r="BG244" i="18"/>
  <c r="BG245" i="18"/>
  <c r="BG246" i="18"/>
  <c r="BG247" i="18"/>
  <c r="BG248" i="18"/>
  <c r="BG249" i="18"/>
  <c r="BG250" i="18"/>
  <c r="BG251" i="18"/>
  <c r="BG252" i="18"/>
  <c r="BG253" i="18"/>
  <c r="BG254" i="18"/>
  <c r="BG255" i="18"/>
  <c r="BG256" i="18"/>
  <c r="BG257" i="18"/>
  <c r="BG258" i="18"/>
  <c r="BG259" i="18"/>
  <c r="BG260" i="18"/>
  <c r="BG261" i="18"/>
  <c r="BG262" i="18"/>
  <c r="BG263" i="18"/>
  <c r="BG264" i="18"/>
  <c r="BG265" i="18"/>
  <c r="BG266" i="18"/>
  <c r="BG267" i="18"/>
  <c r="BG268" i="18"/>
  <c r="BG269" i="18"/>
  <c r="BG270" i="18"/>
  <c r="BG271" i="18"/>
  <c r="BG272" i="18"/>
  <c r="BG273" i="18"/>
  <c r="BG274" i="18"/>
  <c r="BG275" i="18"/>
  <c r="BG276" i="18"/>
  <c r="BG277" i="18"/>
  <c r="BG278" i="18"/>
  <c r="BG279" i="18"/>
  <c r="BG280" i="18"/>
  <c r="BG281" i="18"/>
  <c r="BG282" i="18"/>
  <c r="BG283" i="18"/>
  <c r="BG284" i="18"/>
  <c r="BG285" i="18"/>
  <c r="BG286" i="18"/>
  <c r="BG287" i="18"/>
  <c r="BG288" i="18"/>
  <c r="BG289" i="18"/>
  <c r="BG290" i="18"/>
  <c r="BG291" i="18"/>
  <c r="BG292" i="18"/>
  <c r="BG293" i="18"/>
  <c r="BG294" i="18"/>
  <c r="BG295" i="18"/>
  <c r="BG296" i="18"/>
  <c r="BG297" i="18"/>
  <c r="BG298" i="18"/>
  <c r="BG299" i="18"/>
  <c r="BG300" i="18"/>
  <c r="BG301" i="18"/>
  <c r="BG302" i="18"/>
  <c r="BG303" i="18"/>
  <c r="BG304" i="18"/>
  <c r="BG305" i="18"/>
  <c r="BG306" i="18"/>
  <c r="BG307" i="18"/>
  <c r="BG308" i="18"/>
  <c r="BG309" i="18"/>
  <c r="BG310" i="18"/>
  <c r="BG311" i="18"/>
  <c r="BG312" i="18"/>
  <c r="BG313" i="18"/>
  <c r="BG314" i="18"/>
  <c r="BG315" i="18"/>
  <c r="BG316" i="18"/>
  <c r="BG317" i="18"/>
  <c r="BG318" i="18"/>
  <c r="BG319" i="18"/>
  <c r="BG320" i="18"/>
  <c r="BG321" i="18"/>
  <c r="BG322" i="18"/>
  <c r="BG323" i="18"/>
  <c r="BG324" i="18"/>
  <c r="BG325" i="18"/>
  <c r="BG326" i="18"/>
  <c r="BG327" i="18"/>
  <c r="BG328" i="18"/>
  <c r="BG329" i="18"/>
  <c r="BG330" i="18"/>
  <c r="BG331" i="18"/>
  <c r="BG332" i="18"/>
  <c r="BG333" i="18"/>
  <c r="BG334" i="18"/>
  <c r="BG335" i="18"/>
  <c r="BG336" i="18"/>
  <c r="BG337" i="18"/>
  <c r="BG338" i="18"/>
  <c r="BG339" i="18"/>
  <c r="BG340" i="18"/>
  <c r="BG341" i="18"/>
  <c r="BG342" i="18"/>
  <c r="BG343" i="18"/>
  <c r="BG344" i="18"/>
  <c r="BG345" i="18"/>
  <c r="BG346" i="18"/>
  <c r="BG347" i="18"/>
  <c r="BG348" i="18"/>
  <c r="BG349" i="18"/>
  <c r="BG350" i="18"/>
  <c r="BG351" i="18"/>
  <c r="BG352" i="18"/>
  <c r="BG353" i="18"/>
  <c r="BG354" i="18"/>
  <c r="BG355" i="18"/>
  <c r="BG356" i="18"/>
  <c r="BG357" i="18"/>
  <c r="BG358" i="18"/>
  <c r="BG359" i="18"/>
  <c r="BG360" i="18"/>
  <c r="BG361" i="18"/>
  <c r="BG362" i="18"/>
  <c r="BG363" i="18"/>
  <c r="BG364" i="18"/>
  <c r="BG365" i="18"/>
  <c r="BG366" i="18"/>
  <c r="BG367" i="18"/>
  <c r="BG368" i="18"/>
  <c r="BG369" i="18"/>
  <c r="BG370" i="18"/>
  <c r="BG371" i="18"/>
  <c r="BG372" i="18"/>
  <c r="BG373" i="18"/>
  <c r="BG374" i="18"/>
  <c r="BG375" i="18"/>
  <c r="BG376" i="18"/>
  <c r="BG377" i="18"/>
  <c r="BG378" i="18"/>
  <c r="BG379" i="18"/>
  <c r="BG380" i="18"/>
  <c r="BG381" i="18"/>
  <c r="BG382" i="18"/>
  <c r="BG383" i="18"/>
  <c r="BG384" i="18"/>
  <c r="BG385" i="18"/>
  <c r="BG386" i="18"/>
  <c r="BG387" i="18"/>
  <c r="BG388" i="18"/>
  <c r="BG389" i="18"/>
  <c r="BG390" i="18"/>
  <c r="BG391" i="18"/>
  <c r="BG392" i="18"/>
  <c r="BG393" i="18"/>
  <c r="BG394" i="18"/>
  <c r="BG395" i="18"/>
  <c r="BG396" i="18"/>
  <c r="BG397" i="18"/>
  <c r="BG398" i="18"/>
  <c r="BG399" i="18"/>
  <c r="BG400" i="18"/>
  <c r="BG401" i="18"/>
  <c r="BG402" i="18"/>
  <c r="BG403" i="18"/>
  <c r="BG404" i="18"/>
  <c r="BG405" i="18"/>
  <c r="BG406" i="18"/>
  <c r="BG407" i="18"/>
  <c r="BG408" i="18"/>
  <c r="BG409" i="18"/>
  <c r="BG410" i="18"/>
  <c r="BG411" i="18"/>
  <c r="BG412" i="18"/>
  <c r="BG413" i="18"/>
  <c r="BG414" i="18"/>
  <c r="BG415" i="18"/>
  <c r="BG416" i="18"/>
  <c r="BG417" i="18"/>
  <c r="BG418" i="18"/>
  <c r="BG419" i="18"/>
  <c r="BG420" i="18"/>
  <c r="BG421" i="18"/>
  <c r="BG422" i="18"/>
  <c r="BG423" i="18"/>
  <c r="BG424" i="18"/>
  <c r="BG425" i="18"/>
  <c r="BG426" i="18"/>
  <c r="BG427" i="18"/>
  <c r="BG428" i="18"/>
  <c r="BG429" i="18"/>
  <c r="BG430" i="18"/>
  <c r="BG431" i="18"/>
  <c r="BG432" i="18"/>
  <c r="BG433" i="18"/>
  <c r="BG434" i="18"/>
  <c r="BG435" i="18"/>
  <c r="BG436" i="18"/>
  <c r="BG437" i="18"/>
  <c r="BG438" i="18"/>
  <c r="BG439" i="18"/>
  <c r="BG440" i="18"/>
  <c r="BG441" i="18"/>
  <c r="BG442" i="18"/>
  <c r="BG443" i="18"/>
  <c r="BG444" i="18"/>
  <c r="BG445" i="18"/>
  <c r="BG446" i="18"/>
  <c r="BG447" i="18"/>
  <c r="BG448" i="18"/>
  <c r="BG449" i="18"/>
  <c r="BG450" i="18"/>
  <c r="BG451" i="18"/>
  <c r="BG452" i="18"/>
  <c r="BG453" i="18"/>
  <c r="BG454" i="18"/>
  <c r="BG455" i="18"/>
  <c r="BG456" i="18"/>
  <c r="BG457" i="18"/>
  <c r="BG458" i="18"/>
  <c r="BG459" i="18"/>
  <c r="BG460" i="18"/>
  <c r="BG461" i="18"/>
  <c r="BG462" i="18"/>
  <c r="BG463" i="18"/>
  <c r="BG464" i="18"/>
  <c r="BG465" i="18"/>
  <c r="BG466" i="18"/>
  <c r="BG467" i="18"/>
  <c r="BG468" i="18"/>
  <c r="BG469" i="18"/>
  <c r="BG470" i="18"/>
  <c r="BG471" i="18"/>
  <c r="BG472" i="18"/>
  <c r="BG473" i="18"/>
  <c r="BG474" i="18"/>
  <c r="BG475" i="18"/>
  <c r="BG476" i="18"/>
  <c r="BG477" i="18"/>
  <c r="BG478" i="18"/>
  <c r="BG479" i="18"/>
  <c r="BG480" i="18"/>
  <c r="BG481" i="18"/>
  <c r="BG482" i="18"/>
  <c r="BG483" i="18"/>
  <c r="BG484" i="18"/>
  <c r="BG485" i="18"/>
  <c r="BG486" i="18"/>
  <c r="BG487" i="18"/>
  <c r="BG488" i="18"/>
  <c r="BG489" i="18"/>
  <c r="BG490" i="18"/>
  <c r="BG491" i="18"/>
  <c r="BG492" i="18"/>
  <c r="BG493" i="18"/>
  <c r="BG494" i="18"/>
  <c r="BG495" i="18"/>
  <c r="BG496" i="18"/>
  <c r="BG497" i="18"/>
  <c r="BG498" i="18"/>
  <c r="BG499" i="18"/>
  <c r="BG500" i="18"/>
  <c r="BG501" i="18"/>
  <c r="BG502" i="18"/>
  <c r="BG503" i="18"/>
  <c r="BG504" i="18"/>
  <c r="BG505" i="18"/>
  <c r="BG506" i="18"/>
  <c r="BG507" i="18"/>
  <c r="BG508" i="18"/>
  <c r="BG509" i="18"/>
  <c r="BG510" i="18"/>
  <c r="BG511" i="18"/>
  <c r="BG512" i="18"/>
  <c r="BG513" i="18"/>
  <c r="BG514" i="18"/>
  <c r="BG515" i="18"/>
  <c r="BG516" i="18"/>
  <c r="BG517" i="18"/>
  <c r="BG518" i="18"/>
  <c r="BG519" i="18"/>
  <c r="BG520" i="18"/>
  <c r="BG521" i="18"/>
  <c r="BG522" i="18"/>
  <c r="BG523" i="18"/>
  <c r="BG524" i="18"/>
  <c r="BG525" i="18"/>
  <c r="BG526" i="18"/>
  <c r="BG527" i="18"/>
  <c r="BG528" i="18"/>
  <c r="BG529" i="18"/>
  <c r="BG530" i="18"/>
  <c r="BG531" i="18"/>
  <c r="BG532" i="18"/>
  <c r="BG533" i="18"/>
  <c r="BG534" i="18"/>
  <c r="BG535" i="18"/>
  <c r="BG536" i="18"/>
  <c r="BG537" i="18"/>
  <c r="BG538" i="18"/>
  <c r="BG539" i="18"/>
  <c r="BG540" i="18"/>
  <c r="BG541" i="18"/>
  <c r="BG542" i="18"/>
  <c r="BG543" i="18"/>
  <c r="BG544" i="18"/>
  <c r="BG545" i="18"/>
  <c r="BG546" i="18"/>
  <c r="BG547" i="18"/>
  <c r="BG548" i="18"/>
  <c r="BG549" i="18"/>
  <c r="BG550" i="18"/>
  <c r="BG551" i="18"/>
  <c r="BG552" i="18"/>
  <c r="BG553" i="18"/>
  <c r="BG554" i="18"/>
  <c r="BG555" i="18"/>
  <c r="BG556" i="18"/>
  <c r="BG557" i="18"/>
  <c r="BG558" i="18"/>
  <c r="BG559" i="18"/>
  <c r="BG560" i="18"/>
  <c r="BG561" i="18"/>
  <c r="BG562" i="18"/>
  <c r="BG563" i="18"/>
  <c r="BG564" i="18"/>
  <c r="BG565" i="18"/>
  <c r="BG566" i="18"/>
  <c r="BG567" i="18"/>
  <c r="BG568" i="18"/>
  <c r="BG569" i="18"/>
  <c r="BG570" i="18"/>
  <c r="BG571" i="18"/>
  <c r="BG572" i="18"/>
  <c r="BG573" i="18"/>
  <c r="BG574" i="18"/>
  <c r="BG575" i="18"/>
  <c r="BG576" i="18"/>
  <c r="BG577" i="18"/>
  <c r="BG578" i="18"/>
  <c r="BG579" i="18"/>
  <c r="BG580" i="18"/>
  <c r="BG581" i="18"/>
  <c r="BG582" i="18"/>
  <c r="BG583" i="18"/>
  <c r="BG584" i="18"/>
  <c r="BG585" i="18"/>
  <c r="BG586" i="18"/>
  <c r="BG587" i="18"/>
  <c r="BG588" i="18"/>
  <c r="BG589" i="18"/>
  <c r="BG590" i="18"/>
  <c r="BG591" i="18"/>
  <c r="BG592" i="18"/>
  <c r="BG593" i="18"/>
  <c r="BG594" i="18"/>
  <c r="BG595" i="18"/>
  <c r="BG596" i="18"/>
  <c r="BG597" i="18"/>
  <c r="BG598" i="18"/>
  <c r="BG599" i="18"/>
  <c r="BG600" i="18"/>
  <c r="BG601" i="18"/>
  <c r="BG602" i="18"/>
  <c r="BG603" i="18"/>
  <c r="BG604" i="18"/>
  <c r="BG605" i="18"/>
  <c r="BG606" i="18"/>
  <c r="BG607" i="18"/>
  <c r="BG608" i="18"/>
  <c r="BG609" i="18"/>
  <c r="BG610" i="18"/>
  <c r="BG611" i="18"/>
  <c r="BG612" i="18"/>
  <c r="BG613" i="18"/>
  <c r="BG614" i="18"/>
  <c r="BG615" i="18"/>
  <c r="BG616" i="18"/>
  <c r="BG617" i="18"/>
  <c r="BG618" i="18"/>
  <c r="BG619" i="18"/>
  <c r="BG620" i="18"/>
  <c r="BG621" i="18"/>
  <c r="BG622" i="18"/>
  <c r="BG623" i="18"/>
  <c r="BG624" i="18"/>
  <c r="BG625" i="18"/>
  <c r="BG626" i="18"/>
  <c r="BG627" i="18"/>
  <c r="BG628" i="18"/>
  <c r="BG629" i="18"/>
  <c r="BG630" i="18"/>
  <c r="BG631" i="18"/>
  <c r="BG632" i="18"/>
  <c r="BG633" i="18"/>
  <c r="BG634" i="18"/>
  <c r="BG635" i="18"/>
  <c r="BG636" i="18"/>
  <c r="BG637" i="18"/>
  <c r="BG638" i="18"/>
  <c r="BG639" i="18"/>
  <c r="BG640" i="18"/>
  <c r="BG641" i="18"/>
  <c r="BG642" i="18"/>
  <c r="BG643" i="18"/>
  <c r="BG644" i="18"/>
  <c r="BG645" i="18"/>
  <c r="BG646" i="18"/>
  <c r="BG647" i="18"/>
  <c r="BG648" i="18"/>
  <c r="BG649" i="18"/>
  <c r="BG650" i="18"/>
  <c r="BG651" i="18"/>
  <c r="BG652" i="18"/>
  <c r="BG653" i="18"/>
  <c r="BG654" i="18"/>
  <c r="BG655" i="18"/>
  <c r="BG656" i="18"/>
  <c r="BG657" i="18"/>
  <c r="BG658" i="18"/>
  <c r="BG659" i="18"/>
  <c r="BG660" i="18"/>
  <c r="BG661" i="18"/>
  <c r="BG662" i="18"/>
  <c r="BG663" i="18"/>
  <c r="BG664" i="18"/>
  <c r="BG665" i="18"/>
  <c r="BG666" i="18"/>
  <c r="BG667" i="18"/>
  <c r="BG668" i="18"/>
  <c r="BG669" i="18"/>
  <c r="BG670" i="18"/>
  <c r="BG671" i="18"/>
  <c r="BG672" i="18"/>
  <c r="BG673" i="18"/>
  <c r="BG674" i="18"/>
  <c r="BG675" i="18"/>
  <c r="BG676" i="18"/>
  <c r="BG677" i="18"/>
  <c r="BG678" i="18"/>
  <c r="BG679" i="18"/>
  <c r="BG680" i="18"/>
  <c r="BG681" i="18"/>
  <c r="BG682" i="18"/>
  <c r="BG683" i="18"/>
  <c r="BG684" i="18"/>
  <c r="BG685" i="18"/>
  <c r="BG686" i="18"/>
  <c r="BG687" i="18"/>
  <c r="BG688" i="18"/>
  <c r="BG689" i="18"/>
  <c r="BG690" i="18"/>
  <c r="BG691" i="18"/>
  <c r="BG692" i="18"/>
  <c r="BG693" i="18"/>
  <c r="BG694" i="18"/>
  <c r="BG695" i="18"/>
  <c r="BG696" i="18"/>
  <c r="BG697" i="18"/>
  <c r="BG698" i="18"/>
  <c r="BG699" i="18"/>
  <c r="BG700" i="18"/>
  <c r="BG701" i="18"/>
  <c r="BG702" i="18"/>
  <c r="BG703" i="18"/>
  <c r="BG704" i="18"/>
  <c r="BG705" i="18"/>
  <c r="BG706" i="18"/>
  <c r="BG707" i="18"/>
  <c r="BG708" i="18"/>
  <c r="BG709" i="18"/>
  <c r="BG710" i="18"/>
  <c r="BG711" i="18"/>
  <c r="BG712" i="18"/>
  <c r="BG713" i="18"/>
  <c r="BG714" i="18"/>
  <c r="BG715" i="18"/>
  <c r="BG716" i="18"/>
  <c r="BG717" i="18"/>
  <c r="BG718" i="18"/>
  <c r="BG719" i="18"/>
  <c r="BG720" i="18"/>
  <c r="BG721" i="18"/>
  <c r="BG722" i="18"/>
  <c r="BG723" i="18"/>
  <c r="BG724" i="18"/>
  <c r="BG725" i="18"/>
  <c r="BG726" i="18"/>
  <c r="BG727" i="18"/>
  <c r="BG728" i="18"/>
  <c r="BG729" i="18"/>
  <c r="BG730" i="18"/>
  <c r="BG731" i="18"/>
  <c r="BG732" i="18"/>
  <c r="BG733" i="18"/>
  <c r="BG734" i="18"/>
  <c r="BG735" i="18"/>
  <c r="BG736" i="18"/>
  <c r="BG737" i="18"/>
  <c r="BG738" i="18"/>
  <c r="BG739" i="18"/>
  <c r="BG740" i="18"/>
  <c r="BG741" i="18"/>
  <c r="BG742" i="18"/>
  <c r="BG743" i="18"/>
  <c r="BG744" i="18"/>
  <c r="BG745" i="18"/>
  <c r="BG746" i="18"/>
  <c r="BG747" i="18"/>
  <c r="BG748" i="18"/>
  <c r="BG749" i="18"/>
  <c r="BG750" i="18"/>
  <c r="BG751" i="18"/>
  <c r="BG752" i="18"/>
  <c r="BG753" i="18"/>
  <c r="BG754" i="18"/>
  <c r="BG755" i="18"/>
  <c r="BG756" i="18"/>
  <c r="BG757" i="18"/>
  <c r="BG758" i="18"/>
  <c r="BG759" i="18"/>
  <c r="BG760" i="18"/>
  <c r="BG761" i="18"/>
  <c r="BG762" i="18"/>
  <c r="BG763" i="18"/>
  <c r="BG764" i="18"/>
  <c r="BG765" i="18"/>
  <c r="BG766" i="18"/>
  <c r="BG767" i="18"/>
  <c r="BG768" i="18"/>
  <c r="BG769" i="18"/>
  <c r="BG770" i="18"/>
  <c r="BG771" i="18"/>
  <c r="BG772" i="18"/>
  <c r="BG773" i="18"/>
  <c r="BG774" i="18"/>
  <c r="BG775" i="18"/>
  <c r="BG776" i="18"/>
  <c r="BG777" i="18"/>
  <c r="BG778" i="18"/>
  <c r="BG779" i="18"/>
  <c r="BG780" i="18"/>
  <c r="BG781" i="18"/>
  <c r="BG782" i="18"/>
  <c r="BG783" i="18"/>
  <c r="BG784" i="18"/>
  <c r="BG785" i="18"/>
  <c r="BG786" i="18"/>
  <c r="BG787" i="18"/>
  <c r="BG788" i="18"/>
  <c r="BG789" i="18"/>
  <c r="BG790" i="18"/>
  <c r="BG791" i="18"/>
  <c r="BG792" i="18"/>
  <c r="BG793" i="18"/>
  <c r="BG794" i="18"/>
  <c r="BG795" i="18"/>
  <c r="BG796" i="18"/>
  <c r="BG797" i="18"/>
  <c r="BG798" i="18"/>
  <c r="BG799" i="18"/>
  <c r="BG800" i="18"/>
  <c r="BG801" i="18"/>
  <c r="BG802" i="18"/>
  <c r="BG803" i="18"/>
  <c r="BG804" i="18"/>
  <c r="BG805" i="18"/>
  <c r="BG806" i="18"/>
  <c r="BG807" i="18"/>
  <c r="BG808" i="18"/>
  <c r="BG809" i="18"/>
  <c r="BG810" i="18"/>
  <c r="BG811" i="18"/>
  <c r="BG812" i="18"/>
  <c r="BG813" i="18"/>
  <c r="BG814" i="18"/>
  <c r="BG815" i="18"/>
  <c r="BG816" i="18"/>
  <c r="BG817" i="18"/>
  <c r="BG818" i="18"/>
  <c r="BG819" i="18"/>
  <c r="BG820" i="18"/>
  <c r="BG821" i="18"/>
  <c r="BG822" i="18"/>
  <c r="BG823" i="18"/>
  <c r="BG824" i="18"/>
  <c r="BG825" i="18"/>
  <c r="BG826" i="18"/>
  <c r="BG827" i="18"/>
  <c r="BG828" i="18"/>
  <c r="BG829" i="18"/>
  <c r="BG830" i="18"/>
  <c r="BG831" i="18"/>
  <c r="BG832" i="18"/>
  <c r="BG833" i="18"/>
  <c r="BG834" i="18"/>
  <c r="BG835" i="18"/>
  <c r="BG836" i="18"/>
  <c r="BG837" i="18"/>
  <c r="BG838" i="18"/>
  <c r="BG839" i="18"/>
  <c r="BG840" i="18"/>
  <c r="BG841" i="18"/>
  <c r="BG842" i="18"/>
  <c r="BG843" i="18"/>
  <c r="BG844" i="18"/>
  <c r="BG845" i="18"/>
  <c r="BG846" i="18"/>
  <c r="BG847" i="18"/>
  <c r="BG848" i="18"/>
  <c r="BG849" i="18"/>
  <c r="BG850" i="18"/>
  <c r="BG851" i="18"/>
  <c r="BG852" i="18"/>
  <c r="BG853" i="18"/>
  <c r="BG854" i="18"/>
  <c r="BG855" i="18"/>
  <c r="BG856" i="18"/>
  <c r="BG857" i="18"/>
  <c r="BG858" i="18"/>
  <c r="BG859" i="18"/>
  <c r="BG860" i="18"/>
  <c r="BG861" i="18"/>
  <c r="BG862" i="18"/>
  <c r="BG863" i="18"/>
  <c r="BG864" i="18"/>
  <c r="BG865" i="18"/>
  <c r="BG866" i="18"/>
  <c r="BG867" i="18"/>
  <c r="BG868" i="18"/>
  <c r="BG869" i="18"/>
  <c r="BG870" i="18"/>
  <c r="BG871" i="18"/>
  <c r="BG872" i="18"/>
  <c r="BG873" i="18"/>
  <c r="BG874" i="18"/>
  <c r="BG875" i="18"/>
  <c r="BG876" i="18"/>
  <c r="BG877" i="18"/>
  <c r="BG878" i="18"/>
  <c r="BG879" i="18"/>
  <c r="BG880" i="18"/>
  <c r="BG881" i="18"/>
  <c r="BG882" i="18"/>
  <c r="BG883" i="18"/>
  <c r="BG884" i="18"/>
  <c r="BG885" i="18"/>
  <c r="BG886" i="18"/>
  <c r="BG887" i="18"/>
  <c r="BG888" i="18"/>
  <c r="BG889" i="18"/>
  <c r="BG890" i="18"/>
  <c r="BG891" i="18"/>
  <c r="BG892" i="18"/>
  <c r="BG893" i="18"/>
  <c r="BG894" i="18"/>
  <c r="BG895" i="18"/>
  <c r="BG896" i="18"/>
  <c r="BG897" i="18"/>
  <c r="BG898" i="18"/>
  <c r="BG899" i="18"/>
  <c r="BG900" i="18"/>
  <c r="BG901" i="18"/>
  <c r="BG902" i="18"/>
  <c r="BG903" i="18"/>
  <c r="BG904" i="18"/>
  <c r="BG905" i="18"/>
  <c r="BG906" i="18"/>
  <c r="BG907" i="18"/>
  <c r="BG908" i="18"/>
  <c r="BG909" i="18"/>
  <c r="BG910" i="18"/>
  <c r="BG911" i="18"/>
  <c r="BG912" i="18"/>
  <c r="BG913" i="18"/>
  <c r="BG914" i="18"/>
  <c r="BG915" i="18"/>
  <c r="BG916" i="18"/>
  <c r="BG917" i="18"/>
  <c r="BG918" i="18"/>
  <c r="BG919" i="18"/>
  <c r="BG920" i="18"/>
  <c r="BG921" i="18"/>
  <c r="BG922" i="18"/>
  <c r="BG923" i="18"/>
  <c r="BG924" i="18"/>
  <c r="BG925" i="18"/>
  <c r="BG926" i="18"/>
  <c r="BG927" i="18"/>
  <c r="BG928" i="18"/>
  <c r="BG929" i="18"/>
  <c r="BG930" i="18"/>
  <c r="BG931" i="18"/>
  <c r="BG932" i="18"/>
  <c r="BG933" i="18"/>
  <c r="BG934" i="18"/>
  <c r="BG935" i="18"/>
  <c r="BG936" i="18"/>
  <c r="BG937" i="18"/>
  <c r="BG938" i="18"/>
  <c r="BG939" i="18"/>
  <c r="BG940" i="18"/>
  <c r="BG941" i="18"/>
  <c r="BG942" i="18"/>
  <c r="BG943" i="18"/>
  <c r="BG944" i="18"/>
  <c r="BG945" i="18"/>
  <c r="BG946" i="18"/>
  <c r="BG947" i="18"/>
  <c r="BG948" i="18"/>
  <c r="BG949" i="18"/>
  <c r="BG950" i="18"/>
  <c r="BG951" i="18"/>
  <c r="BG952" i="18"/>
  <c r="BG953" i="18"/>
  <c r="BG954" i="18"/>
  <c r="BG955" i="18"/>
  <c r="BG956" i="18"/>
  <c r="BG957" i="18"/>
  <c r="BG958" i="18"/>
  <c r="BG959" i="18"/>
  <c r="BG960" i="18"/>
  <c r="BG961" i="18"/>
  <c r="BG962" i="18"/>
  <c r="BG963" i="18"/>
  <c r="BG964" i="18"/>
  <c r="BG965" i="18"/>
  <c r="BG966" i="18"/>
  <c r="BG967" i="18"/>
  <c r="BG968" i="18"/>
  <c r="BG969" i="18"/>
  <c r="BG970" i="18"/>
  <c r="BG971" i="18"/>
  <c r="BG972" i="18"/>
  <c r="BG973" i="18"/>
  <c r="BG974" i="18"/>
  <c r="BG975" i="18"/>
  <c r="BG976" i="18"/>
  <c r="BG977" i="18"/>
  <c r="BG978" i="18"/>
  <c r="BG979" i="18"/>
  <c r="BG980" i="18"/>
  <c r="BG981" i="18"/>
  <c r="BG982" i="18"/>
  <c r="BG983" i="18"/>
  <c r="BG984" i="18"/>
  <c r="BG985" i="18"/>
  <c r="BG986" i="18"/>
  <c r="BG987" i="18"/>
  <c r="BG988" i="18"/>
  <c r="BG989" i="18"/>
  <c r="BG990" i="18"/>
  <c r="BG991" i="18"/>
  <c r="BG992" i="18"/>
  <c r="BG993" i="18"/>
  <c r="BG994" i="18"/>
  <c r="BG995" i="18"/>
  <c r="BG996" i="18"/>
  <c r="BG997" i="18"/>
  <c r="BG998" i="18"/>
  <c r="BG999" i="18"/>
  <c r="BG1000" i="18"/>
  <c r="BG1001" i="18"/>
  <c r="BG1002" i="18"/>
  <c r="BG1003" i="18"/>
  <c r="BG1004" i="18"/>
  <c r="BG1005" i="18"/>
  <c r="BG1006" i="18"/>
  <c r="BF57" i="18"/>
  <c r="BF59" i="18"/>
  <c r="BF60" i="18"/>
  <c r="BF61" i="18"/>
  <c r="BF62" i="18"/>
  <c r="BF63" i="18"/>
  <c r="BF64" i="18"/>
  <c r="BF65" i="18"/>
  <c r="BF66" i="18"/>
  <c r="BF67" i="18"/>
  <c r="BF68" i="18"/>
  <c r="BF69" i="18"/>
  <c r="BF70" i="18"/>
  <c r="BF71" i="18"/>
  <c r="BF72" i="18"/>
  <c r="BF73" i="18"/>
  <c r="BF74" i="18"/>
  <c r="BF75" i="18"/>
  <c r="BF76" i="18"/>
  <c r="BF77" i="18"/>
  <c r="BF78" i="18"/>
  <c r="BF79" i="18"/>
  <c r="BF80" i="18"/>
  <c r="BF81" i="18"/>
  <c r="BF82" i="18"/>
  <c r="BF83" i="18"/>
  <c r="BF84" i="18"/>
  <c r="BF85" i="18"/>
  <c r="BF86" i="18"/>
  <c r="BF87" i="18"/>
  <c r="BF88" i="18"/>
  <c r="BF89" i="18"/>
  <c r="BF90" i="18"/>
  <c r="BF91" i="18"/>
  <c r="BF92" i="18"/>
  <c r="BF93" i="18"/>
  <c r="BF94" i="18"/>
  <c r="BF95" i="18"/>
  <c r="BF96" i="18"/>
  <c r="BF97" i="18"/>
  <c r="BF98" i="18"/>
  <c r="BF99" i="18"/>
  <c r="BF100" i="18"/>
  <c r="BF101" i="18"/>
  <c r="BF102" i="18"/>
  <c r="BF103" i="18"/>
  <c r="BF104" i="18"/>
  <c r="BF105" i="18"/>
  <c r="BF106" i="18"/>
  <c r="BF107" i="18"/>
  <c r="BF108" i="18"/>
  <c r="BF109" i="18"/>
  <c r="BF110" i="18"/>
  <c r="BF111" i="18"/>
  <c r="BF112" i="18"/>
  <c r="BF113" i="18"/>
  <c r="BF114" i="18"/>
  <c r="BF115" i="18"/>
  <c r="BF116" i="18"/>
  <c r="BF117" i="18"/>
  <c r="BF118" i="18"/>
  <c r="BF119" i="18"/>
  <c r="BF120" i="18"/>
  <c r="BF121" i="18"/>
  <c r="BF122" i="18"/>
  <c r="BF123" i="18"/>
  <c r="BF124" i="18"/>
  <c r="BF125" i="18"/>
  <c r="BF126" i="18"/>
  <c r="BF127" i="18"/>
  <c r="BF128" i="18"/>
  <c r="BF129" i="18"/>
  <c r="BF130" i="18"/>
  <c r="BF131" i="18"/>
  <c r="BF132" i="18"/>
  <c r="BF133" i="18"/>
  <c r="BF134" i="18"/>
  <c r="BF135" i="18"/>
  <c r="BF136" i="18"/>
  <c r="BF137" i="18"/>
  <c r="BF138" i="18"/>
  <c r="BF139" i="18"/>
  <c r="BF140" i="18"/>
  <c r="BF141" i="18"/>
  <c r="BF142" i="18"/>
  <c r="BF143" i="18"/>
  <c r="BF144" i="18"/>
  <c r="BF145" i="18"/>
  <c r="BF146" i="18"/>
  <c r="BF147" i="18"/>
  <c r="BF148" i="18"/>
  <c r="BF149" i="18"/>
  <c r="BF150" i="18"/>
  <c r="BF151" i="18"/>
  <c r="BF152" i="18"/>
  <c r="BF153" i="18"/>
  <c r="BF154" i="18"/>
  <c r="BF155" i="18"/>
  <c r="BF156" i="18"/>
  <c r="BF157" i="18"/>
  <c r="BF158" i="18"/>
  <c r="BF159" i="18"/>
  <c r="BF160" i="18"/>
  <c r="BF161" i="18"/>
  <c r="BF162" i="18"/>
  <c r="BF163" i="18"/>
  <c r="BF164" i="18"/>
  <c r="BF165" i="18"/>
  <c r="BF166" i="18"/>
  <c r="BF167" i="18"/>
  <c r="BF168" i="18"/>
  <c r="BF169" i="18"/>
  <c r="BF170" i="18"/>
  <c r="BF171" i="18"/>
  <c r="BF172" i="18"/>
  <c r="BF173" i="18"/>
  <c r="BF174" i="18"/>
  <c r="BF175" i="18"/>
  <c r="BF176" i="18"/>
  <c r="BF177" i="18"/>
  <c r="BF178" i="18"/>
  <c r="BF179" i="18"/>
  <c r="BF180" i="18"/>
  <c r="BF181" i="18"/>
  <c r="BF182" i="18"/>
  <c r="BF183" i="18"/>
  <c r="BF184" i="18"/>
  <c r="BF185" i="18"/>
  <c r="BF186" i="18"/>
  <c r="BF187" i="18"/>
  <c r="BF188" i="18"/>
  <c r="BF189" i="18"/>
  <c r="BF190" i="18"/>
  <c r="BF191" i="18"/>
  <c r="BF192" i="18"/>
  <c r="BF193" i="18"/>
  <c r="BF194" i="18"/>
  <c r="BF195" i="18"/>
  <c r="BF196" i="18"/>
  <c r="BF197" i="18"/>
  <c r="BF198" i="18"/>
  <c r="BF199" i="18"/>
  <c r="BF200" i="18"/>
  <c r="BF201" i="18"/>
  <c r="BF202" i="18"/>
  <c r="BF203" i="18"/>
  <c r="BF204" i="18"/>
  <c r="BF205" i="18"/>
  <c r="BF206" i="18"/>
  <c r="BF207" i="18"/>
  <c r="BF208" i="18"/>
  <c r="BF209" i="18"/>
  <c r="BF210" i="18"/>
  <c r="BF211" i="18"/>
  <c r="BF212" i="18"/>
  <c r="BF213" i="18"/>
  <c r="BF214" i="18"/>
  <c r="BF215" i="18"/>
  <c r="BF216" i="18"/>
  <c r="BF217" i="18"/>
  <c r="BF218" i="18"/>
  <c r="BF219" i="18"/>
  <c r="BF220" i="18"/>
  <c r="BF221" i="18"/>
  <c r="BF222" i="18"/>
  <c r="BF223" i="18"/>
  <c r="BF224" i="18"/>
  <c r="BF225" i="18"/>
  <c r="BF226" i="18"/>
  <c r="BF227" i="18"/>
  <c r="BF228" i="18"/>
  <c r="BF229" i="18"/>
  <c r="BF230" i="18"/>
  <c r="BF231" i="18"/>
  <c r="BF232" i="18"/>
  <c r="BF233" i="18"/>
  <c r="BF234" i="18"/>
  <c r="BF235" i="18"/>
  <c r="BF236" i="18"/>
  <c r="BF237" i="18"/>
  <c r="BF238" i="18"/>
  <c r="BF239" i="18"/>
  <c r="BF240" i="18"/>
  <c r="BF241" i="18"/>
  <c r="BF242" i="18"/>
  <c r="BF243" i="18"/>
  <c r="BF244" i="18"/>
  <c r="BF245" i="18"/>
  <c r="BF246" i="18"/>
  <c r="BF247" i="18"/>
  <c r="BF248" i="18"/>
  <c r="BF249" i="18"/>
  <c r="BF250" i="18"/>
  <c r="BF251" i="18"/>
  <c r="BF252" i="18"/>
  <c r="BF253" i="18"/>
  <c r="BF254" i="18"/>
  <c r="BF255" i="18"/>
  <c r="BF256" i="18"/>
  <c r="BF257" i="18"/>
  <c r="BF258" i="18"/>
  <c r="BF259" i="18"/>
  <c r="BF260" i="18"/>
  <c r="BF261" i="18"/>
  <c r="BF262" i="18"/>
  <c r="BF263" i="18"/>
  <c r="BF264" i="18"/>
  <c r="BF265" i="18"/>
  <c r="BF266" i="18"/>
  <c r="BF267" i="18"/>
  <c r="BF268" i="18"/>
  <c r="BF269" i="18"/>
  <c r="BF270" i="18"/>
  <c r="BF271" i="18"/>
  <c r="BF272" i="18"/>
  <c r="BF273" i="18"/>
  <c r="BF274" i="18"/>
  <c r="BF275" i="18"/>
  <c r="BF276" i="18"/>
  <c r="BF277" i="18"/>
  <c r="BF278" i="18"/>
  <c r="BF279" i="18"/>
  <c r="BF280" i="18"/>
  <c r="BF281" i="18"/>
  <c r="BF282" i="18"/>
  <c r="BF283" i="18"/>
  <c r="BF284" i="18"/>
  <c r="BF285" i="18"/>
  <c r="BF286" i="18"/>
  <c r="BF287" i="18"/>
  <c r="BF288" i="18"/>
  <c r="BF289" i="18"/>
  <c r="BF290" i="18"/>
  <c r="BF291" i="18"/>
  <c r="BF292" i="18"/>
  <c r="BF293" i="18"/>
  <c r="BF294" i="18"/>
  <c r="BF295" i="18"/>
  <c r="BF296" i="18"/>
  <c r="BF297" i="18"/>
  <c r="BF298" i="18"/>
  <c r="BF299" i="18"/>
  <c r="BF300" i="18"/>
  <c r="BF301" i="18"/>
  <c r="BF302" i="18"/>
  <c r="BF303" i="18"/>
  <c r="BF304" i="18"/>
  <c r="BF305" i="18"/>
  <c r="BF306" i="18"/>
  <c r="BF307" i="18"/>
  <c r="BF308" i="18"/>
  <c r="BF309" i="18"/>
  <c r="BF310" i="18"/>
  <c r="BF311" i="18"/>
  <c r="BF312" i="18"/>
  <c r="BF313" i="18"/>
  <c r="BF314" i="18"/>
  <c r="BF315" i="18"/>
  <c r="BF316" i="18"/>
  <c r="BF317" i="18"/>
  <c r="BF318" i="18"/>
  <c r="BF319" i="18"/>
  <c r="BF320" i="18"/>
  <c r="BF321" i="18"/>
  <c r="BF322" i="18"/>
  <c r="BF323" i="18"/>
  <c r="BF324" i="18"/>
  <c r="BF325" i="18"/>
  <c r="BF326" i="18"/>
  <c r="BF327" i="18"/>
  <c r="BF328" i="18"/>
  <c r="BF329" i="18"/>
  <c r="BF330" i="18"/>
  <c r="BF331" i="18"/>
  <c r="BF332" i="18"/>
  <c r="BF333" i="18"/>
  <c r="BF334" i="18"/>
  <c r="BF335" i="18"/>
  <c r="BF336" i="18"/>
  <c r="BF337" i="18"/>
  <c r="BF338" i="18"/>
  <c r="BF339" i="18"/>
  <c r="BF340" i="18"/>
  <c r="BF341" i="18"/>
  <c r="BF342" i="18"/>
  <c r="BF343" i="18"/>
  <c r="BF344" i="18"/>
  <c r="BF345" i="18"/>
  <c r="BF346" i="18"/>
  <c r="BF347" i="18"/>
  <c r="BF348" i="18"/>
  <c r="BF349" i="18"/>
  <c r="BF350" i="18"/>
  <c r="BF351" i="18"/>
  <c r="BF352" i="18"/>
  <c r="BF353" i="18"/>
  <c r="BF354" i="18"/>
  <c r="BF355" i="18"/>
  <c r="BF356" i="18"/>
  <c r="BF357" i="18"/>
  <c r="BF358" i="18"/>
  <c r="BF359" i="18"/>
  <c r="BF360" i="18"/>
  <c r="BF361" i="18"/>
  <c r="BF362" i="18"/>
  <c r="BF363" i="18"/>
  <c r="BF364" i="18"/>
  <c r="BF365" i="18"/>
  <c r="BF366" i="18"/>
  <c r="BF367" i="18"/>
  <c r="BF368" i="18"/>
  <c r="BF369" i="18"/>
  <c r="BF370" i="18"/>
  <c r="BF371" i="18"/>
  <c r="BF372" i="18"/>
  <c r="BF373" i="18"/>
  <c r="BF374" i="18"/>
  <c r="BF375" i="18"/>
  <c r="BF376" i="18"/>
  <c r="BF377" i="18"/>
  <c r="BF378" i="18"/>
  <c r="BF379" i="18"/>
  <c r="BF380" i="18"/>
  <c r="BF381" i="18"/>
  <c r="BF382" i="18"/>
  <c r="BF383" i="18"/>
  <c r="BF384" i="18"/>
  <c r="BF385" i="18"/>
  <c r="BF386" i="18"/>
  <c r="BF387" i="18"/>
  <c r="BF388" i="18"/>
  <c r="BF389" i="18"/>
  <c r="BF390" i="18"/>
  <c r="BF391" i="18"/>
  <c r="BF392" i="18"/>
  <c r="BF393" i="18"/>
  <c r="BF394" i="18"/>
  <c r="BF395" i="18"/>
  <c r="BF396" i="18"/>
  <c r="BF397" i="18"/>
  <c r="BF398" i="18"/>
  <c r="BF399" i="18"/>
  <c r="BF400" i="18"/>
  <c r="BF401" i="18"/>
  <c r="BF402" i="18"/>
  <c r="BF403" i="18"/>
  <c r="BF404" i="18"/>
  <c r="BF405" i="18"/>
  <c r="BF406" i="18"/>
  <c r="BF407" i="18"/>
  <c r="BF408" i="18"/>
  <c r="BF409" i="18"/>
  <c r="BF410" i="18"/>
  <c r="BF411" i="18"/>
  <c r="BF412" i="18"/>
  <c r="BF413" i="18"/>
  <c r="BF414" i="18"/>
  <c r="BF415" i="18"/>
  <c r="BF416" i="18"/>
  <c r="BF417" i="18"/>
  <c r="BF418" i="18"/>
  <c r="BF419" i="18"/>
  <c r="BF420" i="18"/>
  <c r="BF421" i="18"/>
  <c r="BF422" i="18"/>
  <c r="BF423" i="18"/>
  <c r="BF424" i="18"/>
  <c r="BF425" i="18"/>
  <c r="BF426" i="18"/>
  <c r="BF427" i="18"/>
  <c r="BF428" i="18"/>
  <c r="BF429" i="18"/>
  <c r="BF430" i="18"/>
  <c r="BF431" i="18"/>
  <c r="BF432" i="18"/>
  <c r="BF433" i="18"/>
  <c r="BF434" i="18"/>
  <c r="BF435" i="18"/>
  <c r="BF436" i="18"/>
  <c r="BF437" i="18"/>
  <c r="BF438" i="18"/>
  <c r="BF439" i="18"/>
  <c r="BF440" i="18"/>
  <c r="BF441" i="18"/>
  <c r="BF442" i="18"/>
  <c r="BF443" i="18"/>
  <c r="BF444" i="18"/>
  <c r="BF445" i="18"/>
  <c r="BF446" i="18"/>
  <c r="BF447" i="18"/>
  <c r="BF448" i="18"/>
  <c r="BF449" i="18"/>
  <c r="BF450" i="18"/>
  <c r="BF451" i="18"/>
  <c r="BF452" i="18"/>
  <c r="BF453" i="18"/>
  <c r="BF454" i="18"/>
  <c r="BF455" i="18"/>
  <c r="BF456" i="18"/>
  <c r="BF457" i="18"/>
  <c r="BF458" i="18"/>
  <c r="BF459" i="18"/>
  <c r="BF460" i="18"/>
  <c r="BF461" i="18"/>
  <c r="BF462" i="18"/>
  <c r="BF463" i="18"/>
  <c r="BF464" i="18"/>
  <c r="BF465" i="18"/>
  <c r="BF466" i="18"/>
  <c r="BF467" i="18"/>
  <c r="BF468" i="18"/>
  <c r="BF469" i="18"/>
  <c r="BF470" i="18"/>
  <c r="BF471" i="18"/>
  <c r="BF472" i="18"/>
  <c r="BF473" i="18"/>
  <c r="BF474" i="18"/>
  <c r="BF475" i="18"/>
  <c r="BF476" i="18"/>
  <c r="BF477" i="18"/>
  <c r="BF478" i="18"/>
  <c r="BF479" i="18"/>
  <c r="BF480" i="18"/>
  <c r="BF481" i="18"/>
  <c r="BF482" i="18"/>
  <c r="BF483" i="18"/>
  <c r="BF484" i="18"/>
  <c r="BF485" i="18"/>
  <c r="BF486" i="18"/>
  <c r="BF487" i="18"/>
  <c r="BF488" i="18"/>
  <c r="BF489" i="18"/>
  <c r="BF490" i="18"/>
  <c r="BF491" i="18"/>
  <c r="BF492" i="18"/>
  <c r="BF493" i="18"/>
  <c r="BF494" i="18"/>
  <c r="BF495" i="18"/>
  <c r="BF496" i="18"/>
  <c r="BF497" i="18"/>
  <c r="BF498" i="18"/>
  <c r="BF499" i="18"/>
  <c r="BF500" i="18"/>
  <c r="BF501" i="18"/>
  <c r="BF502" i="18"/>
  <c r="BF503" i="18"/>
  <c r="BF504" i="18"/>
  <c r="BF505" i="18"/>
  <c r="BF506" i="18"/>
  <c r="BF507" i="18"/>
  <c r="BF508" i="18"/>
  <c r="BF509" i="18"/>
  <c r="BF510" i="18"/>
  <c r="BF511" i="18"/>
  <c r="BF512" i="18"/>
  <c r="BF513" i="18"/>
  <c r="BF514" i="18"/>
  <c r="BF515" i="18"/>
  <c r="BF516" i="18"/>
  <c r="BF517" i="18"/>
  <c r="BF518" i="18"/>
  <c r="BF519" i="18"/>
  <c r="BF520" i="18"/>
  <c r="BF521" i="18"/>
  <c r="BF522" i="18"/>
  <c r="BF523" i="18"/>
  <c r="BF524" i="18"/>
  <c r="BF525" i="18"/>
  <c r="BF526" i="18"/>
  <c r="BF527" i="18"/>
  <c r="BF528" i="18"/>
  <c r="BF529" i="18"/>
  <c r="BF530" i="18"/>
  <c r="BF531" i="18"/>
  <c r="BF532" i="18"/>
  <c r="BF533" i="18"/>
  <c r="BF534" i="18"/>
  <c r="BF535" i="18"/>
  <c r="BF536" i="18"/>
  <c r="BF537" i="18"/>
  <c r="BF538" i="18"/>
  <c r="BF539" i="18"/>
  <c r="BF540" i="18"/>
  <c r="BF541" i="18"/>
  <c r="BF542" i="18"/>
  <c r="BF543" i="18"/>
  <c r="BF544" i="18"/>
  <c r="BF545" i="18"/>
  <c r="BF546" i="18"/>
  <c r="BF547" i="18"/>
  <c r="BF548" i="18"/>
  <c r="BF549" i="18"/>
  <c r="BF550" i="18"/>
  <c r="BF551" i="18"/>
  <c r="BF552" i="18"/>
  <c r="BF553" i="18"/>
  <c r="BF554" i="18"/>
  <c r="BF555" i="18"/>
  <c r="BF556" i="18"/>
  <c r="BF557" i="18"/>
  <c r="BF558" i="18"/>
  <c r="BF559" i="18"/>
  <c r="BF560" i="18"/>
  <c r="BF561" i="18"/>
  <c r="BF562" i="18"/>
  <c r="BF563" i="18"/>
  <c r="BF564" i="18"/>
  <c r="BF565" i="18"/>
  <c r="BF566" i="18"/>
  <c r="BF567" i="18"/>
  <c r="BF568" i="18"/>
  <c r="BF569" i="18"/>
  <c r="BF570" i="18"/>
  <c r="BF571" i="18"/>
  <c r="BF572" i="18"/>
  <c r="BF573" i="18"/>
  <c r="BF574" i="18"/>
  <c r="BF575" i="18"/>
  <c r="BF576" i="18"/>
  <c r="BF577" i="18"/>
  <c r="BF578" i="18"/>
  <c r="BF579" i="18"/>
  <c r="BF580" i="18"/>
  <c r="BF581" i="18"/>
  <c r="BF582" i="18"/>
  <c r="BF583" i="18"/>
  <c r="BF584" i="18"/>
  <c r="BF585" i="18"/>
  <c r="BF586" i="18"/>
  <c r="BF587" i="18"/>
  <c r="BF588" i="18"/>
  <c r="BF589" i="18"/>
  <c r="BF590" i="18"/>
  <c r="BF591" i="18"/>
  <c r="BF592" i="18"/>
  <c r="BF593" i="18"/>
  <c r="BF594" i="18"/>
  <c r="BF595" i="18"/>
  <c r="BF596" i="18"/>
  <c r="BF597" i="18"/>
  <c r="BF598" i="18"/>
  <c r="BF599" i="18"/>
  <c r="BF600" i="18"/>
  <c r="BF601" i="18"/>
  <c r="BF602" i="18"/>
  <c r="BF603" i="18"/>
  <c r="BF604" i="18"/>
  <c r="BF605" i="18"/>
  <c r="BF606" i="18"/>
  <c r="BF607" i="18"/>
  <c r="BF608" i="18"/>
  <c r="BF609" i="18"/>
  <c r="BF610" i="18"/>
  <c r="BF611" i="18"/>
  <c r="BF612" i="18"/>
  <c r="BF613" i="18"/>
  <c r="BF614" i="18"/>
  <c r="BF615" i="18"/>
  <c r="BF616" i="18"/>
  <c r="BF617" i="18"/>
  <c r="BF618" i="18"/>
  <c r="BF619" i="18"/>
  <c r="BF620" i="18"/>
  <c r="BF621" i="18"/>
  <c r="BF622" i="18"/>
  <c r="BF623" i="18"/>
  <c r="BF624" i="18"/>
  <c r="BF625" i="18"/>
  <c r="BF626" i="18"/>
  <c r="BF627" i="18"/>
  <c r="BF628" i="18"/>
  <c r="BF629" i="18"/>
  <c r="BF630" i="18"/>
  <c r="BF631" i="18"/>
  <c r="BF632" i="18"/>
  <c r="BF633" i="18"/>
  <c r="BF634" i="18"/>
  <c r="BF635" i="18"/>
  <c r="BF636" i="18"/>
  <c r="BF637" i="18"/>
  <c r="BF638" i="18"/>
  <c r="BF639" i="18"/>
  <c r="BF640" i="18"/>
  <c r="BF641" i="18"/>
  <c r="BF642" i="18"/>
  <c r="BF643" i="18"/>
  <c r="BF644" i="18"/>
  <c r="BF645" i="18"/>
  <c r="BF646" i="18"/>
  <c r="BF647" i="18"/>
  <c r="BF648" i="18"/>
  <c r="BF649" i="18"/>
  <c r="BF650" i="18"/>
  <c r="BF651" i="18"/>
  <c r="BF652" i="18"/>
  <c r="BF653" i="18"/>
  <c r="BF654" i="18"/>
  <c r="BF655" i="18"/>
  <c r="BF656" i="18"/>
  <c r="BF657" i="18"/>
  <c r="BF658" i="18"/>
  <c r="BF659" i="18"/>
  <c r="BF660" i="18"/>
  <c r="BF661" i="18"/>
  <c r="BF662" i="18"/>
  <c r="BF663" i="18"/>
  <c r="BF664" i="18"/>
  <c r="BF665" i="18"/>
  <c r="BF666" i="18"/>
  <c r="BF667" i="18"/>
  <c r="BF668" i="18"/>
  <c r="BF669" i="18"/>
  <c r="BF670" i="18"/>
  <c r="BF671" i="18"/>
  <c r="BF672" i="18"/>
  <c r="BF673" i="18"/>
  <c r="BF674" i="18"/>
  <c r="BF675" i="18"/>
  <c r="BF676" i="18"/>
  <c r="BF677" i="18"/>
  <c r="BF678" i="18"/>
  <c r="BF679" i="18"/>
  <c r="BF680" i="18"/>
  <c r="BF681" i="18"/>
  <c r="BF682" i="18"/>
  <c r="BF683" i="18"/>
  <c r="BF684" i="18"/>
  <c r="BF685" i="18"/>
  <c r="BF686" i="18"/>
  <c r="BF687" i="18"/>
  <c r="BF688" i="18"/>
  <c r="BF689" i="18"/>
  <c r="BF690" i="18"/>
  <c r="BF691" i="18"/>
  <c r="BF692" i="18"/>
  <c r="BF693" i="18"/>
  <c r="BF694" i="18"/>
  <c r="BF695" i="18"/>
  <c r="BF696" i="18"/>
  <c r="BF697" i="18"/>
  <c r="BF698" i="18"/>
  <c r="BF699" i="18"/>
  <c r="BF700" i="18"/>
  <c r="BF701" i="18"/>
  <c r="BF702" i="18"/>
  <c r="BF703" i="18"/>
  <c r="BF704" i="18"/>
  <c r="BF705" i="18"/>
  <c r="BF706" i="18"/>
  <c r="BF707" i="18"/>
  <c r="BF708" i="18"/>
  <c r="BF709" i="18"/>
  <c r="BF710" i="18"/>
  <c r="BF711" i="18"/>
  <c r="BF712" i="18"/>
  <c r="BF713" i="18"/>
  <c r="BF714" i="18"/>
  <c r="BF715" i="18"/>
  <c r="BF716" i="18"/>
  <c r="BF717" i="18"/>
  <c r="BF718" i="18"/>
  <c r="BF719" i="18"/>
  <c r="BF720" i="18"/>
  <c r="BF721" i="18"/>
  <c r="BF722" i="18"/>
  <c r="BF723" i="18"/>
  <c r="BF724" i="18"/>
  <c r="BF725" i="18"/>
  <c r="BF726" i="18"/>
  <c r="BF727" i="18"/>
  <c r="BF728" i="18"/>
  <c r="BF729" i="18"/>
  <c r="BF730" i="18"/>
  <c r="BF731" i="18"/>
  <c r="BF732" i="18"/>
  <c r="BF733" i="18"/>
  <c r="BF734" i="18"/>
  <c r="BF735" i="18"/>
  <c r="BF736" i="18"/>
  <c r="BF737" i="18"/>
  <c r="BF738" i="18"/>
  <c r="BF739" i="18"/>
  <c r="BF740" i="18"/>
  <c r="BF741" i="18"/>
  <c r="BF742" i="18"/>
  <c r="BF743" i="18"/>
  <c r="BF744" i="18"/>
  <c r="BF745" i="18"/>
  <c r="BF746" i="18"/>
  <c r="BF747" i="18"/>
  <c r="BF748" i="18"/>
  <c r="BF749" i="18"/>
  <c r="BF750" i="18"/>
  <c r="BF751" i="18"/>
  <c r="BF752" i="18"/>
  <c r="BF753" i="18"/>
  <c r="BF754" i="18"/>
  <c r="BF755" i="18"/>
  <c r="BF756" i="18"/>
  <c r="BF757" i="18"/>
  <c r="BF758" i="18"/>
  <c r="BF759" i="18"/>
  <c r="BF760" i="18"/>
  <c r="BF761" i="18"/>
  <c r="BF762" i="18"/>
  <c r="BF763" i="18"/>
  <c r="BF764" i="18"/>
  <c r="BF765" i="18"/>
  <c r="BF766" i="18"/>
  <c r="BF767" i="18"/>
  <c r="BF768" i="18"/>
  <c r="BF769" i="18"/>
  <c r="BF770" i="18"/>
  <c r="BF771" i="18"/>
  <c r="BF772" i="18"/>
  <c r="BF773" i="18"/>
  <c r="BF774" i="18"/>
  <c r="BF775" i="18"/>
  <c r="BF776" i="18"/>
  <c r="BF777" i="18"/>
  <c r="BF778" i="18"/>
  <c r="BF779" i="18"/>
  <c r="BF780" i="18"/>
  <c r="BF781" i="18"/>
  <c r="BF782" i="18"/>
  <c r="BF783" i="18"/>
  <c r="BF784" i="18"/>
  <c r="BF785" i="18"/>
  <c r="BF786" i="18"/>
  <c r="BF787" i="18"/>
  <c r="BF788" i="18"/>
  <c r="BF789" i="18"/>
  <c r="BF790" i="18"/>
  <c r="BF791" i="18"/>
  <c r="BF792" i="18"/>
  <c r="BF793" i="18"/>
  <c r="BF794" i="18"/>
  <c r="BF795" i="18"/>
  <c r="BF796" i="18"/>
  <c r="BF797" i="18"/>
  <c r="BF798" i="18"/>
  <c r="BF799" i="18"/>
  <c r="BF800" i="18"/>
  <c r="BF801" i="18"/>
  <c r="BF802" i="18"/>
  <c r="BF803" i="18"/>
  <c r="BF804" i="18"/>
  <c r="BF805" i="18"/>
  <c r="BF806" i="18"/>
  <c r="BF807" i="18"/>
  <c r="BF808" i="18"/>
  <c r="BF809" i="18"/>
  <c r="BF810" i="18"/>
  <c r="BF811" i="18"/>
  <c r="BF812" i="18"/>
  <c r="BF813" i="18"/>
  <c r="BF814" i="18"/>
  <c r="BF815" i="18"/>
  <c r="BF816" i="18"/>
  <c r="BF817" i="18"/>
  <c r="BF818" i="18"/>
  <c r="BF819" i="18"/>
  <c r="BF820" i="18"/>
  <c r="BF821" i="18"/>
  <c r="BF822" i="18"/>
  <c r="BF823" i="18"/>
  <c r="BF824" i="18"/>
  <c r="BF825" i="18"/>
  <c r="BF826" i="18"/>
  <c r="BF827" i="18"/>
  <c r="BF828" i="18"/>
  <c r="BF829" i="18"/>
  <c r="BF830" i="18"/>
  <c r="BF831" i="18"/>
  <c r="BF832" i="18"/>
  <c r="BF833" i="18"/>
  <c r="BF834" i="18"/>
  <c r="BF835" i="18"/>
  <c r="BF836" i="18"/>
  <c r="BF837" i="18"/>
  <c r="BF838" i="18"/>
  <c r="BF839" i="18"/>
  <c r="BF840" i="18"/>
  <c r="BF841" i="18"/>
  <c r="BF842" i="18"/>
  <c r="BF843" i="18"/>
  <c r="BF844" i="18"/>
  <c r="BF845" i="18"/>
  <c r="BF846" i="18"/>
  <c r="BF847" i="18"/>
  <c r="BF848" i="18"/>
  <c r="BF849" i="18"/>
  <c r="BF850" i="18"/>
  <c r="BF851" i="18"/>
  <c r="BF852" i="18"/>
  <c r="BF853" i="18"/>
  <c r="BF854" i="18"/>
  <c r="BF855" i="18"/>
  <c r="BF856" i="18"/>
  <c r="BF857" i="18"/>
  <c r="BF858" i="18"/>
  <c r="BF859" i="18"/>
  <c r="BF860" i="18"/>
  <c r="BF861" i="18"/>
  <c r="BF862" i="18"/>
  <c r="BF863" i="18"/>
  <c r="BF864" i="18"/>
  <c r="BF865" i="18"/>
  <c r="BF866" i="18"/>
  <c r="BF867" i="18"/>
  <c r="BF868" i="18"/>
  <c r="BF869" i="18"/>
  <c r="BF870" i="18"/>
  <c r="BF871" i="18"/>
  <c r="BF872" i="18"/>
  <c r="BF873" i="18"/>
  <c r="BF874" i="18"/>
  <c r="BF875" i="18"/>
  <c r="BF876" i="18"/>
  <c r="BF877" i="18"/>
  <c r="BF878" i="18"/>
  <c r="BF879" i="18"/>
  <c r="BF880" i="18"/>
  <c r="BF881" i="18"/>
  <c r="BF882" i="18"/>
  <c r="BF883" i="18"/>
  <c r="BF884" i="18"/>
  <c r="BF885" i="18"/>
  <c r="BF886" i="18"/>
  <c r="BF887" i="18"/>
  <c r="BF888" i="18"/>
  <c r="BF889" i="18"/>
  <c r="BF890" i="18"/>
  <c r="BF891" i="18"/>
  <c r="BF892" i="18"/>
  <c r="BF893" i="18"/>
  <c r="BF894" i="18"/>
  <c r="BF895" i="18"/>
  <c r="BF896" i="18"/>
  <c r="BF897" i="18"/>
  <c r="BF898" i="18"/>
  <c r="BF899" i="18"/>
  <c r="BF900" i="18"/>
  <c r="BF901" i="18"/>
  <c r="BF902" i="18"/>
  <c r="BF903" i="18"/>
  <c r="BF904" i="18"/>
  <c r="BF905" i="18"/>
  <c r="BF906" i="18"/>
  <c r="BF907" i="18"/>
  <c r="BF908" i="18"/>
  <c r="BF909" i="18"/>
  <c r="BF910" i="18"/>
  <c r="BF911" i="18"/>
  <c r="BF912" i="18"/>
  <c r="BF913" i="18"/>
  <c r="BF914" i="18"/>
  <c r="BF915" i="18"/>
  <c r="BF916" i="18"/>
  <c r="BF917" i="18"/>
  <c r="BF918" i="18"/>
  <c r="BF919" i="18"/>
  <c r="BF920" i="18"/>
  <c r="BF921" i="18"/>
  <c r="BF922" i="18"/>
  <c r="BF923" i="18"/>
  <c r="BF924" i="18"/>
  <c r="BF925" i="18"/>
  <c r="BF926" i="18"/>
  <c r="BF927" i="18"/>
  <c r="BF928" i="18"/>
  <c r="BF929" i="18"/>
  <c r="BF930" i="18"/>
  <c r="BF931" i="18"/>
  <c r="BF932" i="18"/>
  <c r="BF933" i="18"/>
  <c r="BF934" i="18"/>
  <c r="BF935" i="18"/>
  <c r="BF936" i="18"/>
  <c r="BF937" i="18"/>
  <c r="BF938" i="18"/>
  <c r="BF939" i="18"/>
  <c r="BF940" i="18"/>
  <c r="BF941" i="18"/>
  <c r="BF942" i="18"/>
  <c r="BF943" i="18"/>
  <c r="BF944" i="18"/>
  <c r="BF945" i="18"/>
  <c r="BF946" i="18"/>
  <c r="BF947" i="18"/>
  <c r="BF948" i="18"/>
  <c r="BF949" i="18"/>
  <c r="BF950" i="18"/>
  <c r="BF951" i="18"/>
  <c r="BF952" i="18"/>
  <c r="BF953" i="18"/>
  <c r="BF954" i="18"/>
  <c r="BF955" i="18"/>
  <c r="BF956" i="18"/>
  <c r="BF957" i="18"/>
  <c r="BF958" i="18"/>
  <c r="BF959" i="18"/>
  <c r="BF960" i="18"/>
  <c r="BF961" i="18"/>
  <c r="BF962" i="18"/>
  <c r="BF963" i="18"/>
  <c r="BF964" i="18"/>
  <c r="BF965" i="18"/>
  <c r="BF966" i="18"/>
  <c r="BF967" i="18"/>
  <c r="BF968" i="18"/>
  <c r="BF969" i="18"/>
  <c r="BF970" i="18"/>
  <c r="BF971" i="18"/>
  <c r="BF972" i="18"/>
  <c r="BF973" i="18"/>
  <c r="BF974" i="18"/>
  <c r="BF975" i="18"/>
  <c r="BF976" i="18"/>
  <c r="BF977" i="18"/>
  <c r="BF978" i="18"/>
  <c r="BF979" i="18"/>
  <c r="BF980" i="18"/>
  <c r="BF981" i="18"/>
  <c r="BF982" i="18"/>
  <c r="BF983" i="18"/>
  <c r="BF984" i="18"/>
  <c r="BF985" i="18"/>
  <c r="BF986" i="18"/>
  <c r="BF987" i="18"/>
  <c r="BF988" i="18"/>
  <c r="BF989" i="18"/>
  <c r="BF990" i="18"/>
  <c r="BF991" i="18"/>
  <c r="BF992" i="18"/>
  <c r="BF993" i="18"/>
  <c r="BF994" i="18"/>
  <c r="BF995" i="18"/>
  <c r="BF996" i="18"/>
  <c r="BF997" i="18"/>
  <c r="BF998" i="18"/>
  <c r="BF999" i="18"/>
  <c r="BF1000" i="18"/>
  <c r="BF1001" i="18"/>
  <c r="BF1002" i="18"/>
  <c r="BF1003" i="18"/>
  <c r="BF1004" i="18"/>
  <c r="BF1005" i="18"/>
  <c r="BF1006" i="18"/>
  <c r="BX5" i="18"/>
  <c r="BS7" i="18"/>
  <c r="BS8" i="18"/>
  <c r="BS9" i="18"/>
  <c r="BS10" i="18"/>
  <c r="BS11" i="18"/>
  <c r="AK4" i="16"/>
  <c r="AK4" i="14"/>
  <c r="AQ4" i="16"/>
  <c r="AO4" i="16"/>
  <c r="AM4" i="16"/>
  <c r="AI4" i="16"/>
  <c r="AQ4" i="14"/>
  <c r="AO4" i="14"/>
  <c r="AM4" i="14"/>
  <c r="E5" i="17"/>
  <c r="BG17" i="18"/>
  <c r="BG18" i="18"/>
  <c r="BG19" i="18"/>
  <c r="BG20" i="18"/>
  <c r="BG21" i="18"/>
  <c r="BG22" i="18"/>
  <c r="BG23" i="18"/>
  <c r="BG24" i="18"/>
  <c r="BG25" i="18"/>
  <c r="BG26" i="18"/>
  <c r="BG27" i="18"/>
  <c r="BG28" i="18"/>
  <c r="BG29" i="18"/>
  <c r="BG30" i="18"/>
  <c r="BG31" i="18"/>
  <c r="BG32" i="18"/>
  <c r="BG33" i="18"/>
  <c r="BG34" i="18"/>
  <c r="BG35" i="18"/>
  <c r="BG36" i="18"/>
  <c r="BG37" i="18"/>
  <c r="BG38" i="18"/>
  <c r="BG39" i="18"/>
  <c r="BG40" i="18"/>
  <c r="BG41" i="18"/>
  <c r="BG42" i="18"/>
  <c r="BG43" i="18"/>
  <c r="BG44" i="18"/>
  <c r="BG45" i="18"/>
  <c r="BG46" i="18"/>
  <c r="BG47" i="18"/>
  <c r="BG48" i="18"/>
  <c r="BG49" i="18"/>
  <c r="BG50" i="18"/>
  <c r="BG51" i="18"/>
  <c r="BG52" i="18"/>
  <c r="BG53" i="18"/>
  <c r="BG54" i="18"/>
  <c r="BG55" i="18"/>
  <c r="BG56" i="18"/>
  <c r="BF39" i="18"/>
  <c r="BF40" i="18"/>
  <c r="BF41" i="18"/>
  <c r="BF42" i="18"/>
  <c r="BF43" i="18"/>
  <c r="BF44" i="18"/>
  <c r="BF45" i="18"/>
  <c r="BF46" i="18"/>
  <c r="BF47" i="18"/>
  <c r="BF48" i="18"/>
  <c r="BF49" i="18"/>
  <c r="BF50" i="18"/>
  <c r="BF51" i="18"/>
  <c r="BF52" i="18"/>
  <c r="BF53" i="18"/>
  <c r="BF54" i="18"/>
  <c r="BF55" i="18"/>
  <c r="BF56" i="18"/>
  <c r="BF17" i="18"/>
  <c r="BF18" i="18"/>
  <c r="BF19" i="18"/>
  <c r="BF20" i="18"/>
  <c r="BF21" i="18"/>
  <c r="BF22" i="18"/>
  <c r="BF23" i="18"/>
  <c r="BF24" i="18"/>
  <c r="BF25" i="18"/>
  <c r="BF26" i="18"/>
  <c r="BF27" i="18"/>
  <c r="BF28" i="18"/>
  <c r="BF29" i="18"/>
  <c r="BF30" i="18"/>
  <c r="BF31" i="18"/>
  <c r="BF32" i="18"/>
  <c r="BF33" i="18"/>
  <c r="BF34" i="18"/>
  <c r="BF35" i="18"/>
  <c r="BF36" i="18"/>
  <c r="BF37" i="18"/>
  <c r="BF38" i="18"/>
  <c r="BG8" i="18"/>
  <c r="BG9" i="18"/>
  <c r="BG10" i="18"/>
  <c r="BG11" i="18"/>
  <c r="BG12" i="18"/>
  <c r="BG13" i="18"/>
  <c r="BG14" i="18"/>
  <c r="BG15" i="18"/>
  <c r="BG16" i="18"/>
  <c r="BG7" i="18"/>
  <c r="BF8" i="18"/>
  <c r="BF9" i="18"/>
  <c r="BF11" i="18"/>
  <c r="BF12" i="18"/>
  <c r="BF13" i="18"/>
  <c r="BF14" i="18"/>
  <c r="BF15" i="18"/>
  <c r="BF16" i="18"/>
  <c r="BF7" i="18"/>
  <c r="G10" i="2" l="1"/>
  <c r="G16" i="2"/>
  <c r="N7" i="10"/>
  <c r="BG5" i="18"/>
  <c r="BF5" i="18"/>
  <c r="BP1005" i="18"/>
  <c r="BP1001" i="18"/>
  <c r="BP997" i="18"/>
  <c r="BP993" i="18"/>
  <c r="BP989" i="18"/>
  <c r="BP985" i="18"/>
  <c r="BP981" i="18"/>
  <c r="BP977" i="18"/>
  <c r="BP973" i="18"/>
  <c r="BP969" i="18"/>
  <c r="BP965" i="18"/>
  <c r="BP961" i="18"/>
  <c r="BP957" i="18"/>
  <c r="BP953" i="18"/>
  <c r="BP949" i="18"/>
  <c r="BP945" i="18"/>
  <c r="BP941" i="18"/>
  <c r="BP937" i="18"/>
  <c r="BP933" i="18"/>
  <c r="BP929" i="18"/>
  <c r="BP925" i="18"/>
  <c r="BP921" i="18"/>
  <c r="BP917" i="18"/>
  <c r="BP913" i="18"/>
  <c r="BP909" i="18"/>
  <c r="BP905" i="18"/>
  <c r="BP901" i="18"/>
  <c r="BP897" i="18"/>
  <c r="BP893" i="18"/>
  <c r="BP889" i="18"/>
  <c r="BP885" i="18"/>
  <c r="BP881" i="18"/>
  <c r="BP877" i="18"/>
  <c r="BP873" i="18"/>
  <c r="BP869" i="18"/>
  <c r="BP865" i="18"/>
  <c r="BP861" i="18"/>
  <c r="BP857" i="18"/>
  <c r="BP853" i="18"/>
  <c r="BP849" i="18"/>
  <c r="BP845" i="18"/>
  <c r="BP841" i="18"/>
  <c r="BP837" i="18"/>
  <c r="BP833" i="18"/>
  <c r="BP829" i="18"/>
  <c r="BP825" i="18"/>
  <c r="BP821" i="18"/>
  <c r="BP817" i="18"/>
  <c r="BP813" i="18"/>
  <c r="BP809" i="18"/>
  <c r="BP805" i="18"/>
  <c r="BP801" i="18"/>
  <c r="BP797" i="18"/>
  <c r="BP525" i="18"/>
  <c r="BP521" i="18"/>
  <c r="BP517" i="18"/>
  <c r="BP513" i="18"/>
  <c r="BP509" i="18"/>
  <c r="BP505" i="18"/>
  <c r="BP501" i="18"/>
  <c r="BP497" i="18"/>
  <c r="BP493" i="18"/>
  <c r="BP489" i="18"/>
  <c r="BP485" i="18"/>
  <c r="BP481" i="18"/>
  <c r="BP477" i="18"/>
  <c r="BP473" i="18"/>
  <c r="BP469" i="18"/>
  <c r="BP465" i="18"/>
  <c r="BP461" i="18"/>
  <c r="BP457" i="18"/>
  <c r="BP453" i="18"/>
  <c r="BP449" i="18"/>
  <c r="BP445" i="18"/>
  <c r="BP441" i="18"/>
  <c r="BP437" i="18"/>
  <c r="BP433" i="18"/>
  <c r="BP429" i="18"/>
  <c r="BP425" i="18"/>
  <c r="BP421" i="18"/>
  <c r="BP417" i="18"/>
  <c r="BP413" i="18"/>
  <c r="BP409" i="18"/>
  <c r="BP405" i="18"/>
  <c r="BP401" i="18"/>
  <c r="BP57" i="18"/>
  <c r="BP397" i="18"/>
  <c r="BP393" i="18"/>
  <c r="BP389" i="18"/>
  <c r="BP385" i="18"/>
  <c r="BP381" i="18"/>
  <c r="BP377" i="18"/>
  <c r="BP373" i="18"/>
  <c r="BP369" i="18"/>
  <c r="BP365" i="18"/>
  <c r="BP361" i="18"/>
  <c r="BP357" i="18"/>
  <c r="BP353" i="18"/>
  <c r="BP349" i="18"/>
  <c r="BP345" i="18"/>
  <c r="BP341" i="18"/>
  <c r="BP337" i="18"/>
  <c r="BP333" i="18"/>
  <c r="BP329" i="18"/>
  <c r="BP325" i="18"/>
  <c r="BP321" i="18"/>
  <c r="BP317" i="18"/>
  <c r="BP313" i="18"/>
  <c r="BP309" i="18"/>
  <c r="BP305" i="18"/>
  <c r="BP301" i="18"/>
  <c r="BP297" i="18"/>
  <c r="BP293" i="18"/>
  <c r="BP289" i="18"/>
  <c r="BP285" i="18"/>
  <c r="BP281" i="18"/>
  <c r="BP277" i="18"/>
  <c r="BP273" i="18"/>
  <c r="BP269" i="18"/>
  <c r="BP265" i="18"/>
  <c r="BP261" i="18"/>
  <c r="BP257" i="18"/>
  <c r="BP253" i="18"/>
  <c r="BP249" i="18"/>
  <c r="BP245" i="18"/>
  <c r="BP241" i="18"/>
  <c r="BP237" i="18"/>
  <c r="BP233" i="18"/>
  <c r="BP229" i="18"/>
  <c r="BP225" i="18"/>
  <c r="BP221" i="18"/>
  <c r="BP217" i="18"/>
  <c r="BP213" i="18"/>
  <c r="BP209" i="18"/>
  <c r="BP205" i="18"/>
  <c r="BP201" i="18"/>
  <c r="BP197" i="18"/>
  <c r="BP193" i="18"/>
  <c r="BP189" i="18"/>
  <c r="BP185" i="18"/>
  <c r="BP181" i="18"/>
  <c r="BP177" i="18"/>
  <c r="BP173" i="18"/>
  <c r="BP169" i="18"/>
  <c r="BP165" i="18"/>
  <c r="BP161" i="18"/>
  <c r="BP157" i="18"/>
  <c r="BP153" i="18"/>
  <c r="BP149" i="18"/>
  <c r="BP145" i="18"/>
  <c r="BP141" i="18"/>
  <c r="BP137" i="18"/>
  <c r="BP133" i="18"/>
  <c r="BP129" i="18"/>
  <c r="BP125" i="18"/>
  <c r="BP121" i="18"/>
  <c r="BP117" i="18"/>
  <c r="BP113" i="18"/>
  <c r="BP109" i="18"/>
  <c r="BP105" i="18"/>
  <c r="BP101" i="18"/>
  <c r="BP97" i="18"/>
  <c r="BP93" i="18"/>
  <c r="BP89" i="18"/>
  <c r="BP85" i="18"/>
  <c r="BP81" i="18"/>
  <c r="BP77" i="18"/>
  <c r="BP73" i="18"/>
  <c r="BP69" i="18"/>
  <c r="BP65" i="18"/>
  <c r="BP61" i="18"/>
  <c r="BP1006" i="18"/>
  <c r="BP1002" i="18"/>
  <c r="BP998" i="18"/>
  <c r="BP994" i="18"/>
  <c r="BP990" i="18"/>
  <c r="BP986" i="18"/>
  <c r="BP982" i="18"/>
  <c r="BP978" i="18"/>
  <c r="BP974" i="18"/>
  <c r="BP970" i="18"/>
  <c r="BP966" i="18"/>
  <c r="BP962" i="18"/>
  <c r="BP958" i="18"/>
  <c r="BP954" i="18"/>
  <c r="BP950" i="18"/>
  <c r="BP946" i="18"/>
  <c r="BP942" i="18"/>
  <c r="BP938" i="18"/>
  <c r="BP934" i="18"/>
  <c r="BP930" i="18"/>
  <c r="BP926" i="18"/>
  <c r="BP922" i="18"/>
  <c r="BP918" i="18"/>
  <c r="BP914" i="18"/>
  <c r="BP910" i="18"/>
  <c r="BP906" i="18"/>
  <c r="BP902" i="18"/>
  <c r="BP898" i="18"/>
  <c r="BP894" i="18"/>
  <c r="BP890" i="18"/>
  <c r="BP886" i="18"/>
  <c r="BP882" i="18"/>
  <c r="BP878" i="18"/>
  <c r="BP874" i="18"/>
  <c r="BP870" i="18"/>
  <c r="BP866" i="18"/>
  <c r="BP862" i="18"/>
  <c r="BP858" i="18"/>
  <c r="BP854" i="18"/>
  <c r="BP850" i="18"/>
  <c r="BP846" i="18"/>
  <c r="BP842" i="18"/>
  <c r="BP838" i="18"/>
  <c r="BP834" i="18"/>
  <c r="BP830" i="18"/>
  <c r="BP826" i="18"/>
  <c r="BP822" i="18"/>
  <c r="BP818" i="18"/>
  <c r="BP814" i="18"/>
  <c r="BP810" i="18"/>
  <c r="BP806" i="18"/>
  <c r="BP802" i="18"/>
  <c r="BP798" i="18"/>
  <c r="BP794" i="18"/>
  <c r="BP790" i="18"/>
  <c r="BP786" i="18"/>
  <c r="BP782" i="18"/>
  <c r="BP778" i="18"/>
  <c r="BP774" i="18"/>
  <c r="BP770" i="18"/>
  <c r="BP766" i="18"/>
  <c r="BP762" i="18"/>
  <c r="BP758" i="18"/>
  <c r="BP754" i="18"/>
  <c r="BP750" i="18"/>
  <c r="BP746" i="18"/>
  <c r="BP742" i="18"/>
  <c r="BP738" i="18"/>
  <c r="BP734" i="18"/>
  <c r="BP730" i="18"/>
  <c r="BP726" i="18"/>
  <c r="BP722" i="18"/>
  <c r="BP718" i="18"/>
  <c r="BP714" i="18"/>
  <c r="BP710" i="18"/>
  <c r="BP706" i="18"/>
  <c r="BP702" i="18"/>
  <c r="BP698" i="18"/>
  <c r="BP694" i="18"/>
  <c r="BP690" i="18"/>
  <c r="BP686" i="18"/>
  <c r="BP682" i="18"/>
  <c r="BP678" i="18"/>
  <c r="BP674" i="18"/>
  <c r="BP670" i="18"/>
  <c r="BP666" i="18"/>
  <c r="BP662" i="18"/>
  <c r="BP658" i="18"/>
  <c r="BP654" i="18"/>
  <c r="BP650" i="18"/>
  <c r="BP646" i="18"/>
  <c r="BP638" i="18"/>
  <c r="BP634" i="18"/>
  <c r="BP630" i="18"/>
  <c r="BP626" i="18"/>
  <c r="BP622" i="18"/>
  <c r="BP618" i="18"/>
  <c r="BP614" i="18"/>
  <c r="BP610" i="18"/>
  <c r="BP606" i="18"/>
  <c r="BP602" i="18"/>
  <c r="BP598" i="18"/>
  <c r="BP594" i="18"/>
  <c r="BP590" i="18"/>
  <c r="BP586" i="18"/>
  <c r="BP582" i="18"/>
  <c r="BP578" i="18"/>
  <c r="BP574" i="18"/>
  <c r="BP570" i="18"/>
  <c r="BP566" i="18"/>
  <c r="BP562" i="18"/>
  <c r="BP558" i="18"/>
  <c r="BP554" i="18"/>
  <c r="BP550" i="18"/>
  <c r="BP546" i="18"/>
  <c r="BP542" i="18"/>
  <c r="BP538" i="18"/>
  <c r="BP534" i="18"/>
  <c r="BP530" i="18"/>
  <c r="BP526" i="18"/>
  <c r="BP522" i="18"/>
  <c r="BP793" i="18"/>
  <c r="BP789" i="18"/>
  <c r="BP785" i="18"/>
  <c r="BP781" i="18"/>
  <c r="BP777" i="18"/>
  <c r="BP773" i="18"/>
  <c r="BP769" i="18"/>
  <c r="BP765" i="18"/>
  <c r="BP761" i="18"/>
  <c r="BP757" i="18"/>
  <c r="BP753" i="18"/>
  <c r="BP749" i="18"/>
  <c r="BP745" i="18"/>
  <c r="BP741" i="18"/>
  <c r="BP737" i="18"/>
  <c r="BP733" i="18"/>
  <c r="BP729" i="18"/>
  <c r="BP725" i="18"/>
  <c r="BP721" i="18"/>
  <c r="BP717" i="18"/>
  <c r="BP713" i="18"/>
  <c r="BP709" i="18"/>
  <c r="BP705" i="18"/>
  <c r="BP701" i="18"/>
  <c r="BP697" i="18"/>
  <c r="BP693" i="18"/>
  <c r="BP689" i="18"/>
  <c r="BP685" i="18"/>
  <c r="BP681" i="18"/>
  <c r="BP677" i="18"/>
  <c r="BP673" i="18"/>
  <c r="BP669" i="18"/>
  <c r="BP665" i="18"/>
  <c r="BP661" i="18"/>
  <c r="BP657" i="18"/>
  <c r="BP653" i="18"/>
  <c r="BP649" i="18"/>
  <c r="BP645" i="18"/>
  <c r="BP641" i="18"/>
  <c r="BP637" i="18"/>
  <c r="BP633" i="18"/>
  <c r="BP629" i="18"/>
  <c r="BP625" i="18"/>
  <c r="BP621" i="18"/>
  <c r="BP617" i="18"/>
  <c r="BP613" i="18"/>
  <c r="BP609" i="18"/>
  <c r="BP605" i="18"/>
  <c r="BP601" i="18"/>
  <c r="BP597" i="18"/>
  <c r="BP593" i="18"/>
  <c r="BP589" i="18"/>
  <c r="BP585" i="18"/>
  <c r="BP581" i="18"/>
  <c r="BP577" i="18"/>
  <c r="BP573" i="18"/>
  <c r="BP569" i="18"/>
  <c r="BP565" i="18"/>
  <c r="BP561" i="18"/>
  <c r="BP557" i="18"/>
  <c r="BP553" i="18"/>
  <c r="BP549" i="18"/>
  <c r="BP545" i="18"/>
  <c r="BP541" i="18"/>
  <c r="BP537" i="18"/>
  <c r="BP533" i="18"/>
  <c r="BP529" i="18"/>
  <c r="BP518" i="18"/>
  <c r="BP514" i="18"/>
  <c r="BP510" i="18"/>
  <c r="BP506" i="18"/>
  <c r="BP502" i="18"/>
  <c r="BP498" i="18"/>
  <c r="BP494" i="18"/>
  <c r="BP490" i="18"/>
  <c r="BP486" i="18"/>
  <c r="BP482" i="18"/>
  <c r="BP478" i="18"/>
  <c r="BP474" i="18"/>
  <c r="BP470" i="18"/>
  <c r="BP466" i="18"/>
  <c r="BP462" i="18"/>
  <c r="BP458" i="18"/>
  <c r="BP454" i="18"/>
  <c r="BP450" i="18"/>
  <c r="BP446" i="18"/>
  <c r="BP442" i="18"/>
  <c r="BP438" i="18"/>
  <c r="BP434" i="18"/>
  <c r="BP430" i="18"/>
  <c r="BP426" i="18"/>
  <c r="BP422" i="18"/>
  <c r="BP418" i="18"/>
  <c r="BP414" i="18"/>
  <c r="BP410" i="18"/>
  <c r="BP406" i="18"/>
  <c r="BP402" i="18"/>
  <c r="BP398" i="18"/>
  <c r="BP394" i="18"/>
  <c r="BP390" i="18"/>
  <c r="BP386" i="18"/>
  <c r="BP382" i="18"/>
  <c r="BP378" i="18"/>
  <c r="BP374" i="18"/>
  <c r="BP370" i="18"/>
  <c r="BP366" i="18"/>
  <c r="BP362" i="18"/>
  <c r="BP358" i="18"/>
  <c r="BP354" i="18"/>
  <c r="BP350" i="18"/>
  <c r="BP346" i="18"/>
  <c r="BP342" i="18"/>
  <c r="BP338" i="18"/>
  <c r="BP334" i="18"/>
  <c r="BP330" i="18"/>
  <c r="BP326" i="18"/>
  <c r="BP322" i="18"/>
  <c r="BP318" i="18"/>
  <c r="BP314" i="18"/>
  <c r="BP310" i="18"/>
  <c r="BP306" i="18"/>
  <c r="BP302" i="18"/>
  <c r="BP298" i="18"/>
  <c r="BP294" i="18"/>
  <c r="BP290" i="18"/>
  <c r="BP286" i="18"/>
  <c r="BP282" i="18"/>
  <c r="BP278" i="18"/>
  <c r="BP274" i="18"/>
  <c r="BP270" i="18"/>
  <c r="BP266" i="18"/>
  <c r="BP262" i="18"/>
  <c r="BP258" i="18"/>
  <c r="BP254" i="18"/>
  <c r="BP250" i="18"/>
  <c r="BP246" i="18"/>
  <c r="BP242" i="18"/>
  <c r="BP238" i="18"/>
  <c r="BP234" i="18"/>
  <c r="BP230" i="18"/>
  <c r="BP226" i="18"/>
  <c r="BP222" i="18"/>
  <c r="BP218" i="18"/>
  <c r="BP214" i="18"/>
  <c r="BP210" i="18"/>
  <c r="BP206" i="18"/>
  <c r="BP202" i="18"/>
  <c r="BP198" i="18"/>
  <c r="BP194" i="18"/>
  <c r="BP190" i="18"/>
  <c r="BP186" i="18"/>
  <c r="BP182" i="18"/>
  <c r="BP1003" i="18"/>
  <c r="BP999" i="18"/>
  <c r="BP995" i="18"/>
  <c r="BP991" i="18"/>
  <c r="BP987" i="18"/>
  <c r="BP983" i="18"/>
  <c r="BP979" i="18"/>
  <c r="BP975" i="18"/>
  <c r="BP971" i="18"/>
  <c r="BP967" i="18"/>
  <c r="BP963" i="18"/>
  <c r="BP959" i="18"/>
  <c r="BP955" i="18"/>
  <c r="BP951" i="18"/>
  <c r="BP947" i="18"/>
  <c r="BP943" i="18"/>
  <c r="BP939" i="18"/>
  <c r="BP935" i="18"/>
  <c r="BP931" i="18"/>
  <c r="BP927" i="18"/>
  <c r="BP923" i="18"/>
  <c r="BP919" i="18"/>
  <c r="BP915" i="18"/>
  <c r="BP911" i="18"/>
  <c r="BP907" i="18"/>
  <c r="BP903" i="18"/>
  <c r="BP899" i="18"/>
  <c r="BP895" i="18"/>
  <c r="BP891" i="18"/>
  <c r="BP887" i="18"/>
  <c r="BP883" i="18"/>
  <c r="BP879" i="18"/>
  <c r="BP875" i="18"/>
  <c r="BP871" i="18"/>
  <c r="BP867" i="18"/>
  <c r="BP863" i="18"/>
  <c r="BP859" i="18"/>
  <c r="BP855" i="18"/>
  <c r="BP851" i="18"/>
  <c r="BP847" i="18"/>
  <c r="BP843" i="18"/>
  <c r="BP839" i="18"/>
  <c r="BP835" i="18"/>
  <c r="BP831" i="18"/>
  <c r="BP827" i="18"/>
  <c r="BP823" i="18"/>
  <c r="BP819" i="18"/>
  <c r="BP815" i="18"/>
  <c r="BP811" i="18"/>
  <c r="BP807" i="18"/>
  <c r="BP803" i="18"/>
  <c r="BP799" i="18"/>
  <c r="BP795" i="18"/>
  <c r="BP791" i="18"/>
  <c r="BP787" i="18"/>
  <c r="BP783" i="18"/>
  <c r="BP779" i="18"/>
  <c r="BP775" i="18"/>
  <c r="BP771" i="18"/>
  <c r="BP767" i="18"/>
  <c r="BP763" i="18"/>
  <c r="BP759" i="18"/>
  <c r="BP755" i="18"/>
  <c r="BP751" i="18"/>
  <c r="BP178" i="18"/>
  <c r="BP174" i="18"/>
  <c r="BP170" i="18"/>
  <c r="BP166" i="18"/>
  <c r="BP162" i="18"/>
  <c r="BP158" i="18"/>
  <c r="BP154" i="18"/>
  <c r="BP150" i="18"/>
  <c r="BP146" i="18"/>
  <c r="BP142" i="18"/>
  <c r="BP138" i="18"/>
  <c r="BP134" i="18"/>
  <c r="BP130" i="18"/>
  <c r="BP126" i="18"/>
  <c r="BP122" i="18"/>
  <c r="BP118" i="18"/>
  <c r="BP114" i="18"/>
  <c r="BP110" i="18"/>
  <c r="BP106" i="18"/>
  <c r="BP102" i="18"/>
  <c r="BP98" i="18"/>
  <c r="BP94" i="18"/>
  <c r="BP90" i="18"/>
  <c r="BP86" i="18"/>
  <c r="BP82" i="18"/>
  <c r="BP78" i="18"/>
  <c r="BP74" i="18"/>
  <c r="BP70" i="18"/>
  <c r="BP66" i="18"/>
  <c r="BP62" i="18"/>
  <c r="BP14" i="18"/>
  <c r="BP35" i="18"/>
  <c r="BP31" i="18"/>
  <c r="BP27" i="18"/>
  <c r="BP23" i="18"/>
  <c r="BP19" i="18"/>
  <c r="BP55" i="18"/>
  <c r="BP51" i="18"/>
  <c r="BP47" i="18"/>
  <c r="BP43" i="18"/>
  <c r="BP39" i="18"/>
  <c r="BP747" i="18"/>
  <c r="BP743" i="18"/>
  <c r="BP739" i="18"/>
  <c r="BP735" i="18"/>
  <c r="BP731" i="18"/>
  <c r="BP727" i="18"/>
  <c r="BP723" i="18"/>
  <c r="BP719" i="18"/>
  <c r="BP715" i="18"/>
  <c r="BP711" i="18"/>
  <c r="BP707" i="18"/>
  <c r="BP703" i="18"/>
  <c r="BP699" i="18"/>
  <c r="BP695" i="18"/>
  <c r="BP691" i="18"/>
  <c r="BP687" i="18"/>
  <c r="BP683" i="18"/>
  <c r="BP679" i="18"/>
  <c r="BP675" i="18"/>
  <c r="BP671" i="18"/>
  <c r="BP667" i="18"/>
  <c r="BP663" i="18"/>
  <c r="BP659" i="18"/>
  <c r="BP655" i="18"/>
  <c r="BP651" i="18"/>
  <c r="BP647" i="18"/>
  <c r="BP643" i="18"/>
  <c r="BP639" i="18"/>
  <c r="BP635" i="18"/>
  <c r="BP631" i="18"/>
  <c r="BP627" i="18"/>
  <c r="BP623" i="18"/>
  <c r="BP619" i="18"/>
  <c r="BP615" i="18"/>
  <c r="BP611" i="18"/>
  <c r="BP607" i="18"/>
  <c r="BP603" i="18"/>
  <c r="BP599" i="18"/>
  <c r="BP595" i="18"/>
  <c r="BP591" i="18"/>
  <c r="BP587" i="18"/>
  <c r="BP583" i="18"/>
  <c r="BP579" i="18"/>
  <c r="BP575" i="18"/>
  <c r="BP571" i="18"/>
  <c r="BP567" i="18"/>
  <c r="BP563" i="18"/>
  <c r="BP559" i="18"/>
  <c r="BP555" i="18"/>
  <c r="BP551" i="18"/>
  <c r="BP547" i="18"/>
  <c r="BP543" i="18"/>
  <c r="BP539" i="18"/>
  <c r="BP535" i="18"/>
  <c r="BP531" i="18"/>
  <c r="BP527" i="18"/>
  <c r="BP523" i="18"/>
  <c r="BP519" i="18"/>
  <c r="BP515" i="18"/>
  <c r="BP511" i="18"/>
  <c r="BP507" i="18"/>
  <c r="BP503" i="18"/>
  <c r="BP499" i="18"/>
  <c r="BP495" i="18"/>
  <c r="BP491" i="18"/>
  <c r="BP487" i="18"/>
  <c r="BP483" i="18"/>
  <c r="BP479" i="18"/>
  <c r="BP475" i="18"/>
  <c r="BP471" i="18"/>
  <c r="BP467" i="18"/>
  <c r="BP463" i="18"/>
  <c r="BP459" i="18"/>
  <c r="BP455" i="18"/>
  <c r="BP451" i="18"/>
  <c r="BP447" i="18"/>
  <c r="BP443" i="18"/>
  <c r="BP439" i="18"/>
  <c r="BP435" i="18"/>
  <c r="BP431" i="18"/>
  <c r="BP427" i="18"/>
  <c r="BP423" i="18"/>
  <c r="BP419" i="18"/>
  <c r="BP415" i="18"/>
  <c r="BP411" i="18"/>
  <c r="BP407" i="18"/>
  <c r="BP403" i="18"/>
  <c r="BP399" i="18"/>
  <c r="BP642" i="18"/>
  <c r="BP395" i="18"/>
  <c r="BP391" i="18"/>
  <c r="BP387" i="18"/>
  <c r="BP383" i="18"/>
  <c r="BP379" i="18"/>
  <c r="BP375" i="18"/>
  <c r="BP371" i="18"/>
  <c r="BP367" i="18"/>
  <c r="BP363" i="18"/>
  <c r="BP359" i="18"/>
  <c r="BP355" i="18"/>
  <c r="BP351" i="18"/>
  <c r="BP347" i="18"/>
  <c r="BP343" i="18"/>
  <c r="BP339" i="18"/>
  <c r="BP335" i="18"/>
  <c r="BP331" i="18"/>
  <c r="BP327" i="18"/>
  <c r="BP323" i="18"/>
  <c r="BP319" i="18"/>
  <c r="BP315" i="18"/>
  <c r="BP311" i="18"/>
  <c r="BP307" i="18"/>
  <c r="BP303" i="18"/>
  <c r="BP299" i="18"/>
  <c r="BP295" i="18"/>
  <c r="BP291" i="18"/>
  <c r="BP287" i="18"/>
  <c r="BP283" i="18"/>
  <c r="BP279" i="18"/>
  <c r="BP275" i="18"/>
  <c r="BP271" i="18"/>
  <c r="BP267" i="18"/>
  <c r="BP263" i="18"/>
  <c r="BP259" i="18"/>
  <c r="BP255" i="18"/>
  <c r="BP251" i="18"/>
  <c r="BP247" i="18"/>
  <c r="BP243" i="18"/>
  <c r="BP239" i="18"/>
  <c r="BP235" i="18"/>
  <c r="BP231" i="18"/>
  <c r="BP227" i="18"/>
  <c r="BP223" i="18"/>
  <c r="BP219" i="18"/>
  <c r="BP215" i="18"/>
  <c r="BP211" i="18"/>
  <c r="BP207" i="18"/>
  <c r="BP203" i="18"/>
  <c r="BP199" i="18"/>
  <c r="BP195" i="18"/>
  <c r="BP191" i="18"/>
  <c r="BP187" i="18"/>
  <c r="BP183" i="18"/>
  <c r="BP179" i="18"/>
  <c r="BP175" i="18"/>
  <c r="BP171" i="18"/>
  <c r="BP167" i="18"/>
  <c r="BP163" i="18"/>
  <c r="BP159" i="18"/>
  <c r="BP155" i="18"/>
  <c r="BP151" i="18"/>
  <c r="BP147" i="18"/>
  <c r="BP143" i="18"/>
  <c r="BP139" i="18"/>
  <c r="BP135" i="18"/>
  <c r="BP131" i="18"/>
  <c r="BP127" i="18"/>
  <c r="BP123" i="18"/>
  <c r="BP119" i="18"/>
  <c r="BP115" i="18"/>
  <c r="BP111" i="18"/>
  <c r="BP107" i="18"/>
  <c r="BP103" i="18"/>
  <c r="BP99" i="18"/>
  <c r="BP95" i="18"/>
  <c r="BP91" i="18"/>
  <c r="BP87" i="18"/>
  <c r="BP83" i="18"/>
  <c r="BP79" i="18"/>
  <c r="BP75" i="18"/>
  <c r="BP71" i="18"/>
  <c r="BP67" i="18"/>
  <c r="BP63" i="18"/>
  <c r="BP59" i="18"/>
  <c r="BP15" i="18"/>
  <c r="BP11" i="18"/>
  <c r="BP36" i="18"/>
  <c r="BP32" i="18"/>
  <c r="BP28" i="18"/>
  <c r="BP24" i="18"/>
  <c r="BP20" i="18"/>
  <c r="BP56" i="18"/>
  <c r="BP52" i="18"/>
  <c r="BP48" i="18"/>
  <c r="BP44" i="18"/>
  <c r="BP40" i="18"/>
  <c r="BP38" i="18"/>
  <c r="BP34" i="18"/>
  <c r="BP30" i="18"/>
  <c r="BP26" i="18"/>
  <c r="BP22" i="18"/>
  <c r="BP18" i="18"/>
  <c r="BP37" i="18"/>
  <c r="BP21" i="18"/>
  <c r="BP33" i="18"/>
  <c r="BP29" i="18"/>
  <c r="BP25" i="18"/>
  <c r="BP17" i="18"/>
  <c r="BP1004" i="18"/>
  <c r="BP1000" i="18"/>
  <c r="BP996" i="18"/>
  <c r="BP992" i="18"/>
  <c r="BP988" i="18"/>
  <c r="BP984" i="18"/>
  <c r="BP980" i="18"/>
  <c r="BP976" i="18"/>
  <c r="BP972" i="18"/>
  <c r="BP968" i="18"/>
  <c r="BP964" i="18"/>
  <c r="BP960" i="18"/>
  <c r="BP956" i="18"/>
  <c r="BP952" i="18"/>
  <c r="BP948" i="18"/>
  <c r="BP944" i="18"/>
  <c r="BP940" i="18"/>
  <c r="BP936" i="18"/>
  <c r="BP932" i="18"/>
  <c r="BP928" i="18"/>
  <c r="BP924" i="18"/>
  <c r="BP920" i="18"/>
  <c r="BP916" i="18"/>
  <c r="BP912" i="18"/>
  <c r="BP908" i="18"/>
  <c r="BP904" i="18"/>
  <c r="BP900" i="18"/>
  <c r="BP896" i="18"/>
  <c r="BP892" i="18"/>
  <c r="BP888" i="18"/>
  <c r="BP884" i="18"/>
  <c r="BP880" i="18"/>
  <c r="BP876" i="18"/>
  <c r="BP872" i="18"/>
  <c r="BP868" i="18"/>
  <c r="BP864" i="18"/>
  <c r="BP860" i="18"/>
  <c r="BP856" i="18"/>
  <c r="BP852" i="18"/>
  <c r="BP848" i="18"/>
  <c r="BP844" i="18"/>
  <c r="BP840" i="18"/>
  <c r="BP836" i="18"/>
  <c r="BP832" i="18"/>
  <c r="BP828" i="18"/>
  <c r="BP824" i="18"/>
  <c r="BP820" i="18"/>
  <c r="BP816" i="18"/>
  <c r="BP812" i="18"/>
  <c r="BP808" i="18"/>
  <c r="BP804" i="18"/>
  <c r="BP800" i="18"/>
  <c r="BP796" i="18"/>
  <c r="BP792" i="18"/>
  <c r="BP788" i="18"/>
  <c r="BP784" i="18"/>
  <c r="BP780" i="18"/>
  <c r="BP776" i="18"/>
  <c r="BP772" i="18"/>
  <c r="BP768" i="18"/>
  <c r="BP764" i="18"/>
  <c r="BP760" i="18"/>
  <c r="BP756" i="18"/>
  <c r="BP752" i="18"/>
  <c r="BP748" i="18"/>
  <c r="BP744" i="18"/>
  <c r="BP740" i="18"/>
  <c r="BP736" i="18"/>
  <c r="BP732" i="18"/>
  <c r="BP728" i="18"/>
  <c r="BP724" i="18"/>
  <c r="BP720" i="18"/>
  <c r="BP716" i="18"/>
  <c r="BP712" i="18"/>
  <c r="BP708" i="18"/>
  <c r="BP704" i="18"/>
  <c r="BP700" i="18"/>
  <c r="BP696" i="18"/>
  <c r="BP692" i="18"/>
  <c r="BP688" i="18"/>
  <c r="BP684" i="18"/>
  <c r="BP680" i="18"/>
  <c r="BP676" i="18"/>
  <c r="BP672" i="18"/>
  <c r="BP668" i="18"/>
  <c r="BP664" i="18"/>
  <c r="BP660" i="18"/>
  <c r="BP656" i="18"/>
  <c r="BP652" i="18"/>
  <c r="BP648" i="18"/>
  <c r="BP644" i="18"/>
  <c r="BP640" i="18"/>
  <c r="BP636" i="18"/>
  <c r="BP632" i="18"/>
  <c r="BP628" i="18"/>
  <c r="BP624" i="18"/>
  <c r="BP620" i="18"/>
  <c r="BP616" i="18"/>
  <c r="BP612" i="18"/>
  <c r="BP608" i="18"/>
  <c r="BP604" i="18"/>
  <c r="BP600" i="18"/>
  <c r="BP596" i="18"/>
  <c r="BP592" i="18"/>
  <c r="BP588" i="18"/>
  <c r="BP584" i="18"/>
  <c r="BP580" i="18"/>
  <c r="BP576" i="18"/>
  <c r="BP572" i="18"/>
  <c r="BP568" i="18"/>
  <c r="BP564" i="18"/>
  <c r="BP560" i="18"/>
  <c r="BP556" i="18"/>
  <c r="BP552" i="18"/>
  <c r="BP548" i="18"/>
  <c r="BP544" i="18"/>
  <c r="BP540" i="18"/>
  <c r="BP536" i="18"/>
  <c r="BP532" i="18"/>
  <c r="BP528" i="18"/>
  <c r="BP524" i="18"/>
  <c r="BP520" i="18"/>
  <c r="BP516" i="18"/>
  <c r="BP512" i="18"/>
  <c r="BP508" i="18"/>
  <c r="BP504" i="18"/>
  <c r="BP500" i="18"/>
  <c r="BP496" i="18"/>
  <c r="BP492" i="18"/>
  <c r="BP488" i="18"/>
  <c r="BP484" i="18"/>
  <c r="BP480" i="18"/>
  <c r="BP476" i="18"/>
  <c r="BP472" i="18"/>
  <c r="BP468" i="18"/>
  <c r="BP464" i="18"/>
  <c r="BP460" i="18"/>
  <c r="BP456" i="18"/>
  <c r="BP452" i="18"/>
  <c r="BP448" i="18"/>
  <c r="BP444" i="18"/>
  <c r="BP440" i="18"/>
  <c r="BP436" i="18"/>
  <c r="BP432" i="18"/>
  <c r="BP428" i="18"/>
  <c r="BP424" i="18"/>
  <c r="BP420" i="18"/>
  <c r="BP416" i="18"/>
  <c r="BP412" i="18"/>
  <c r="BP408" i="18"/>
  <c r="BP404" i="18"/>
  <c r="BP400" i="18"/>
  <c r="BP396" i="18"/>
  <c r="BP392" i="18"/>
  <c r="BP388" i="18"/>
  <c r="BP384" i="18"/>
  <c r="BP380" i="18"/>
  <c r="BP376" i="18"/>
  <c r="BP372" i="18"/>
  <c r="BP368" i="18"/>
  <c r="BP364" i="18"/>
  <c r="BP360" i="18"/>
  <c r="BP356" i="18"/>
  <c r="BP352" i="18"/>
  <c r="BP348" i="18"/>
  <c r="BP344" i="18"/>
  <c r="BP340" i="18"/>
  <c r="BP336" i="18"/>
  <c r="BP332" i="18"/>
  <c r="BP328" i="18"/>
  <c r="BP324" i="18"/>
  <c r="BP320" i="18"/>
  <c r="BP316" i="18"/>
  <c r="BP312" i="18"/>
  <c r="BP308" i="18"/>
  <c r="BP304" i="18"/>
  <c r="BP300" i="18"/>
  <c r="BP296" i="18"/>
  <c r="BP292" i="18"/>
  <c r="BP288" i="18"/>
  <c r="BP284" i="18"/>
  <c r="BP280" i="18"/>
  <c r="BP276" i="18"/>
  <c r="BP272" i="18"/>
  <c r="BP268" i="18"/>
  <c r="BP264" i="18"/>
  <c r="BP260" i="18"/>
  <c r="BP256" i="18"/>
  <c r="BP252" i="18"/>
  <c r="BP248" i="18"/>
  <c r="BP244" i="18"/>
  <c r="BP240" i="18"/>
  <c r="BP236" i="18"/>
  <c r="BP232" i="18"/>
  <c r="BP228" i="18"/>
  <c r="BP224" i="18"/>
  <c r="BP220" i="18"/>
  <c r="BP216" i="18"/>
  <c r="BP212" i="18"/>
  <c r="BP208" i="18"/>
  <c r="BP204" i="18"/>
  <c r="BP200" i="18"/>
  <c r="BP196" i="18"/>
  <c r="BP192" i="18"/>
  <c r="BP188" i="18"/>
  <c r="BP184" i="18"/>
  <c r="BP180" i="18"/>
  <c r="BP176" i="18"/>
  <c r="BP172" i="18"/>
  <c r="BP168" i="18"/>
  <c r="BP164" i="18"/>
  <c r="BP160" i="18"/>
  <c r="BP156" i="18"/>
  <c r="BP152" i="18"/>
  <c r="BP148" i="18"/>
  <c r="BP144" i="18"/>
  <c r="BP140" i="18"/>
  <c r="BP136" i="18"/>
  <c r="BP132" i="18"/>
  <c r="BP128" i="18"/>
  <c r="BP124" i="18"/>
  <c r="BP120" i="18"/>
  <c r="BP116" i="18"/>
  <c r="BP112" i="18"/>
  <c r="BP108" i="18"/>
  <c r="BP104" i="18"/>
  <c r="BP100" i="18"/>
  <c r="BP96" i="18"/>
  <c r="BP92" i="18"/>
  <c r="BP88" i="18"/>
  <c r="BP84" i="18"/>
  <c r="BP80" i="18"/>
  <c r="BP76" i="18"/>
  <c r="BP72" i="18"/>
  <c r="BP68" i="18"/>
  <c r="BP64" i="18"/>
  <c r="BP60" i="18"/>
  <c r="BP7" i="18"/>
  <c r="BP13" i="18"/>
  <c r="BP54" i="18"/>
  <c r="BP50" i="18"/>
  <c r="BP46" i="18"/>
  <c r="BP42" i="18"/>
  <c r="BP16" i="18"/>
  <c r="BP12" i="18"/>
  <c r="BP8" i="18"/>
  <c r="BP53" i="18"/>
  <c r="BP49" i="18"/>
  <c r="BP45" i="18"/>
  <c r="BP41" i="18"/>
  <c r="BP9" i="18"/>
  <c r="BP10" i="18"/>
  <c r="BS4" i="18"/>
  <c r="CC4" i="18" s="1"/>
  <c r="BI7" i="18"/>
  <c r="E9" i="17"/>
  <c r="E3" i="17"/>
  <c r="E12" i="17" l="1"/>
  <c r="BG6" i="18"/>
  <c r="H27" i="2"/>
  <c r="L5" i="10"/>
  <c r="E11" i="17"/>
  <c r="Q9" i="10"/>
  <c r="M7" i="10"/>
  <c r="BP5" i="18"/>
  <c r="BP3" i="18" s="1"/>
  <c r="BV3" i="18" s="1"/>
  <c r="J61" i="2"/>
  <c r="K27" i="2" l="1"/>
  <c r="L27" i="2"/>
  <c r="F27" i="2"/>
  <c r="G14" i="2" s="1"/>
  <c r="G12" i="17"/>
  <c r="K5" i="10"/>
  <c r="Q5" i="10" s="1"/>
  <c r="H22" i="2"/>
  <c r="H23" i="2"/>
  <c r="Q7" i="10"/>
  <c r="Q19" i="10"/>
  <c r="BJ1006" i="18"/>
  <c r="BJ8" i="18"/>
  <c r="BJ10" i="18"/>
  <c r="BJ12" i="18"/>
  <c r="BJ14" i="18"/>
  <c r="BJ16" i="18"/>
  <c r="BJ18" i="18"/>
  <c r="BJ20" i="18"/>
  <c r="BJ22" i="18"/>
  <c r="BJ24" i="18"/>
  <c r="BJ28" i="18"/>
  <c r="BJ30" i="18"/>
  <c r="BJ32" i="18"/>
  <c r="BJ34" i="18"/>
  <c r="BJ36" i="18"/>
  <c r="BJ38" i="18"/>
  <c r="BJ40" i="18"/>
  <c r="BJ44" i="18"/>
  <c r="BJ46" i="18"/>
  <c r="BJ48" i="18"/>
  <c r="BJ50" i="18"/>
  <c r="BJ51" i="18"/>
  <c r="BJ52" i="18"/>
  <c r="BJ54" i="18"/>
  <c r="BJ56" i="18"/>
  <c r="BJ58" i="18"/>
  <c r="BJ60" i="18"/>
  <c r="BJ62" i="18"/>
  <c r="BJ63" i="18"/>
  <c r="BJ64" i="18"/>
  <c r="BJ66" i="18"/>
  <c r="BJ67" i="18"/>
  <c r="BJ68" i="18"/>
  <c r="BJ70" i="18"/>
  <c r="BJ72" i="18"/>
  <c r="BJ74" i="18"/>
  <c r="BJ76" i="18"/>
  <c r="BJ78" i="18"/>
  <c r="BJ80" i="18"/>
  <c r="BJ82" i="18"/>
  <c r="BJ83" i="18"/>
  <c r="BJ84" i="18"/>
  <c r="BJ86" i="18"/>
  <c r="BJ88" i="18"/>
  <c r="BJ90" i="18"/>
  <c r="BJ92" i="18"/>
  <c r="BJ94" i="18"/>
  <c r="BJ96" i="18"/>
  <c r="BJ98" i="18"/>
  <c r="BJ99" i="18"/>
  <c r="BJ102" i="18"/>
  <c r="BJ103" i="18"/>
  <c r="BJ104" i="18"/>
  <c r="BJ106" i="18"/>
  <c r="BJ107" i="18"/>
  <c r="BJ110" i="18"/>
  <c r="BJ111" i="18"/>
  <c r="BJ114" i="18"/>
  <c r="BJ115" i="18"/>
  <c r="BJ118" i="18"/>
  <c r="BJ119" i="18"/>
  <c r="BJ122" i="18"/>
  <c r="BJ123" i="18"/>
  <c r="BJ124" i="18"/>
  <c r="BJ126" i="18"/>
  <c r="BJ127" i="18"/>
  <c r="BJ130" i="18"/>
  <c r="BJ131" i="18"/>
  <c r="BJ135" i="18"/>
  <c r="BJ138" i="18"/>
  <c r="BJ139" i="18"/>
  <c r="BJ142" i="18"/>
  <c r="BJ143" i="18"/>
  <c r="BJ146" i="18"/>
  <c r="BJ147" i="18"/>
  <c r="BJ150" i="18"/>
  <c r="BJ151" i="18"/>
  <c r="BJ154" i="18"/>
  <c r="BJ158" i="18"/>
  <c r="BJ159" i="18"/>
  <c r="BJ162" i="18"/>
  <c r="BJ163" i="18"/>
  <c r="BJ166" i="18"/>
  <c r="BJ167" i="18"/>
  <c r="BJ170" i="18"/>
  <c r="BJ171" i="18"/>
  <c r="BJ174" i="18"/>
  <c r="BJ175" i="18"/>
  <c r="BJ178" i="18"/>
  <c r="BJ179" i="18"/>
  <c r="BJ182" i="18"/>
  <c r="BJ183" i="18"/>
  <c r="BJ186" i="18"/>
  <c r="BJ187" i="18"/>
  <c r="BJ188" i="18"/>
  <c r="BJ190" i="18"/>
  <c r="BJ191" i="18"/>
  <c r="BJ192" i="18"/>
  <c r="BJ194" i="18"/>
  <c r="BJ195" i="18"/>
  <c r="BJ196" i="18"/>
  <c r="BJ198" i="18"/>
  <c r="BJ199" i="18"/>
  <c r="BJ202" i="18"/>
  <c r="BJ203" i="18"/>
  <c r="BJ204" i="18"/>
  <c r="BJ206" i="18"/>
  <c r="BJ207" i="18"/>
  <c r="BJ208" i="18"/>
  <c r="BJ210" i="18"/>
  <c r="BJ211" i="18"/>
  <c r="BJ212" i="18"/>
  <c r="BJ214" i="18"/>
  <c r="BJ215" i="18"/>
  <c r="BJ216" i="18"/>
  <c r="BJ218" i="18"/>
  <c r="BJ219" i="18"/>
  <c r="BJ220" i="18"/>
  <c r="BJ222" i="18"/>
  <c r="BJ223" i="18"/>
  <c r="BJ224" i="18"/>
  <c r="BJ226" i="18"/>
  <c r="BJ227" i="18"/>
  <c r="BJ228" i="18"/>
  <c r="BJ231" i="18"/>
  <c r="BJ232" i="18"/>
  <c r="BJ234" i="18"/>
  <c r="BJ235" i="18"/>
  <c r="BJ236" i="18"/>
  <c r="BJ239" i="18"/>
  <c r="BJ240" i="18"/>
  <c r="BJ242" i="18"/>
  <c r="BJ243" i="18"/>
  <c r="BJ244" i="18"/>
  <c r="BJ246" i="18"/>
  <c r="BJ247" i="18"/>
  <c r="BJ248" i="18"/>
  <c r="BJ250" i="18"/>
  <c r="BJ251" i="18"/>
  <c r="BJ252" i="18"/>
  <c r="BJ254" i="18"/>
  <c r="BJ255" i="18"/>
  <c r="BJ256" i="18"/>
  <c r="BJ259" i="18"/>
  <c r="BJ260" i="18"/>
  <c r="BJ262" i="18"/>
  <c r="BJ263" i="18"/>
  <c r="BJ264" i="18"/>
  <c r="BJ266" i="18"/>
  <c r="BJ267" i="18"/>
  <c r="BJ270" i="18"/>
  <c r="BJ271" i="18"/>
  <c r="BJ275" i="18"/>
  <c r="BJ276" i="18"/>
  <c r="BJ278" i="18"/>
  <c r="BJ279" i="18"/>
  <c r="BJ280" i="18"/>
  <c r="BJ282" i="18"/>
  <c r="BJ283" i="18"/>
  <c r="BJ284" i="18"/>
  <c r="BJ286" i="18"/>
  <c r="BJ287" i="18"/>
  <c r="BJ288" i="18"/>
  <c r="BJ290" i="18"/>
  <c r="BJ291" i="18"/>
  <c r="BJ292" i="18"/>
  <c r="BJ294" i="18"/>
  <c r="BJ295" i="18"/>
  <c r="BJ296" i="18"/>
  <c r="BJ298" i="18"/>
  <c r="BJ299" i="18"/>
  <c r="BJ300" i="18"/>
  <c r="BJ302" i="18"/>
  <c r="BJ303" i="18"/>
  <c r="BJ304" i="18"/>
  <c r="BJ306" i="18"/>
  <c r="BJ307" i="18"/>
  <c r="BJ308" i="18"/>
  <c r="BJ310" i="18"/>
  <c r="BJ311" i="18"/>
  <c r="BJ312" i="18"/>
  <c r="BJ315" i="18"/>
  <c r="BJ316" i="18"/>
  <c r="BJ318" i="18"/>
  <c r="BJ319" i="18"/>
  <c r="BJ320" i="18"/>
  <c r="BJ322" i="18"/>
  <c r="BJ323" i="18"/>
  <c r="BJ324" i="18"/>
  <c r="BJ326" i="18"/>
  <c r="BJ327" i="18"/>
  <c r="BJ328" i="18"/>
  <c r="BJ330" i="18"/>
  <c r="BJ331" i="18"/>
  <c r="BJ332" i="18"/>
  <c r="BJ334" i="18"/>
  <c r="BJ335" i="18"/>
  <c r="BJ336" i="18"/>
  <c r="BJ338" i="18"/>
  <c r="BJ339" i="18"/>
  <c r="BJ340" i="18"/>
  <c r="BJ342" i="18"/>
  <c r="BJ343" i="18"/>
  <c r="BJ344" i="18"/>
  <c r="BJ346" i="18"/>
  <c r="BJ347" i="18"/>
  <c r="BJ348" i="18"/>
  <c r="BJ350" i="18"/>
  <c r="BJ351" i="18"/>
  <c r="BJ352" i="18"/>
  <c r="BJ354" i="18"/>
  <c r="BJ355" i="18"/>
  <c r="BJ356" i="18"/>
  <c r="BJ358" i="18"/>
  <c r="BJ359" i="18"/>
  <c r="BJ360" i="18"/>
  <c r="BJ362" i="18"/>
  <c r="BJ363" i="18"/>
  <c r="BJ364" i="18"/>
  <c r="BJ366" i="18"/>
  <c r="BJ367" i="18"/>
  <c r="BJ368" i="18"/>
  <c r="BJ371" i="18"/>
  <c r="BJ372" i="18"/>
  <c r="BJ374" i="18"/>
  <c r="BJ375" i="18"/>
  <c r="BJ378" i="18"/>
  <c r="BJ379" i="18"/>
  <c r="BJ380" i="18"/>
  <c r="BJ383" i="18"/>
  <c r="BJ384" i="18"/>
  <c r="BJ386" i="18"/>
  <c r="BJ387" i="18"/>
  <c r="BJ388" i="18"/>
  <c r="BJ390" i="18"/>
  <c r="BJ391" i="18"/>
  <c r="BJ392" i="18"/>
  <c r="BJ394" i="18"/>
  <c r="BJ395" i="18"/>
  <c r="BJ396" i="18"/>
  <c r="BJ398" i="18"/>
  <c r="BJ399" i="18"/>
  <c r="BJ402" i="18"/>
  <c r="BJ403" i="18"/>
  <c r="BJ404" i="18"/>
  <c r="BJ407" i="18"/>
  <c r="BJ408" i="18"/>
  <c r="BJ410" i="18"/>
  <c r="BJ411" i="18"/>
  <c r="BJ412" i="18"/>
  <c r="BJ414" i="18"/>
  <c r="BJ415" i="18"/>
  <c r="BJ416" i="18"/>
  <c r="BJ418" i="18"/>
  <c r="BJ419" i="18"/>
  <c r="BJ420" i="18"/>
  <c r="BJ422" i="18"/>
  <c r="BJ423" i="18"/>
  <c r="BJ424" i="18"/>
  <c r="BJ426" i="18"/>
  <c r="BJ427" i="18"/>
  <c r="BJ428" i="18"/>
  <c r="BJ430" i="18"/>
  <c r="BJ431" i="18"/>
  <c r="BJ432" i="18"/>
  <c r="BJ434" i="18"/>
  <c r="BJ435" i="18"/>
  <c r="BJ438" i="18"/>
  <c r="BJ439" i="18"/>
  <c r="BJ440" i="18"/>
  <c r="BJ442" i="18"/>
  <c r="BJ443" i="18"/>
  <c r="BJ444" i="18"/>
  <c r="BJ446" i="18"/>
  <c r="BJ447" i="18"/>
  <c r="BJ448" i="18"/>
  <c r="BJ450" i="18"/>
  <c r="BJ451" i="18"/>
  <c r="BJ452" i="18"/>
  <c r="BJ454" i="18"/>
  <c r="BJ455" i="18"/>
  <c r="BJ456" i="18"/>
  <c r="BJ458" i="18"/>
  <c r="BJ459" i="18"/>
  <c r="BJ460" i="18"/>
  <c r="BJ462" i="18"/>
  <c r="BJ463" i="18"/>
  <c r="BJ464" i="18"/>
  <c r="BJ466" i="18"/>
  <c r="BJ467" i="18"/>
  <c r="BJ468" i="18"/>
  <c r="BJ471" i="18"/>
  <c r="BJ472" i="18"/>
  <c r="BJ474" i="18"/>
  <c r="BJ475" i="18"/>
  <c r="BJ476" i="18"/>
  <c r="BJ478" i="18"/>
  <c r="BJ480" i="18"/>
  <c r="BJ482" i="18"/>
  <c r="BJ483" i="18"/>
  <c r="BJ484" i="18"/>
  <c r="BJ486" i="18"/>
  <c r="BJ487" i="18"/>
  <c r="BJ488" i="18"/>
  <c r="BJ490" i="18"/>
  <c r="BJ491" i="18"/>
  <c r="BJ492" i="18"/>
  <c r="BJ494" i="18"/>
  <c r="BJ495" i="18"/>
  <c r="BJ496" i="18"/>
  <c r="BJ498" i="18"/>
  <c r="BJ499" i="18"/>
  <c r="BJ500" i="18"/>
  <c r="BJ503" i="18"/>
  <c r="BJ504" i="18"/>
  <c r="BJ506" i="18"/>
  <c r="BJ507" i="18"/>
  <c r="BJ508" i="18"/>
  <c r="BJ510" i="18"/>
  <c r="BJ511" i="18"/>
  <c r="BJ512" i="18"/>
  <c r="BJ514" i="18"/>
  <c r="BJ515" i="18"/>
  <c r="BJ516" i="18"/>
  <c r="BJ518" i="18"/>
  <c r="BJ519" i="18"/>
  <c r="BJ520" i="18"/>
  <c r="BJ523" i="18"/>
  <c r="BJ524" i="18"/>
  <c r="BJ526" i="18"/>
  <c r="BJ527" i="18"/>
  <c r="BJ528" i="18"/>
  <c r="BJ530" i="18"/>
  <c r="BJ531" i="18"/>
  <c r="BJ532" i="18"/>
  <c r="BJ534" i="18"/>
  <c r="BJ535" i="18"/>
  <c r="BJ536" i="18"/>
  <c r="BJ538" i="18"/>
  <c r="BJ539" i="18"/>
  <c r="BJ540" i="18"/>
  <c r="BJ542" i="18"/>
  <c r="BJ543" i="18"/>
  <c r="BJ544" i="18"/>
  <c r="BJ546" i="18"/>
  <c r="BJ547" i="18"/>
  <c r="BJ548" i="18"/>
  <c r="BJ550" i="18"/>
  <c r="BJ551" i="18"/>
  <c r="BJ552" i="18"/>
  <c r="BJ554" i="18"/>
  <c r="BJ555" i="18"/>
  <c r="BJ556" i="18"/>
  <c r="BJ558" i="18"/>
  <c r="BJ559" i="18"/>
  <c r="BJ560" i="18"/>
  <c r="BJ562" i="18"/>
  <c r="BJ563" i="18"/>
  <c r="BJ564" i="18"/>
  <c r="BJ566" i="18"/>
  <c r="BJ567" i="18"/>
  <c r="BJ568" i="18"/>
  <c r="BJ570" i="18"/>
  <c r="BJ571" i="18"/>
  <c r="BJ572" i="18"/>
  <c r="BJ575" i="18"/>
  <c r="BJ576" i="18"/>
  <c r="BJ578" i="18"/>
  <c r="BJ580" i="18"/>
  <c r="BJ582" i="18"/>
  <c r="BJ583" i="18"/>
  <c r="BJ584" i="18"/>
  <c r="BJ586" i="18"/>
  <c r="BJ587" i="18"/>
  <c r="BJ588" i="18"/>
  <c r="BJ590" i="18"/>
  <c r="BJ591" i="18"/>
  <c r="BJ592" i="18"/>
  <c r="BJ594" i="18"/>
  <c r="BJ595" i="18"/>
  <c r="BJ596" i="18"/>
  <c r="BJ598" i="18"/>
  <c r="BJ599" i="18"/>
  <c r="BJ602" i="18"/>
  <c r="BJ603" i="18"/>
  <c r="BJ604" i="18"/>
  <c r="BJ606" i="18"/>
  <c r="BJ607" i="18"/>
  <c r="BJ608" i="18"/>
  <c r="BJ610" i="18"/>
  <c r="BJ611" i="18"/>
  <c r="BJ612" i="18"/>
  <c r="BJ614" i="18"/>
  <c r="BJ615" i="18"/>
  <c r="BJ616" i="18"/>
  <c r="BJ618" i="18"/>
  <c r="BJ619" i="18"/>
  <c r="BJ620" i="18"/>
  <c r="BJ622" i="18"/>
  <c r="BJ623" i="18"/>
  <c r="BJ624" i="18"/>
  <c r="BJ626" i="18"/>
  <c r="BJ627" i="18"/>
  <c r="BJ628" i="18"/>
  <c r="BJ630" i="18"/>
  <c r="BJ631" i="18"/>
  <c r="BJ632" i="18"/>
  <c r="BJ634" i="18"/>
  <c r="BJ635" i="18"/>
  <c r="BJ636" i="18"/>
  <c r="BJ639" i="18"/>
  <c r="BJ640" i="18"/>
  <c r="BJ642" i="18"/>
  <c r="BJ643" i="18"/>
  <c r="BJ644" i="18"/>
  <c r="BJ646" i="18"/>
  <c r="BJ647" i="18"/>
  <c r="BJ648" i="18"/>
  <c r="BJ650" i="18"/>
  <c r="BJ651" i="18"/>
  <c r="BJ652" i="18"/>
  <c r="BJ654" i="18"/>
  <c r="BJ655" i="18"/>
  <c r="BJ656" i="18"/>
  <c r="BJ658" i="18"/>
  <c r="BJ659" i="18"/>
  <c r="BJ660" i="18"/>
  <c r="BJ662" i="18"/>
  <c r="BJ663" i="18"/>
  <c r="BJ664" i="18"/>
  <c r="BJ666" i="18"/>
  <c r="BJ667" i="18"/>
  <c r="BJ668" i="18"/>
  <c r="BJ670" i="18"/>
  <c r="BJ671" i="18"/>
  <c r="BJ672" i="18"/>
  <c r="BJ674" i="18"/>
  <c r="BJ675" i="18"/>
  <c r="BJ678" i="18"/>
  <c r="BJ679" i="18"/>
  <c r="BJ680" i="18"/>
  <c r="BJ682" i="18"/>
  <c r="BJ683" i="18"/>
  <c r="BJ684" i="18"/>
  <c r="BJ686" i="18"/>
  <c r="BJ687" i="18"/>
  <c r="BJ688" i="18"/>
  <c r="BJ690" i="18"/>
  <c r="BJ691" i="18"/>
  <c r="BJ692" i="18"/>
  <c r="BJ695" i="18"/>
  <c r="BJ696" i="18"/>
  <c r="BJ698" i="18"/>
  <c r="BJ699" i="18"/>
  <c r="BJ700" i="18"/>
  <c r="BJ702" i="18"/>
  <c r="BJ703" i="18"/>
  <c r="BJ704" i="18"/>
  <c r="BJ706" i="18"/>
  <c r="BJ707" i="18"/>
  <c r="BJ708" i="18"/>
  <c r="BJ710" i="18"/>
  <c r="BJ711" i="18"/>
  <c r="BJ712" i="18"/>
  <c r="BJ714" i="18"/>
  <c r="BJ715" i="18"/>
  <c r="BJ716" i="18"/>
  <c r="BJ718" i="18"/>
  <c r="BJ719" i="18"/>
  <c r="BJ720" i="18"/>
  <c r="BJ722" i="18"/>
  <c r="BJ723" i="18"/>
  <c r="BJ724" i="18"/>
  <c r="BJ726" i="18"/>
  <c r="BJ727" i="18"/>
  <c r="BJ728" i="18"/>
  <c r="BJ730" i="18"/>
  <c r="BJ731" i="18"/>
  <c r="BJ732" i="18"/>
  <c r="BJ734" i="18"/>
  <c r="BJ735" i="18"/>
  <c r="BJ736" i="18"/>
  <c r="BJ739" i="18"/>
  <c r="BJ740" i="18"/>
  <c r="BJ742" i="18"/>
  <c r="BJ744" i="18"/>
  <c r="BJ746" i="18"/>
  <c r="BJ747" i="18"/>
  <c r="BJ748" i="18"/>
  <c r="BJ750" i="18"/>
  <c r="BJ751" i="18"/>
  <c r="BJ752" i="18"/>
  <c r="BJ754" i="18"/>
  <c r="BJ755" i="18"/>
  <c r="BJ756" i="18"/>
  <c r="BJ758" i="18"/>
  <c r="BJ759" i="18"/>
  <c r="BJ760" i="18"/>
  <c r="BJ762" i="18"/>
  <c r="BJ763" i="18"/>
  <c r="BJ764" i="18"/>
  <c r="BJ766" i="18"/>
  <c r="BJ767" i="18"/>
  <c r="BJ768" i="18"/>
  <c r="BJ770" i="18"/>
  <c r="BJ771" i="18"/>
  <c r="BJ772" i="18"/>
  <c r="BJ774" i="18"/>
  <c r="BJ775" i="18"/>
  <c r="BJ776" i="18"/>
  <c r="BJ778" i="18"/>
  <c r="BJ779" i="18"/>
  <c r="BJ780" i="18"/>
  <c r="BJ783" i="18"/>
  <c r="BJ784" i="18"/>
  <c r="BJ786" i="18"/>
  <c r="BJ787" i="18"/>
  <c r="BJ788" i="18"/>
  <c r="BJ790" i="18"/>
  <c r="BJ791" i="18"/>
  <c r="BJ792" i="18"/>
  <c r="BJ794" i="18"/>
  <c r="BJ795" i="18"/>
  <c r="BJ796" i="18"/>
  <c r="BJ798" i="18"/>
  <c r="BJ799" i="18"/>
  <c r="BJ800" i="18"/>
  <c r="BJ802" i="18"/>
  <c r="BJ803" i="18"/>
  <c r="BJ804" i="18"/>
  <c r="BJ807" i="18"/>
  <c r="BJ808" i="18"/>
  <c r="BJ810" i="18"/>
  <c r="BJ811" i="18"/>
  <c r="BJ812" i="18"/>
  <c r="BJ814" i="18"/>
  <c r="BJ815" i="18"/>
  <c r="BJ816" i="18"/>
  <c r="BJ818" i="18"/>
  <c r="BJ819" i="18"/>
  <c r="BJ820" i="18"/>
  <c r="BJ822" i="18"/>
  <c r="BJ823" i="18"/>
  <c r="BJ824" i="18"/>
  <c r="BJ826" i="18"/>
  <c r="BJ828" i="18"/>
  <c r="BJ830" i="18"/>
  <c r="BJ831" i="18"/>
  <c r="BJ832" i="18"/>
  <c r="BJ834" i="18"/>
  <c r="BJ835" i="18"/>
  <c r="BJ836" i="18"/>
  <c r="BJ838" i="18"/>
  <c r="BJ839" i="18"/>
  <c r="BJ840" i="18"/>
  <c r="BJ842" i="18"/>
  <c r="BJ843" i="18"/>
  <c r="BJ844" i="18"/>
  <c r="BJ846" i="18"/>
  <c r="BJ848" i="18"/>
  <c r="BJ850" i="18"/>
  <c r="BJ851" i="18"/>
  <c r="BJ852" i="18"/>
  <c r="BJ854" i="18"/>
  <c r="BJ855" i="18"/>
  <c r="BJ856" i="18"/>
  <c r="BJ858" i="18"/>
  <c r="BJ859" i="18"/>
  <c r="BJ860" i="18"/>
  <c r="BJ863" i="18"/>
  <c r="BJ864" i="18"/>
  <c r="BJ866" i="18"/>
  <c r="BJ867" i="18"/>
  <c r="BJ868" i="18"/>
  <c r="BJ870" i="18"/>
  <c r="BJ871" i="18"/>
  <c r="BJ872" i="18"/>
  <c r="BJ874" i="18"/>
  <c r="BJ875" i="18"/>
  <c r="BJ876" i="18"/>
  <c r="BJ878" i="18"/>
  <c r="BJ879" i="18"/>
  <c r="BJ880" i="18"/>
  <c r="BJ882" i="18"/>
  <c r="BJ883" i="18"/>
  <c r="BJ884" i="18"/>
  <c r="BJ886" i="18"/>
  <c r="BJ887" i="18"/>
  <c r="BJ888" i="18"/>
  <c r="BJ890" i="18"/>
  <c r="BJ892" i="18"/>
  <c r="BJ894" i="18"/>
  <c r="BJ895" i="18"/>
  <c r="BJ896" i="18"/>
  <c r="BJ898" i="18"/>
  <c r="BJ899" i="18"/>
  <c r="BJ900" i="18"/>
  <c r="BJ902" i="18"/>
  <c r="BJ903" i="18"/>
  <c r="BJ904" i="18"/>
  <c r="BJ906" i="18"/>
  <c r="BJ907" i="18"/>
  <c r="BJ908" i="18"/>
  <c r="BJ910" i="18"/>
  <c r="BJ911" i="18"/>
  <c r="BJ912" i="18"/>
  <c r="BJ914" i="18"/>
  <c r="BJ915" i="18"/>
  <c r="BJ916" i="18"/>
  <c r="BJ918" i="18"/>
  <c r="BJ919" i="18"/>
  <c r="BJ920" i="18"/>
  <c r="BJ922" i="18"/>
  <c r="BJ923" i="18"/>
  <c r="BJ924" i="18"/>
  <c r="BJ926" i="18"/>
  <c r="BJ927" i="18"/>
  <c r="BJ928" i="18"/>
  <c r="BJ930" i="18"/>
  <c r="BJ931" i="18"/>
  <c r="BJ932" i="18"/>
  <c r="BJ934" i="18"/>
  <c r="BJ935" i="18"/>
  <c r="BJ936" i="18"/>
  <c r="BJ938" i="18"/>
  <c r="BJ939" i="18"/>
  <c r="BJ940" i="18"/>
  <c r="BJ942" i="18"/>
  <c r="BJ943" i="18"/>
  <c r="BJ944" i="18"/>
  <c r="BJ946" i="18"/>
  <c r="BJ947" i="18"/>
  <c r="BJ948" i="18"/>
  <c r="BJ951" i="18"/>
  <c r="BJ952" i="18"/>
  <c r="BJ954" i="18"/>
  <c r="BJ955" i="18"/>
  <c r="BJ956" i="18"/>
  <c r="BJ958" i="18"/>
  <c r="BJ959" i="18"/>
  <c r="BJ960" i="18"/>
  <c r="BJ962" i="18"/>
  <c r="BJ963" i="18"/>
  <c r="BJ964" i="18"/>
  <c r="BJ967" i="18"/>
  <c r="BJ968" i="18"/>
  <c r="BJ970" i="18"/>
  <c r="BJ971" i="18"/>
  <c r="BJ972" i="18"/>
  <c r="BJ974" i="18"/>
  <c r="BJ975" i="18"/>
  <c r="BJ976" i="18"/>
  <c r="BJ978" i="18"/>
  <c r="BJ979" i="18"/>
  <c r="BJ980" i="18"/>
  <c r="BJ983" i="18"/>
  <c r="BJ984" i="18"/>
  <c r="BJ986" i="18"/>
  <c r="BJ987" i="18"/>
  <c r="BJ988" i="18"/>
  <c r="BJ990" i="18"/>
  <c r="BJ991" i="18"/>
  <c r="BJ992" i="18"/>
  <c r="BJ995" i="18"/>
  <c r="BJ996" i="18"/>
  <c r="BI998" i="18"/>
  <c r="BJ999" i="18"/>
  <c r="BJ1000" i="18"/>
  <c r="BJ1002" i="18"/>
  <c r="BJ1003" i="18"/>
  <c r="BJ1004" i="18"/>
  <c r="AI4" i="14"/>
  <c r="AP4" i="18"/>
  <c r="AU4" i="18" s="1"/>
  <c r="AO4" i="18"/>
  <c r="AT4" i="18" s="1"/>
  <c r="AN4" i="18"/>
  <c r="AS4" i="18" s="1"/>
  <c r="AM4" i="18"/>
  <c r="AR4" i="18" s="1"/>
  <c r="AL4" i="18"/>
  <c r="AQ4" i="18" s="1"/>
  <c r="V5" i="18"/>
  <c r="T5" i="18"/>
  <c r="W4" i="18"/>
  <c r="V4" i="18"/>
  <c r="U4" i="18"/>
  <c r="T4" i="18"/>
  <c r="N4" i="18"/>
  <c r="M4" i="18"/>
  <c r="L4" i="18"/>
  <c r="K4" i="18"/>
  <c r="J4" i="18"/>
  <c r="I4" i="18"/>
  <c r="G4" i="18"/>
  <c r="H4" i="18"/>
  <c r="F4" i="18"/>
  <c r="E4" i="18"/>
  <c r="D4" i="18"/>
  <c r="C4" i="18"/>
  <c r="H10" i="2" l="1"/>
  <c r="H16" i="2"/>
  <c r="H18" i="2"/>
  <c r="I18" i="2" s="1"/>
  <c r="J18" i="2" s="1"/>
  <c r="H17" i="2"/>
  <c r="H12" i="2"/>
  <c r="I12" i="2" s="1"/>
  <c r="J12" i="2" s="1"/>
  <c r="H11" i="2"/>
  <c r="BJ862" i="18"/>
  <c r="BJ806" i="18"/>
  <c r="BJ782" i="18"/>
  <c r="BJ713" i="18"/>
  <c r="BJ694" i="18"/>
  <c r="BJ574" i="18"/>
  <c r="BJ522" i="18"/>
  <c r="BJ479" i="18"/>
  <c r="BJ470" i="18"/>
  <c r="BJ370" i="18"/>
  <c r="BJ314" i="18"/>
  <c r="BJ274" i="18"/>
  <c r="BJ258" i="18"/>
  <c r="BJ238" i="18"/>
  <c r="BJ134" i="18"/>
  <c r="BJ993" i="18"/>
  <c r="BI982" i="18"/>
  <c r="BJ957" i="18"/>
  <c r="BJ827" i="18"/>
  <c r="BJ825" i="18"/>
  <c r="BJ817" i="18"/>
  <c r="BJ738" i="18"/>
  <c r="BJ502" i="18"/>
  <c r="BJ406" i="18"/>
  <c r="BJ382" i="18"/>
  <c r="BJ365" i="18"/>
  <c r="BJ230" i="18"/>
  <c r="BJ181" i="18"/>
  <c r="BJ157" i="18"/>
  <c r="BJ77" i="18"/>
  <c r="BJ997" i="18"/>
  <c r="BJ994" i="18"/>
  <c r="BJ985" i="18"/>
  <c r="BJ921" i="18"/>
  <c r="BJ909" i="18"/>
  <c r="BJ889" i="18"/>
  <c r="BJ847" i="18"/>
  <c r="BJ753" i="18"/>
  <c r="BJ725" i="18"/>
  <c r="BJ701" i="18"/>
  <c r="BJ638" i="18"/>
  <c r="BJ609" i="18"/>
  <c r="BJ593" i="18"/>
  <c r="BJ573" i="18"/>
  <c r="BJ549" i="18"/>
  <c r="BJ529" i="18"/>
  <c r="BJ465" i="18"/>
  <c r="BJ417" i="18"/>
  <c r="BJ413" i="18"/>
  <c r="BJ345" i="18"/>
  <c r="BJ249" i="18"/>
  <c r="BJ185" i="18"/>
  <c r="BJ177" i="18"/>
  <c r="BJ173" i="18"/>
  <c r="BJ169" i="18"/>
  <c r="BJ165" i="18"/>
  <c r="BJ161" i="18"/>
  <c r="BJ153" i="18"/>
  <c r="BJ149" i="18"/>
  <c r="BJ145" i="18"/>
  <c r="BJ141" i="18"/>
  <c r="BJ137" i="18"/>
  <c r="BJ133" i="18"/>
  <c r="BJ129" i="18"/>
  <c r="BJ125" i="18"/>
  <c r="BJ121" i="18"/>
  <c r="BJ113" i="18"/>
  <c r="BJ109" i="18"/>
  <c r="BJ105" i="18"/>
  <c r="BJ101" i="18"/>
  <c r="BJ97" i="18"/>
  <c r="BJ93" i="18"/>
  <c r="BJ89" i="18"/>
  <c r="BJ85" i="18"/>
  <c r="BJ81" i="18"/>
  <c r="BJ73" i="18"/>
  <c r="BJ69" i="18"/>
  <c r="BJ65" i="18"/>
  <c r="BJ61" i="18"/>
  <c r="BJ57" i="18"/>
  <c r="BJ53" i="18"/>
  <c r="BJ49" i="18"/>
  <c r="BJ45" i="18"/>
  <c r="BJ41" i="18"/>
  <c r="BJ37" i="18"/>
  <c r="BJ33" i="18"/>
  <c r="BJ29" i="18"/>
  <c r="BJ25" i="18"/>
  <c r="BJ21" i="18"/>
  <c r="BJ17" i="18"/>
  <c r="BJ13" i="18"/>
  <c r="BJ9" i="18"/>
  <c r="BJ1005" i="18"/>
  <c r="BJ1001" i="18"/>
  <c r="BJ989" i="18"/>
  <c r="BJ981" i="18"/>
  <c r="BJ977" i="18"/>
  <c r="BJ973" i="18"/>
  <c r="BJ969" i="18"/>
  <c r="BI966" i="18"/>
  <c r="BJ965" i="18"/>
  <c r="BJ961" i="18"/>
  <c r="BJ953" i="18"/>
  <c r="BI950" i="18"/>
  <c r="BJ949" i="18"/>
  <c r="BJ945" i="18"/>
  <c r="BJ941" i="18"/>
  <c r="BJ937" i="18"/>
  <c r="BJ933" i="18"/>
  <c r="BJ929" i="18"/>
  <c r="BJ925" i="18"/>
  <c r="BJ917" i="18"/>
  <c r="BJ913" i="18"/>
  <c r="BJ905" i="18"/>
  <c r="BJ901" i="18"/>
  <c r="BJ897" i="18"/>
  <c r="BJ893" i="18"/>
  <c r="BJ891" i="18"/>
  <c r="BJ885" i="18"/>
  <c r="BJ881" i="18"/>
  <c r="BJ877" i="18"/>
  <c r="BJ873" i="18"/>
  <c r="BJ869" i="18"/>
  <c r="BJ865" i="18"/>
  <c r="BJ861" i="18"/>
  <c r="BJ857" i="18"/>
  <c r="BJ853" i="18"/>
  <c r="BJ849" i="18"/>
  <c r="BJ845" i="18"/>
  <c r="BJ841" i="18"/>
  <c r="BJ837" i="18"/>
  <c r="BJ833" i="18"/>
  <c r="BJ829" i="18"/>
  <c r="BJ821" i="18"/>
  <c r="BJ813" i="18"/>
  <c r="BJ809" i="18"/>
  <c r="BJ805" i="18"/>
  <c r="BJ801" i="18"/>
  <c r="BJ797" i="18"/>
  <c r="BJ793" i="18"/>
  <c r="BJ789" i="18"/>
  <c r="BJ785" i="18"/>
  <c r="BJ781" i="18"/>
  <c r="BJ777" i="18"/>
  <c r="BJ773" i="18"/>
  <c r="BJ769" i="18"/>
  <c r="BJ765" i="18"/>
  <c r="BJ761" i="18"/>
  <c r="BJ757" i="18"/>
  <c r="BJ749" i="18"/>
  <c r="BJ745" i="18"/>
  <c r="BJ743" i="18"/>
  <c r="BJ741" i="18"/>
  <c r="BJ737" i="18"/>
  <c r="BJ733" i="18"/>
  <c r="BJ729" i="18"/>
  <c r="BJ721" i="18"/>
  <c r="BJ717" i="18"/>
  <c r="BJ709" i="18"/>
  <c r="BJ705" i="18"/>
  <c r="BJ697" i="18"/>
  <c r="BJ693" i="18"/>
  <c r="BJ689" i="18"/>
  <c r="BJ685" i="18"/>
  <c r="BJ681" i="18"/>
  <c r="BJ677" i="18"/>
  <c r="BJ676" i="18"/>
  <c r="BJ673" i="18"/>
  <c r="BJ669" i="18"/>
  <c r="BJ665" i="18"/>
  <c r="BJ661" i="18"/>
  <c r="BJ657" i="18"/>
  <c r="BJ653" i="18"/>
  <c r="BJ649" i="18"/>
  <c r="BJ645" i="18"/>
  <c r="BJ641" i="18"/>
  <c r="BJ637" i="18"/>
  <c r="BJ633" i="18"/>
  <c r="BJ629" i="18"/>
  <c r="BJ625" i="18"/>
  <c r="BJ621" i="18"/>
  <c r="BJ617" i="18"/>
  <c r="BJ613" i="18"/>
  <c r="BJ605" i="18"/>
  <c r="BJ601" i="18"/>
  <c r="BJ600" i="18"/>
  <c r="BJ597" i="18"/>
  <c r="BJ589" i="18"/>
  <c r="BJ585" i="18"/>
  <c r="BJ581" i="18"/>
  <c r="BJ579" i="18"/>
  <c r="BJ577" i="18"/>
  <c r="BJ569" i="18"/>
  <c r="BJ565" i="18"/>
  <c r="BJ561" i="18"/>
  <c r="BJ557" i="18"/>
  <c r="BJ553" i="18"/>
  <c r="BJ545" i="18"/>
  <c r="BJ541" i="18"/>
  <c r="BJ537" i="18"/>
  <c r="BJ533" i="18"/>
  <c r="BJ525" i="18"/>
  <c r="BJ521" i="18"/>
  <c r="BJ517" i="18"/>
  <c r="BJ513" i="18"/>
  <c r="BJ509" i="18"/>
  <c r="BJ505" i="18"/>
  <c r="BJ501" i="18"/>
  <c r="BJ497" i="18"/>
  <c r="BJ493" i="18"/>
  <c r="BJ489" i="18"/>
  <c r="BJ485" i="18"/>
  <c r="BJ481" i="18"/>
  <c r="BJ477" i="18"/>
  <c r="BJ473" i="18"/>
  <c r="BJ469" i="18"/>
  <c r="BJ461" i="18"/>
  <c r="BJ457" i="18"/>
  <c r="BJ453" i="18"/>
  <c r="BJ449" i="18"/>
  <c r="BJ445" i="18"/>
  <c r="BJ441" i="18"/>
  <c r="BJ437" i="18"/>
  <c r="BJ436" i="18"/>
  <c r="BJ433" i="18"/>
  <c r="BJ429" i="18"/>
  <c r="BJ425" i="18"/>
  <c r="BJ421" i="18"/>
  <c r="BJ409" i="18"/>
  <c r="BJ405" i="18"/>
  <c r="BJ401" i="18"/>
  <c r="BJ400" i="18"/>
  <c r="BJ397" i="18"/>
  <c r="BJ393" i="18"/>
  <c r="BJ389" i="18"/>
  <c r="BJ385" i="18"/>
  <c r="BJ381" i="18"/>
  <c r="BJ377" i="18"/>
  <c r="BJ376" i="18"/>
  <c r="BJ373" i="18"/>
  <c r="BJ369" i="18"/>
  <c r="BJ361" i="18"/>
  <c r="BJ357" i="18"/>
  <c r="BJ353" i="18"/>
  <c r="BJ349" i="18"/>
  <c r="BJ341" i="18"/>
  <c r="BJ337" i="18"/>
  <c r="BJ333" i="18"/>
  <c r="BJ329" i="18"/>
  <c r="BJ325" i="18"/>
  <c r="BJ321" i="18"/>
  <c r="BJ317" i="18"/>
  <c r="BJ313" i="18"/>
  <c r="BJ309" i="18"/>
  <c r="BJ305" i="18"/>
  <c r="BJ301" i="18"/>
  <c r="BJ297" i="18"/>
  <c r="BJ293" i="18"/>
  <c r="BJ289" i="18"/>
  <c r="BJ285" i="18"/>
  <c r="BJ281" i="18"/>
  <c r="BJ277" i="18"/>
  <c r="BJ273" i="18"/>
  <c r="BJ272" i="18"/>
  <c r="BJ269" i="18"/>
  <c r="BJ268" i="18"/>
  <c r="BJ265" i="18"/>
  <c r="BJ261" i="18"/>
  <c r="BJ257" i="18"/>
  <c r="BJ253" i="18"/>
  <c r="BJ245" i="18"/>
  <c r="BJ241" i="18"/>
  <c r="BJ237" i="18"/>
  <c r="BJ233" i="18"/>
  <c r="BJ229" i="18"/>
  <c r="BJ225" i="18"/>
  <c r="BJ221" i="18"/>
  <c r="BJ217" i="18"/>
  <c r="BJ213" i="18"/>
  <c r="BJ209" i="18"/>
  <c r="BJ205" i="18"/>
  <c r="BJ201" i="18"/>
  <c r="BJ200" i="18"/>
  <c r="BJ197" i="18"/>
  <c r="BJ193" i="18"/>
  <c r="BJ189" i="18"/>
  <c r="BJ184" i="18"/>
  <c r="BJ180" i="18"/>
  <c r="BJ176" i="18"/>
  <c r="BJ172" i="18"/>
  <c r="BJ168" i="18"/>
  <c r="BJ164" i="18"/>
  <c r="BJ160" i="18"/>
  <c r="BJ156" i="18"/>
  <c r="BJ155" i="18"/>
  <c r="BJ152" i="18"/>
  <c r="BJ148" i="18"/>
  <c r="BJ144" i="18"/>
  <c r="BJ140" i="18"/>
  <c r="BJ136" i="18"/>
  <c r="BJ132" i="18"/>
  <c r="BJ128" i="18"/>
  <c r="BJ120" i="18"/>
  <c r="BJ117" i="18"/>
  <c r="BJ116" i="18"/>
  <c r="BJ112" i="18"/>
  <c r="BJ108" i="18"/>
  <c r="BJ100" i="18"/>
  <c r="BJ95" i="18"/>
  <c r="BJ91" i="18"/>
  <c r="BJ87" i="18"/>
  <c r="BJ79" i="18"/>
  <c r="BJ75" i="18"/>
  <c r="BJ71" i="18"/>
  <c r="BJ59" i="18"/>
  <c r="BJ55" i="18"/>
  <c r="BJ47" i="18"/>
  <c r="BJ43" i="18"/>
  <c r="BJ42" i="18"/>
  <c r="BJ39" i="18"/>
  <c r="BJ35" i="18"/>
  <c r="BJ31" i="18"/>
  <c r="BJ27" i="18"/>
  <c r="BJ26" i="18"/>
  <c r="BJ23" i="18"/>
  <c r="BJ19" i="18"/>
  <c r="BJ15" i="18"/>
  <c r="BJ11" i="18"/>
  <c r="BJ998" i="18"/>
  <c r="BJ982" i="18"/>
  <c r="BJ966" i="18"/>
  <c r="BJ950" i="18"/>
  <c r="BI302" i="18"/>
  <c r="BI1004" i="18"/>
  <c r="BI940" i="18"/>
  <c r="BI578" i="18"/>
  <c r="BI546" i="18"/>
  <c r="BI514" i="18"/>
  <c r="BI386" i="18"/>
  <c r="BI978" i="18"/>
  <c r="BI914" i="18"/>
  <c r="BI802" i="18"/>
  <c r="BI738" i="18"/>
  <c r="BI674" i="18"/>
  <c r="BI338" i="18"/>
  <c r="BI1000" i="18"/>
  <c r="BI968" i="18"/>
  <c r="BI626" i="18"/>
  <c r="BI269" i="18"/>
  <c r="BI962" i="18"/>
  <c r="BI898" i="18"/>
  <c r="BI786" i="18"/>
  <c r="BI722" i="18"/>
  <c r="BI658" i="18"/>
  <c r="BI322" i="18"/>
  <c r="BI988" i="18"/>
  <c r="BI956" i="18"/>
  <c r="BI924" i="18"/>
  <c r="BI261" i="18"/>
  <c r="BI594" i="18"/>
  <c r="BI562" i="18"/>
  <c r="BI530" i="18"/>
  <c r="BI498" i="18"/>
  <c r="BI466" i="18"/>
  <c r="BI434" i="18"/>
  <c r="BI402" i="18"/>
  <c r="BI370" i="18"/>
  <c r="BI946" i="18"/>
  <c r="BI882" i="18"/>
  <c r="BI770" i="18"/>
  <c r="BI706" i="18"/>
  <c r="BI642" i="18"/>
  <c r="BI306" i="18"/>
  <c r="BI984" i="18"/>
  <c r="BI952" i="18"/>
  <c r="BI934" i="18"/>
  <c r="BI610" i="18"/>
  <c r="BI994" i="18"/>
  <c r="BI926" i="18"/>
  <c r="BI866" i="18"/>
  <c r="BI754" i="18"/>
  <c r="BI690" i="18"/>
  <c r="BI354" i="18"/>
  <c r="BI290" i="18"/>
  <c r="BI178" i="18"/>
  <c r="BI146" i="18"/>
  <c r="BI50" i="18"/>
  <c r="BI34" i="18"/>
  <c r="BI18" i="18"/>
  <c r="BI821" i="18"/>
  <c r="BI170" i="18"/>
  <c r="BI138" i="18"/>
  <c r="BI124" i="18"/>
  <c r="BI114" i="18"/>
  <c r="BI98" i="18"/>
  <c r="BI88" i="18"/>
  <c r="BI78" i="18"/>
  <c r="BI62" i="18"/>
  <c r="BI46" i="18"/>
  <c r="BI30" i="18"/>
  <c r="BI14" i="18"/>
  <c r="BI92" i="18"/>
  <c r="BI66" i="18"/>
  <c r="BI186" i="18"/>
  <c r="BI162" i="18"/>
  <c r="BI130" i="18"/>
  <c r="BI120" i="18"/>
  <c r="BI104" i="18"/>
  <c r="BI74" i="18"/>
  <c r="BI58" i="18"/>
  <c r="BI42" i="18"/>
  <c r="BI26" i="18"/>
  <c r="BI10" i="18"/>
  <c r="BI845" i="18"/>
  <c r="BI468" i="18"/>
  <c r="BI82" i="18"/>
  <c r="BI829" i="18"/>
  <c r="BI253" i="18"/>
  <c r="BI837" i="18"/>
  <c r="BI436" i="18"/>
  <c r="BI182" i="18"/>
  <c r="BI154" i="18"/>
  <c r="BI70" i="18"/>
  <c r="BI54" i="18"/>
  <c r="BI38" i="18"/>
  <c r="BI22" i="18"/>
  <c r="BI929" i="18"/>
  <c r="BI913" i="18"/>
  <c r="BI901" i="18"/>
  <c r="BI885" i="18"/>
  <c r="BI869" i="18"/>
  <c r="BI847" i="18"/>
  <c r="BI831" i="18"/>
  <c r="BI808" i="18"/>
  <c r="BI792" i="18"/>
  <c r="BI776" i="18"/>
  <c r="BI764" i="18"/>
  <c r="BI748" i="18"/>
  <c r="BI740" i="18"/>
  <c r="BI724" i="18"/>
  <c r="BI712" i="18"/>
  <c r="BI696" i="18"/>
  <c r="BI684" i="18"/>
  <c r="BI668" i="18"/>
  <c r="BI656" i="18"/>
  <c r="BI640" i="18"/>
  <c r="BI628" i="18"/>
  <c r="BI612" i="18"/>
  <c r="BI596" i="18"/>
  <c r="BI584" i="18"/>
  <c r="BI568" i="18"/>
  <c r="BI556" i="18"/>
  <c r="BI544" i="18"/>
  <c r="BI528" i="18"/>
  <c r="BI516" i="18"/>
  <c r="BI500" i="18"/>
  <c r="BI471" i="18"/>
  <c r="BI428" i="18"/>
  <c r="BI421" i="18"/>
  <c r="BI411" i="18"/>
  <c r="BI395" i="18"/>
  <c r="BI383" i="18"/>
  <c r="BI371" i="18"/>
  <c r="BI355" i="18"/>
  <c r="BI343" i="18"/>
  <c r="BI324" i="18"/>
  <c r="BI312" i="18"/>
  <c r="BI296" i="18"/>
  <c r="BI284" i="18"/>
  <c r="BI272" i="18"/>
  <c r="BI260" i="18"/>
  <c r="BI244" i="18"/>
  <c r="BI228" i="18"/>
  <c r="BI220" i="18"/>
  <c r="BI204" i="18"/>
  <c r="BI192" i="18"/>
  <c r="BI188" i="18"/>
  <c r="BI165" i="18"/>
  <c r="BI149" i="18"/>
  <c r="BI133" i="18"/>
  <c r="BI115" i="18"/>
  <c r="BI106" i="18"/>
  <c r="BI95" i="18"/>
  <c r="BI83" i="18"/>
  <c r="BI80" i="18"/>
  <c r="BI67" i="18"/>
  <c r="BI40" i="18"/>
  <c r="BI27" i="18"/>
  <c r="BI11" i="18"/>
  <c r="BI1005" i="18"/>
  <c r="BI989" i="18"/>
  <c r="BI973" i="18"/>
  <c r="BI957" i="18"/>
  <c r="BI834" i="18"/>
  <c r="BI482" i="18"/>
  <c r="BI450" i="18"/>
  <c r="BI418" i="18"/>
  <c r="BI912" i="18"/>
  <c r="BI900" i="18"/>
  <c r="BI888" i="18"/>
  <c r="BI872" i="18"/>
  <c r="BI860" i="18"/>
  <c r="BI844" i="18"/>
  <c r="BI841" i="18"/>
  <c r="BI828" i="18"/>
  <c r="BI799" i="18"/>
  <c r="BI787" i="18"/>
  <c r="BI771" i="18"/>
  <c r="BI759" i="18"/>
  <c r="BI747" i="18"/>
  <c r="BI735" i="18"/>
  <c r="BI731" i="18"/>
  <c r="BI723" i="18"/>
  <c r="BI719" i="18"/>
  <c r="BI715" i="18"/>
  <c r="BI707" i="18"/>
  <c r="BI703" i="18"/>
  <c r="BI699" i="18"/>
  <c r="BI695" i="18"/>
  <c r="BI691" i="18"/>
  <c r="BI687" i="18"/>
  <c r="BI683" i="18"/>
  <c r="BI679" i="18"/>
  <c r="BI675" i="18"/>
  <c r="BI671" i="18"/>
  <c r="BI667" i="18"/>
  <c r="BI663" i="18"/>
  <c r="BI659" i="18"/>
  <c r="BI655" i="18"/>
  <c r="BI651" i="18"/>
  <c r="BI647" i="18"/>
  <c r="BI643" i="18"/>
  <c r="BI639" i="18"/>
  <c r="BI635" i="18"/>
  <c r="BI631" i="18"/>
  <c r="BI627" i="18"/>
  <c r="BI623" i="18"/>
  <c r="BI619" i="18"/>
  <c r="BI615" i="18"/>
  <c r="BI611" i="18"/>
  <c r="BI607" i="18"/>
  <c r="BI603" i="18"/>
  <c r="BI599" i="18"/>
  <c r="BI595" i="18"/>
  <c r="BI591" i="18"/>
  <c r="BI587" i="18"/>
  <c r="BI583" i="18"/>
  <c r="BI579" i="18"/>
  <c r="BI575" i="18"/>
  <c r="BI571" i="18"/>
  <c r="BI567" i="18"/>
  <c r="BI563" i="18"/>
  <c r="BI559" i="18"/>
  <c r="BI555" i="18"/>
  <c r="BI551" i="18"/>
  <c r="BI547" i="18"/>
  <c r="BI543" i="18"/>
  <c r="BI539" i="18"/>
  <c r="BI535" i="18"/>
  <c r="BI531" i="18"/>
  <c r="BI527" i="18"/>
  <c r="BI523" i="18"/>
  <c r="BI519" i="18"/>
  <c r="BI515" i="18"/>
  <c r="BI511" i="18"/>
  <c r="BI507" i="18"/>
  <c r="BI503" i="18"/>
  <c r="BI499" i="18"/>
  <c r="BI495" i="18"/>
  <c r="BI488" i="18"/>
  <c r="BI484" i="18"/>
  <c r="BI481" i="18"/>
  <c r="BI477" i="18"/>
  <c r="BI467" i="18"/>
  <c r="BI463" i="18"/>
  <c r="BI456" i="18"/>
  <c r="BI452" i="18"/>
  <c r="BI449" i="18"/>
  <c r="BI445" i="18"/>
  <c r="BI435" i="18"/>
  <c r="BI431" i="18"/>
  <c r="BI424" i="18"/>
  <c r="BI420" i="18"/>
  <c r="BI417" i="18"/>
  <c r="BI413" i="18"/>
  <c r="BI323" i="18"/>
  <c r="BI319" i="18"/>
  <c r="BI315" i="18"/>
  <c r="BI311" i="18"/>
  <c r="BI307" i="18"/>
  <c r="BI303" i="18"/>
  <c r="BI299" i="18"/>
  <c r="BI295" i="18"/>
  <c r="BI291" i="18"/>
  <c r="BI287" i="18"/>
  <c r="BI283" i="18"/>
  <c r="BI279" i="18"/>
  <c r="BI275" i="18"/>
  <c r="BI271" i="18"/>
  <c r="BI267" i="18"/>
  <c r="BI263" i="18"/>
  <c r="BI259" i="18"/>
  <c r="BI255" i="18"/>
  <c r="BI251" i="18"/>
  <c r="BI247" i="18"/>
  <c r="BI243" i="18"/>
  <c r="BI239" i="18"/>
  <c r="BI235" i="18"/>
  <c r="BI231" i="18"/>
  <c r="BI227" i="18"/>
  <c r="BI223" i="18"/>
  <c r="BI219" i="18"/>
  <c r="BI215" i="18"/>
  <c r="BI211" i="18"/>
  <c r="BI207" i="18"/>
  <c r="BI203" i="18"/>
  <c r="BI199" i="18"/>
  <c r="BI195" i="18"/>
  <c r="BI191" i="18"/>
  <c r="BI185" i="18"/>
  <c r="BI177" i="18"/>
  <c r="BI174" i="18"/>
  <c r="BI164" i="18"/>
  <c r="BI161" i="18"/>
  <c r="BI158" i="18"/>
  <c r="BI148" i="18"/>
  <c r="BI145" i="18"/>
  <c r="BI142" i="18"/>
  <c r="BI132" i="18"/>
  <c r="BI129" i="18"/>
  <c r="BI126" i="18"/>
  <c r="BI123" i="18"/>
  <c r="BI117" i="18"/>
  <c r="BI108" i="18"/>
  <c r="BI103" i="18"/>
  <c r="BI97" i="18"/>
  <c r="BI94" i="18"/>
  <c r="BI91" i="18"/>
  <c r="BI85" i="18"/>
  <c r="BI77" i="18"/>
  <c r="BI69" i="18"/>
  <c r="BI61" i="18"/>
  <c r="BI53" i="18"/>
  <c r="BI45" i="18"/>
  <c r="BI37" i="18"/>
  <c r="BI29" i="18"/>
  <c r="BI21" i="18"/>
  <c r="BI13" i="18"/>
  <c r="BI993" i="18"/>
  <c r="BI977" i="18"/>
  <c r="BI972" i="18"/>
  <c r="BI961" i="18"/>
  <c r="BI945" i="18"/>
  <c r="BI932" i="18"/>
  <c r="BI910" i="18"/>
  <c r="BI894" i="18"/>
  <c r="BI878" i="18"/>
  <c r="BI862" i="18"/>
  <c r="BI846" i="18"/>
  <c r="BI830" i="18"/>
  <c r="BI814" i="18"/>
  <c r="BI798" i="18"/>
  <c r="BI782" i="18"/>
  <c r="BI766" i="18"/>
  <c r="BI750" i="18"/>
  <c r="BI734" i="18"/>
  <c r="BI718" i="18"/>
  <c r="BI702" i="18"/>
  <c r="BI686" i="18"/>
  <c r="BI670" i="18"/>
  <c r="BI654" i="18"/>
  <c r="BI638" i="18"/>
  <c r="BI622" i="18"/>
  <c r="BI606" i="18"/>
  <c r="BI590" i="18"/>
  <c r="BI574" i="18"/>
  <c r="BI558" i="18"/>
  <c r="BI542" i="18"/>
  <c r="BI526" i="18"/>
  <c r="BI510" i="18"/>
  <c r="BI494" i="18"/>
  <c r="BI478" i="18"/>
  <c r="BI462" i="18"/>
  <c r="BI446" i="18"/>
  <c r="BI430" i="18"/>
  <c r="BI414" i="18"/>
  <c r="BI398" i="18"/>
  <c r="BI382" i="18"/>
  <c r="BI366" i="18"/>
  <c r="BI350" i="18"/>
  <c r="BI334" i="18"/>
  <c r="BI318" i="18"/>
  <c r="BI286" i="18"/>
  <c r="BI925" i="18"/>
  <c r="BI909" i="18"/>
  <c r="BI897" i="18"/>
  <c r="BI881" i="18"/>
  <c r="BI865" i="18"/>
  <c r="BI857" i="18"/>
  <c r="BI839" i="18"/>
  <c r="BI823" i="18"/>
  <c r="BI812" i="18"/>
  <c r="BI796" i="18"/>
  <c r="BI784" i="18"/>
  <c r="BI768" i="18"/>
  <c r="BI752" i="18"/>
  <c r="BI736" i="18"/>
  <c r="BI720" i="18"/>
  <c r="BI704" i="18"/>
  <c r="BI692" i="18"/>
  <c r="BI676" i="18"/>
  <c r="BI664" i="18"/>
  <c r="BI648" i="18"/>
  <c r="BI632" i="18"/>
  <c r="BI620" i="18"/>
  <c r="BI604" i="18"/>
  <c r="BI588" i="18"/>
  <c r="BI576" i="18"/>
  <c r="BI560" i="18"/>
  <c r="BI548" i="18"/>
  <c r="BI532" i="18"/>
  <c r="BI520" i="18"/>
  <c r="BI504" i="18"/>
  <c r="BI492" i="18"/>
  <c r="BI464" i="18"/>
  <c r="BI460" i="18"/>
  <c r="BI453" i="18"/>
  <c r="BI439" i="18"/>
  <c r="BI403" i="18"/>
  <c r="BI387" i="18"/>
  <c r="BI367" i="18"/>
  <c r="BI351" i="18"/>
  <c r="BI335" i="18"/>
  <c r="BI320" i="18"/>
  <c r="BI304" i="18"/>
  <c r="BI292" i="18"/>
  <c r="BI280" i="18"/>
  <c r="BI264" i="18"/>
  <c r="BI252" i="18"/>
  <c r="BI236" i="18"/>
  <c r="BI216" i="18"/>
  <c r="BI200" i="18"/>
  <c r="BI183" i="18"/>
  <c r="BI171" i="18"/>
  <c r="BI168" i="18"/>
  <c r="BI159" i="18"/>
  <c r="BI152" i="18"/>
  <c r="BI143" i="18"/>
  <c r="BI127" i="18"/>
  <c r="BI118" i="18"/>
  <c r="BI112" i="18"/>
  <c r="BI86" i="18"/>
  <c r="BI75" i="18"/>
  <c r="BI72" i="18"/>
  <c r="BI56" i="18"/>
  <c r="BI43" i="18"/>
  <c r="BI24" i="18"/>
  <c r="BI941" i="18"/>
  <c r="BI850" i="18"/>
  <c r="BI818" i="18"/>
  <c r="BI916" i="18"/>
  <c r="BI904" i="18"/>
  <c r="BI884" i="18"/>
  <c r="BI868" i="18"/>
  <c r="BI856" i="18"/>
  <c r="BI849" i="18"/>
  <c r="BI807" i="18"/>
  <c r="BI795" i="18"/>
  <c r="BI779" i="18"/>
  <c r="BI767" i="18"/>
  <c r="BI727" i="18"/>
  <c r="BI1003" i="18"/>
  <c r="BI991" i="18"/>
  <c r="BI979" i="18"/>
  <c r="BI971" i="18"/>
  <c r="BI959" i="18"/>
  <c r="BI943" i="18"/>
  <c r="BI931" i="18"/>
  <c r="BI919" i="18"/>
  <c r="BI907" i="18"/>
  <c r="BI895" i="18"/>
  <c r="BI883" i="18"/>
  <c r="BI875" i="18"/>
  <c r="BI863" i="18"/>
  <c r="BI455" i="18"/>
  <c r="BI441" i="18"/>
  <c r="BI401" i="18"/>
  <c r="BI389" i="18"/>
  <c r="BI381" i="18"/>
  <c r="BI373" i="18"/>
  <c r="BI369" i="18"/>
  <c r="BI365" i="18"/>
  <c r="BI361" i="18"/>
  <c r="BI357" i="18"/>
  <c r="BI353" i="18"/>
  <c r="BI345" i="18"/>
  <c r="BI341" i="18"/>
  <c r="BI337" i="18"/>
  <c r="BI333" i="18"/>
  <c r="BI329" i="18"/>
  <c r="BI282" i="18"/>
  <c r="BI278" i="18"/>
  <c r="BI274" i="18"/>
  <c r="BI270" i="18"/>
  <c r="BI266" i="18"/>
  <c r="BI262" i="18"/>
  <c r="BI258" i="18"/>
  <c r="BI254" i="18"/>
  <c r="BI250" i="18"/>
  <c r="BI246" i="18"/>
  <c r="BI238" i="18"/>
  <c r="BI234" i="18"/>
  <c r="BI230" i="18"/>
  <c r="BI226" i="18"/>
  <c r="BI222" i="18"/>
  <c r="BI218" i="18"/>
  <c r="BI214" i="18"/>
  <c r="BI210" i="18"/>
  <c r="BI206" i="18"/>
  <c r="BI202" i="18"/>
  <c r="BI198" i="18"/>
  <c r="BI194" i="18"/>
  <c r="BI190" i="18"/>
  <c r="BI187" i="18"/>
  <c r="BI184" i="18"/>
  <c r="BI179" i="18"/>
  <c r="BI176" i="18"/>
  <c r="BI173" i="18"/>
  <c r="BI167" i="18"/>
  <c r="BI163" i="18"/>
  <c r="BI160" i="18"/>
  <c r="BI157" i="18"/>
  <c r="BI151" i="18"/>
  <c r="BI147" i="18"/>
  <c r="BI144" i="18"/>
  <c r="BI141" i="18"/>
  <c r="BI135" i="18"/>
  <c r="BI131" i="18"/>
  <c r="BI128" i="18"/>
  <c r="BI125" i="18"/>
  <c r="BI122" i="18"/>
  <c r="BI116" i="18"/>
  <c r="BI111" i="18"/>
  <c r="BI105" i="18"/>
  <c r="BI102" i="18"/>
  <c r="BI99" i="18"/>
  <c r="BI96" i="18"/>
  <c r="BI93" i="18"/>
  <c r="BI90" i="18"/>
  <c r="BI84" i="18"/>
  <c r="BI79" i="18"/>
  <c r="BI76" i="18"/>
  <c r="BI71" i="18"/>
  <c r="BI68" i="18"/>
  <c r="BI63" i="18"/>
  <c r="BI60" i="18"/>
  <c r="BI55" i="18"/>
  <c r="BI52" i="18"/>
  <c r="BI47" i="18"/>
  <c r="BI44" i="18"/>
  <c r="BI39" i="18"/>
  <c r="BI36" i="18"/>
  <c r="BI31" i="18"/>
  <c r="BI28" i="18"/>
  <c r="BI23" i="18"/>
  <c r="BI20" i="18"/>
  <c r="BI15" i="18"/>
  <c r="BI12" i="18"/>
  <c r="BI1002" i="18"/>
  <c r="BI997" i="18"/>
  <c r="BI992" i="18"/>
  <c r="BI986" i="18"/>
  <c r="BI981" i="18"/>
  <c r="BI976" i="18"/>
  <c r="BI970" i="18"/>
  <c r="BI965" i="18"/>
  <c r="BI960" i="18"/>
  <c r="BI954" i="18"/>
  <c r="BI949" i="18"/>
  <c r="BI944" i="18"/>
  <c r="BI938" i="18"/>
  <c r="BI930" i="18"/>
  <c r="BI922" i="18"/>
  <c r="BI906" i="18"/>
  <c r="BI890" i="18"/>
  <c r="BI874" i="18"/>
  <c r="BI858" i="18"/>
  <c r="BI842" i="18"/>
  <c r="BI826" i="18"/>
  <c r="BI810" i="18"/>
  <c r="BI794" i="18"/>
  <c r="BI778" i="18"/>
  <c r="BI762" i="18"/>
  <c r="BI746" i="18"/>
  <c r="BI730" i="18"/>
  <c r="BI714" i="18"/>
  <c r="BI698" i="18"/>
  <c r="BI682" i="18"/>
  <c r="BI666" i="18"/>
  <c r="BI650" i="18"/>
  <c r="BI634" i="18"/>
  <c r="BI618" i="18"/>
  <c r="BI602" i="18"/>
  <c r="BI586" i="18"/>
  <c r="BI570" i="18"/>
  <c r="BI554" i="18"/>
  <c r="BI538" i="18"/>
  <c r="BI522" i="18"/>
  <c r="BI506" i="18"/>
  <c r="BI490" i="18"/>
  <c r="BI474" i="18"/>
  <c r="BI458" i="18"/>
  <c r="BI442" i="18"/>
  <c r="BI426" i="18"/>
  <c r="BI410" i="18"/>
  <c r="BI394" i="18"/>
  <c r="BI378" i="18"/>
  <c r="BI362" i="18"/>
  <c r="BI346" i="18"/>
  <c r="BI330" i="18"/>
  <c r="BI314" i="18"/>
  <c r="BI298" i="18"/>
  <c r="BI281" i="18"/>
  <c r="BI937" i="18"/>
  <c r="BI933" i="18"/>
  <c r="BI921" i="18"/>
  <c r="BI917" i="18"/>
  <c r="BI905" i="18"/>
  <c r="BI893" i="18"/>
  <c r="BI889" i="18"/>
  <c r="BI877" i="18"/>
  <c r="BI873" i="18"/>
  <c r="BI861" i="18"/>
  <c r="BI853" i="18"/>
  <c r="BI815" i="18"/>
  <c r="BI804" i="18"/>
  <c r="BI800" i="18"/>
  <c r="BI788" i="18"/>
  <c r="BI780" i="18"/>
  <c r="BI772" i="18"/>
  <c r="BI760" i="18"/>
  <c r="BI756" i="18"/>
  <c r="BI744" i="18"/>
  <c r="BI732" i="18"/>
  <c r="BI728" i="18"/>
  <c r="BI716" i="18"/>
  <c r="BI708" i="18"/>
  <c r="BI700" i="18"/>
  <c r="BI688" i="18"/>
  <c r="BI680" i="18"/>
  <c r="BI672" i="18"/>
  <c r="BI660" i="18"/>
  <c r="BI652" i="18"/>
  <c r="BI644" i="18"/>
  <c r="BI636" i="18"/>
  <c r="BI624" i="18"/>
  <c r="BI616" i="18"/>
  <c r="BI608" i="18"/>
  <c r="BI600" i="18"/>
  <c r="BI592" i="18"/>
  <c r="BI580" i="18"/>
  <c r="BI572" i="18"/>
  <c r="BI564" i="18"/>
  <c r="BI552" i="18"/>
  <c r="BI540" i="18"/>
  <c r="BI536" i="18"/>
  <c r="BI524" i="18"/>
  <c r="BI512" i="18"/>
  <c r="BI508" i="18"/>
  <c r="BI496" i="18"/>
  <c r="BI489" i="18"/>
  <c r="BI485" i="18"/>
  <c r="BI475" i="18"/>
  <c r="BI457" i="18"/>
  <c r="BI443" i="18"/>
  <c r="BI432" i="18"/>
  <c r="BI425" i="18"/>
  <c r="BI407" i="18"/>
  <c r="BI399" i="18"/>
  <c r="BI391" i="18"/>
  <c r="BI379" i="18"/>
  <c r="BI375" i="18"/>
  <c r="BI363" i="18"/>
  <c r="BI359" i="18"/>
  <c r="BI347" i="18"/>
  <c r="BI339" i="18"/>
  <c r="BI331" i="18"/>
  <c r="BI327" i="18"/>
  <c r="BI316" i="18"/>
  <c r="BI308" i="18"/>
  <c r="BI300" i="18"/>
  <c r="BI288" i="18"/>
  <c r="BI268" i="18"/>
  <c r="BI256" i="18"/>
  <c r="BI248" i="18"/>
  <c r="BI240" i="18"/>
  <c r="BI232" i="18"/>
  <c r="BI224" i="18"/>
  <c r="BI212" i="18"/>
  <c r="BI208" i="18"/>
  <c r="BI196" i="18"/>
  <c r="BI180" i="18"/>
  <c r="BI175" i="18"/>
  <c r="BI155" i="18"/>
  <c r="BI139" i="18"/>
  <c r="BI136" i="18"/>
  <c r="BI121" i="18"/>
  <c r="BI109" i="18"/>
  <c r="BI100" i="18"/>
  <c r="BI89" i="18"/>
  <c r="BI64" i="18"/>
  <c r="BI59" i="18"/>
  <c r="BI51" i="18"/>
  <c r="BI48" i="18"/>
  <c r="BI35" i="18"/>
  <c r="BI32" i="18"/>
  <c r="BI19" i="18"/>
  <c r="BI16" i="18"/>
  <c r="BI8" i="18"/>
  <c r="BI920" i="18"/>
  <c r="BI908" i="18"/>
  <c r="BI896" i="18"/>
  <c r="BI892" i="18"/>
  <c r="BI880" i="18"/>
  <c r="BI876" i="18"/>
  <c r="BI864" i="18"/>
  <c r="BI852" i="18"/>
  <c r="BI836" i="18"/>
  <c r="BI833" i="18"/>
  <c r="BI825" i="18"/>
  <c r="BI820" i="18"/>
  <c r="BI817" i="18"/>
  <c r="BI811" i="18"/>
  <c r="BI803" i="18"/>
  <c r="BI791" i="18"/>
  <c r="BI783" i="18"/>
  <c r="BI775" i="18"/>
  <c r="BI763" i="18"/>
  <c r="BI755" i="18"/>
  <c r="BI751" i="18"/>
  <c r="BI743" i="18"/>
  <c r="BI739" i="18"/>
  <c r="BI711" i="18"/>
  <c r="BI999" i="18"/>
  <c r="BI995" i="18"/>
  <c r="BI987" i="18"/>
  <c r="BI983" i="18"/>
  <c r="BI975" i="18"/>
  <c r="BI967" i="18"/>
  <c r="BI963" i="18"/>
  <c r="BI955" i="18"/>
  <c r="BI951" i="18"/>
  <c r="BI947" i="18"/>
  <c r="BI939" i="18"/>
  <c r="BI935" i="18"/>
  <c r="BI927" i="18"/>
  <c r="BI923" i="18"/>
  <c r="BI915" i="18"/>
  <c r="BI911" i="18"/>
  <c r="BI903" i="18"/>
  <c r="BI899" i="18"/>
  <c r="BI891" i="18"/>
  <c r="BI887" i="18"/>
  <c r="BI879" i="18"/>
  <c r="BI871" i="18"/>
  <c r="BI867" i="18"/>
  <c r="BI859" i="18"/>
  <c r="BI855" i="18"/>
  <c r="BI851" i="18"/>
  <c r="BI843" i="18"/>
  <c r="BI835" i="18"/>
  <c r="BI827" i="18"/>
  <c r="BI819" i="18"/>
  <c r="BI491" i="18"/>
  <c r="BI487" i="18"/>
  <c r="BI480" i="18"/>
  <c r="BI476" i="18"/>
  <c r="BI473" i="18"/>
  <c r="BI469" i="18"/>
  <c r="BI459" i="18"/>
  <c r="BI448" i="18"/>
  <c r="BI444" i="18"/>
  <c r="BI437" i="18"/>
  <c r="BI427" i="18"/>
  <c r="BI423" i="18"/>
  <c r="BI416" i="18"/>
  <c r="BI412" i="18"/>
  <c r="BI409" i="18"/>
  <c r="BI405" i="18"/>
  <c r="BI397" i="18"/>
  <c r="BI393" i="18"/>
  <c r="BI385" i="18"/>
  <c r="BI377" i="18"/>
  <c r="BI349" i="18"/>
  <c r="BI848" i="18"/>
  <c r="BI840" i="18"/>
  <c r="BI832" i="18"/>
  <c r="BI824" i="18"/>
  <c r="BI816" i="18"/>
  <c r="BI813" i="18"/>
  <c r="BI809" i="18"/>
  <c r="BI805" i="18"/>
  <c r="BI801" i="18"/>
  <c r="BI797" i="18"/>
  <c r="BI793" i="18"/>
  <c r="BI789" i="18"/>
  <c r="BI785" i="18"/>
  <c r="BI781" i="18"/>
  <c r="BI777" i="18"/>
  <c r="BI773" i="18"/>
  <c r="BI769" i="18"/>
  <c r="BI765" i="18"/>
  <c r="BI761" i="18"/>
  <c r="BI757" i="18"/>
  <c r="BI753" i="18"/>
  <c r="BI749" i="18"/>
  <c r="BI745" i="18"/>
  <c r="BI741" i="18"/>
  <c r="BI737" i="18"/>
  <c r="BI733" i="18"/>
  <c r="BI729" i="18"/>
  <c r="BI725" i="18"/>
  <c r="BI721" i="18"/>
  <c r="BI717" i="18"/>
  <c r="BI713" i="18"/>
  <c r="BI709" i="18"/>
  <c r="BI705" i="18"/>
  <c r="BI701" i="18"/>
  <c r="BI697" i="18"/>
  <c r="BI693" i="18"/>
  <c r="BI689" i="18"/>
  <c r="BI685" i="18"/>
  <c r="BI681" i="18"/>
  <c r="BI677" i="18"/>
  <c r="BI673" i="18"/>
  <c r="BI669" i="18"/>
  <c r="BI665" i="18"/>
  <c r="BI661" i="18"/>
  <c r="BI657" i="18"/>
  <c r="BI653" i="18"/>
  <c r="BI649" i="18"/>
  <c r="BI645" i="18"/>
  <c r="BI641" i="18"/>
  <c r="BI637" i="18"/>
  <c r="BI633" i="18"/>
  <c r="BI629" i="18"/>
  <c r="BI625" i="18"/>
  <c r="BI621" i="18"/>
  <c r="BI617" i="18"/>
  <c r="BI613" i="18"/>
  <c r="BI609" i="18"/>
  <c r="BI605" i="18"/>
  <c r="BI601" i="18"/>
  <c r="BI597" i="18"/>
  <c r="BI593" i="18"/>
  <c r="BI589" i="18"/>
  <c r="BI585" i="18"/>
  <c r="BI581" i="18"/>
  <c r="BI577" i="18"/>
  <c r="BI573" i="18"/>
  <c r="BI569" i="18"/>
  <c r="BI565" i="18"/>
  <c r="BI561" i="18"/>
  <c r="BI557" i="18"/>
  <c r="BI553" i="18"/>
  <c r="BI549" i="18"/>
  <c r="BI545" i="18"/>
  <c r="BI541" i="18"/>
  <c r="BI537" i="18"/>
  <c r="BI533" i="18"/>
  <c r="BI529" i="18"/>
  <c r="BI525" i="18"/>
  <c r="BI521" i="18"/>
  <c r="BI517" i="18"/>
  <c r="BI513" i="18"/>
  <c r="BI509" i="18"/>
  <c r="BI505" i="18"/>
  <c r="BI501" i="18"/>
  <c r="BI497" i="18"/>
  <c r="BI493" i="18"/>
  <c r="BI483" i="18"/>
  <c r="BI479" i="18"/>
  <c r="BI472" i="18"/>
  <c r="BI465" i="18"/>
  <c r="BI461" i="18"/>
  <c r="BI451" i="18"/>
  <c r="BI447" i="18"/>
  <c r="BI440" i="18"/>
  <c r="BI433" i="18"/>
  <c r="BI429" i="18"/>
  <c r="BI419" i="18"/>
  <c r="BI415" i="18"/>
  <c r="BI408" i="18"/>
  <c r="BI404" i="18"/>
  <c r="BI400" i="18"/>
  <c r="BI396" i="18"/>
  <c r="BI392" i="18"/>
  <c r="BI388" i="18"/>
  <c r="BI384" i="18"/>
  <c r="BI380" i="18"/>
  <c r="BI376" i="18"/>
  <c r="BI372" i="18"/>
  <c r="BI368" i="18"/>
  <c r="BI364" i="18"/>
  <c r="BI360" i="18"/>
  <c r="BI356" i="18"/>
  <c r="BI352" i="18"/>
  <c r="BI348" i="18"/>
  <c r="BI344" i="18"/>
  <c r="BI340" i="18"/>
  <c r="BI336" i="18"/>
  <c r="BI332" i="18"/>
  <c r="BI328" i="18"/>
  <c r="BI325" i="18"/>
  <c r="BI321" i="18"/>
  <c r="BI317" i="18"/>
  <c r="BI313" i="18"/>
  <c r="BI309" i="18"/>
  <c r="BI305" i="18"/>
  <c r="BI301" i="18"/>
  <c r="BI297" i="18"/>
  <c r="BI293" i="18"/>
  <c r="BI289" i="18"/>
  <c r="BI285" i="18"/>
  <c r="BI277" i="18"/>
  <c r="BI273" i="18"/>
  <c r="BI265" i="18"/>
  <c r="BI257" i="18"/>
  <c r="BI249" i="18"/>
  <c r="BI245" i="18"/>
  <c r="BI241" i="18"/>
  <c r="BI237" i="18"/>
  <c r="BI233" i="18"/>
  <c r="BI229" i="18"/>
  <c r="BI225" i="18"/>
  <c r="BI221" i="18"/>
  <c r="BI217" i="18"/>
  <c r="BI213" i="18"/>
  <c r="BI209" i="18"/>
  <c r="BI205" i="18"/>
  <c r="BI201" i="18"/>
  <c r="BI197" i="18"/>
  <c r="BI193" i="18"/>
  <c r="BI189" i="18"/>
  <c r="BI181" i="18"/>
  <c r="BI172" i="18"/>
  <c r="BI169" i="18"/>
  <c r="BI166" i="18"/>
  <c r="BI156" i="18"/>
  <c r="BI153" i="18"/>
  <c r="BI150" i="18"/>
  <c r="BI140" i="18"/>
  <c r="BI137" i="18"/>
  <c r="BI134" i="18"/>
  <c r="BI119" i="18"/>
  <c r="BI113" i="18"/>
  <c r="BI110" i="18"/>
  <c r="BI107" i="18"/>
  <c r="BI101" i="18"/>
  <c r="BI87" i="18"/>
  <c r="BI81" i="18"/>
  <c r="BI73" i="18"/>
  <c r="BI65" i="18"/>
  <c r="BI57" i="18"/>
  <c r="BI49" i="18"/>
  <c r="BI41" i="18"/>
  <c r="BI33" i="18"/>
  <c r="BI25" i="18"/>
  <c r="BI17" i="18"/>
  <c r="BI9" i="18"/>
  <c r="BI1006" i="18"/>
  <c r="BI1001" i="18"/>
  <c r="BI996" i="18"/>
  <c r="BI990" i="18"/>
  <c r="BI985" i="18"/>
  <c r="BI980" i="18"/>
  <c r="BI974" i="18"/>
  <c r="BI969" i="18"/>
  <c r="BI964" i="18"/>
  <c r="BI958" i="18"/>
  <c r="BI953" i="18"/>
  <c r="BI948" i="18"/>
  <c r="BI942" i="18"/>
  <c r="BI936" i="18"/>
  <c r="BI928" i="18"/>
  <c r="BI918" i="18"/>
  <c r="BI902" i="18"/>
  <c r="BI886" i="18"/>
  <c r="BI870" i="18"/>
  <c r="BI854" i="18"/>
  <c r="BI838" i="18"/>
  <c r="BI822" i="18"/>
  <c r="BI806" i="18"/>
  <c r="BI790" i="18"/>
  <c r="BI774" i="18"/>
  <c r="BI758" i="18"/>
  <c r="BI742" i="18"/>
  <c r="BI726" i="18"/>
  <c r="BI710" i="18"/>
  <c r="BI694" i="18"/>
  <c r="BI678" i="18"/>
  <c r="BI662" i="18"/>
  <c r="BI646" i="18"/>
  <c r="BI630" i="18"/>
  <c r="BI614" i="18"/>
  <c r="BI598" i="18"/>
  <c r="BI582" i="18"/>
  <c r="BI566" i="18"/>
  <c r="BI550" i="18"/>
  <c r="BI534" i="18"/>
  <c r="BI518" i="18"/>
  <c r="BI502" i="18"/>
  <c r="BI486" i="18"/>
  <c r="BI470" i="18"/>
  <c r="BI454" i="18"/>
  <c r="BI438" i="18"/>
  <c r="BI422" i="18"/>
  <c r="BI406" i="18"/>
  <c r="BI390" i="18"/>
  <c r="BI374" i="18"/>
  <c r="BI358" i="18"/>
  <c r="BI342" i="18"/>
  <c r="BI326" i="18"/>
  <c r="BI310" i="18"/>
  <c r="BI294" i="18"/>
  <c r="BI276" i="18"/>
  <c r="BI242" i="18"/>
  <c r="M6" i="10" l="1"/>
  <c r="L6" i="10" s="1"/>
  <c r="Q6" i="10" s="1"/>
  <c r="H14" i="2" s="1"/>
  <c r="U5" i="18"/>
  <c r="G13" i="2"/>
  <c r="C103" i="16"/>
  <c r="D103" i="16" s="1" a="1"/>
  <c r="D103" i="16" s="1"/>
  <c r="E103" i="16" s="1"/>
  <c r="C102" i="16"/>
  <c r="D102" i="16" s="1" a="1"/>
  <c r="D102" i="16" s="1"/>
  <c r="E102" i="16" s="1"/>
  <c r="C101" i="16"/>
  <c r="D101" i="16" s="1" a="1"/>
  <c r="D101" i="16" s="1"/>
  <c r="E101" i="16" s="1"/>
  <c r="C100" i="16"/>
  <c r="D100" i="16" s="1" a="1"/>
  <c r="D100" i="16" s="1"/>
  <c r="E100" i="16" s="1"/>
  <c r="C99" i="16"/>
  <c r="D99" i="16" s="1" a="1"/>
  <c r="D99" i="16" s="1"/>
  <c r="E99" i="16" s="1"/>
  <c r="C98" i="16"/>
  <c r="D98" i="16" s="1" a="1"/>
  <c r="D98" i="16" s="1"/>
  <c r="E98" i="16" s="1"/>
  <c r="C97" i="16"/>
  <c r="D97" i="16" s="1" a="1"/>
  <c r="D97" i="16" s="1"/>
  <c r="E97" i="16" s="1"/>
  <c r="C96" i="16"/>
  <c r="D96" i="16" s="1" a="1"/>
  <c r="D96" i="16" s="1"/>
  <c r="E96" i="16" s="1"/>
  <c r="C95" i="16"/>
  <c r="D95" i="16" s="1" a="1"/>
  <c r="D95" i="16" s="1"/>
  <c r="E95" i="16" s="1"/>
  <c r="C94" i="16"/>
  <c r="D94" i="16" s="1" a="1"/>
  <c r="D94" i="16" s="1"/>
  <c r="E94" i="16" s="1"/>
  <c r="C93" i="16"/>
  <c r="D93" i="16" s="1" a="1"/>
  <c r="D93" i="16" s="1"/>
  <c r="E93" i="16" s="1"/>
  <c r="C92" i="16"/>
  <c r="D92" i="16" s="1" a="1"/>
  <c r="D92" i="16" s="1"/>
  <c r="E92" i="16" s="1"/>
  <c r="C91" i="16"/>
  <c r="D91" i="16" s="1" a="1"/>
  <c r="D91" i="16" s="1"/>
  <c r="E91" i="16" s="1"/>
  <c r="C90" i="16"/>
  <c r="D90" i="16" s="1" a="1"/>
  <c r="D90" i="16" s="1"/>
  <c r="E90" i="16" s="1"/>
  <c r="C89" i="16"/>
  <c r="D89" i="16" s="1" a="1"/>
  <c r="D89" i="16" s="1"/>
  <c r="E89" i="16" s="1"/>
  <c r="C88" i="16"/>
  <c r="D88" i="16" s="1" a="1"/>
  <c r="D88" i="16" s="1"/>
  <c r="E88" i="16" s="1"/>
  <c r="C87" i="16"/>
  <c r="D87" i="16" s="1" a="1"/>
  <c r="D87" i="16" s="1"/>
  <c r="E87" i="16" s="1"/>
  <c r="C86" i="16"/>
  <c r="D86" i="16" s="1" a="1"/>
  <c r="D86" i="16" s="1"/>
  <c r="E86" i="16" s="1"/>
  <c r="C85" i="16"/>
  <c r="D85" i="16" s="1" a="1"/>
  <c r="D85" i="16" s="1"/>
  <c r="E85" i="16" s="1"/>
  <c r="C84" i="16"/>
  <c r="D84" i="16" s="1" a="1"/>
  <c r="D84" i="16" s="1"/>
  <c r="E84" i="16" s="1"/>
  <c r="C83" i="16"/>
  <c r="D83" i="16" s="1" a="1"/>
  <c r="D83" i="16" s="1"/>
  <c r="E83" i="16" s="1"/>
  <c r="C82" i="16"/>
  <c r="D82" i="16" s="1" a="1"/>
  <c r="D82" i="16" s="1"/>
  <c r="E82" i="16" s="1"/>
  <c r="C81" i="16"/>
  <c r="D81" i="16" s="1" a="1"/>
  <c r="D81" i="16" s="1"/>
  <c r="E81" i="16" s="1"/>
  <c r="C80" i="16"/>
  <c r="D80" i="16" s="1" a="1"/>
  <c r="D80" i="16" s="1"/>
  <c r="E80" i="16" s="1"/>
  <c r="C79" i="16"/>
  <c r="D79" i="16" s="1" a="1"/>
  <c r="D79" i="16" s="1"/>
  <c r="E79" i="16" s="1"/>
  <c r="C78" i="16"/>
  <c r="D78" i="16" s="1" a="1"/>
  <c r="D78" i="16" s="1"/>
  <c r="E78" i="16" s="1"/>
  <c r="C77" i="16"/>
  <c r="D77" i="16" s="1" a="1"/>
  <c r="D77" i="16" s="1"/>
  <c r="E77" i="16" s="1"/>
  <c r="C76" i="16"/>
  <c r="D76" i="16" s="1" a="1"/>
  <c r="D76" i="16" s="1"/>
  <c r="E76" i="16" s="1"/>
  <c r="C75" i="16"/>
  <c r="D75" i="16" s="1" a="1"/>
  <c r="D75" i="16" s="1"/>
  <c r="E75" i="16" s="1"/>
  <c r="C74" i="16"/>
  <c r="D74" i="16" s="1" a="1"/>
  <c r="D74" i="16" s="1"/>
  <c r="E74" i="16" s="1"/>
  <c r="C73" i="16"/>
  <c r="D73" i="16" s="1" a="1"/>
  <c r="D73" i="16" s="1"/>
  <c r="E73" i="16" s="1"/>
  <c r="C72" i="16"/>
  <c r="D72" i="16" s="1" a="1"/>
  <c r="D72" i="16" s="1"/>
  <c r="E72" i="16" s="1"/>
  <c r="C71" i="16"/>
  <c r="D71" i="16" s="1" a="1"/>
  <c r="D71" i="16" s="1"/>
  <c r="E71" i="16" s="1"/>
  <c r="C70" i="16"/>
  <c r="D70" i="16" s="1" a="1"/>
  <c r="D70" i="16" s="1"/>
  <c r="E70" i="16" s="1"/>
  <c r="C69" i="16"/>
  <c r="D69" i="16" s="1" a="1"/>
  <c r="D69" i="16" s="1"/>
  <c r="E69" i="16" s="1"/>
  <c r="C68" i="16"/>
  <c r="D68" i="16" s="1" a="1"/>
  <c r="D68" i="16" s="1"/>
  <c r="E68" i="16" s="1"/>
  <c r="C67" i="16"/>
  <c r="D67" i="16" s="1" a="1"/>
  <c r="D67" i="16" s="1"/>
  <c r="E67" i="16" s="1"/>
  <c r="C66" i="16"/>
  <c r="D66" i="16" s="1" a="1"/>
  <c r="D66" i="16" s="1"/>
  <c r="E66" i="16" s="1"/>
  <c r="C65" i="16"/>
  <c r="D65" i="16" s="1" a="1"/>
  <c r="D65" i="16" s="1"/>
  <c r="E65" i="16" s="1"/>
  <c r="C64" i="16"/>
  <c r="D64" i="16" s="1" a="1"/>
  <c r="D64" i="16" s="1"/>
  <c r="E64" i="16" s="1"/>
  <c r="C63" i="16"/>
  <c r="D63" i="16" s="1" a="1"/>
  <c r="D63" i="16" s="1"/>
  <c r="E63" i="16" s="1"/>
  <c r="C62" i="16"/>
  <c r="D62" i="16" s="1" a="1"/>
  <c r="D62" i="16" s="1"/>
  <c r="E62" i="16" s="1"/>
  <c r="C61" i="16"/>
  <c r="D61" i="16" s="1" a="1"/>
  <c r="D61" i="16" s="1"/>
  <c r="E61" i="16" s="1"/>
  <c r="C60" i="16"/>
  <c r="D60" i="16" s="1" a="1"/>
  <c r="D60" i="16" s="1"/>
  <c r="E60" i="16" s="1"/>
  <c r="C59" i="16"/>
  <c r="D59" i="16" s="1" a="1"/>
  <c r="D59" i="16" s="1"/>
  <c r="E59" i="16" s="1"/>
  <c r="C58" i="16"/>
  <c r="D58" i="16" s="1" a="1"/>
  <c r="D58" i="16" s="1"/>
  <c r="E58" i="16" s="1"/>
  <c r="C57" i="16"/>
  <c r="D57" i="16" s="1" a="1"/>
  <c r="D57" i="16" s="1"/>
  <c r="E57" i="16" s="1"/>
  <c r="C56" i="16"/>
  <c r="D56" i="16" s="1" a="1"/>
  <c r="D56" i="16" s="1"/>
  <c r="E56" i="16" s="1"/>
  <c r="C55" i="16"/>
  <c r="D55" i="16" s="1" a="1"/>
  <c r="D55" i="16" s="1"/>
  <c r="E55" i="16" s="1"/>
  <c r="C54" i="16"/>
  <c r="D54" i="16" s="1" a="1"/>
  <c r="D54" i="16" s="1"/>
  <c r="E54" i="16" s="1"/>
  <c r="C53" i="16"/>
  <c r="D53" i="16" s="1" a="1"/>
  <c r="D53" i="16" s="1"/>
  <c r="E53" i="16" s="1"/>
  <c r="C52" i="16"/>
  <c r="D52" i="16" s="1" a="1"/>
  <c r="D52" i="16" s="1"/>
  <c r="E52" i="16" s="1"/>
  <c r="C51" i="16"/>
  <c r="D51" i="16" s="1" a="1"/>
  <c r="D51" i="16" s="1"/>
  <c r="E51" i="16" s="1"/>
  <c r="C50" i="16"/>
  <c r="D50" i="16" s="1" a="1"/>
  <c r="D50" i="16" s="1"/>
  <c r="E50" i="16" s="1"/>
  <c r="C49" i="16"/>
  <c r="D49" i="16" s="1" a="1"/>
  <c r="D49" i="16" s="1"/>
  <c r="E49" i="16" s="1"/>
  <c r="C48" i="16"/>
  <c r="D48" i="16" s="1" a="1"/>
  <c r="D48" i="16" s="1"/>
  <c r="E48" i="16" s="1"/>
  <c r="C47" i="16"/>
  <c r="D47" i="16" s="1" a="1"/>
  <c r="D47" i="16" s="1"/>
  <c r="E47" i="16" s="1"/>
  <c r="C46" i="16"/>
  <c r="D46" i="16" s="1" a="1"/>
  <c r="D46" i="16" s="1"/>
  <c r="C45" i="16"/>
  <c r="D45" i="16" s="1" a="1"/>
  <c r="D45" i="16" s="1"/>
  <c r="C44" i="16"/>
  <c r="D44" i="16" s="1" a="1"/>
  <c r="D44" i="16" s="1"/>
  <c r="C43" i="16"/>
  <c r="D43" i="16" s="1" a="1"/>
  <c r="D43" i="16" s="1"/>
  <c r="C42" i="16"/>
  <c r="D42" i="16" s="1" a="1"/>
  <c r="D42" i="16" s="1"/>
  <c r="C41" i="16"/>
  <c r="D41" i="16" s="1" a="1"/>
  <c r="D41" i="16" s="1"/>
  <c r="C40" i="16"/>
  <c r="D40" i="16" s="1" a="1"/>
  <c r="D40" i="16" s="1"/>
  <c r="C39" i="16"/>
  <c r="D39" i="16" s="1" a="1"/>
  <c r="D39" i="16" s="1"/>
  <c r="C38" i="16"/>
  <c r="D38" i="16" s="1" a="1"/>
  <c r="D38" i="16" s="1"/>
  <c r="C37" i="16"/>
  <c r="D37" i="16" s="1" a="1"/>
  <c r="D37" i="16" s="1"/>
  <c r="C36" i="16"/>
  <c r="D36" i="16" s="1" a="1"/>
  <c r="D36" i="16" s="1"/>
  <c r="C35" i="16"/>
  <c r="D35" i="16" s="1" a="1"/>
  <c r="D35" i="16" s="1"/>
  <c r="C34" i="16"/>
  <c r="D34" i="16" s="1" a="1"/>
  <c r="D34" i="16" s="1"/>
  <c r="C33" i="16"/>
  <c r="D33" i="16" s="1" a="1"/>
  <c r="D33" i="16" s="1"/>
  <c r="C32" i="16"/>
  <c r="D32" i="16" s="1" a="1"/>
  <c r="D32" i="16" s="1"/>
  <c r="C31" i="16"/>
  <c r="D31" i="16" s="1" a="1"/>
  <c r="D31" i="16" s="1"/>
  <c r="C30" i="16"/>
  <c r="D30" i="16" s="1" a="1"/>
  <c r="D30" i="16" s="1"/>
  <c r="C29" i="16"/>
  <c r="D29" i="16" s="1" a="1"/>
  <c r="D29" i="16" s="1"/>
  <c r="C28" i="16"/>
  <c r="D28" i="16" s="1" a="1"/>
  <c r="D28" i="16" s="1"/>
  <c r="C27" i="16"/>
  <c r="D27" i="16" s="1" a="1"/>
  <c r="D27" i="16" s="1"/>
  <c r="C26" i="16"/>
  <c r="D26" i="16" s="1" a="1"/>
  <c r="D26" i="16" s="1"/>
  <c r="C25" i="16"/>
  <c r="D25" i="16" s="1" a="1"/>
  <c r="D25" i="16" s="1"/>
  <c r="C24" i="16"/>
  <c r="D24" i="16" s="1" a="1"/>
  <c r="D24" i="16" s="1"/>
  <c r="C23" i="16"/>
  <c r="D23" i="16" s="1" a="1"/>
  <c r="D23" i="16" s="1"/>
  <c r="C22" i="16"/>
  <c r="D22" i="16" s="1" a="1"/>
  <c r="D22" i="16" s="1"/>
  <c r="C21" i="16"/>
  <c r="D21" i="16" s="1" a="1"/>
  <c r="D21" i="16" s="1"/>
  <c r="C20" i="16"/>
  <c r="D20" i="16" s="1" a="1"/>
  <c r="D20" i="16" s="1"/>
  <c r="C19" i="16"/>
  <c r="D19" i="16" s="1" a="1"/>
  <c r="D19" i="16" s="1"/>
  <c r="C18" i="16"/>
  <c r="D18" i="16" s="1" a="1"/>
  <c r="D18" i="16" s="1"/>
  <c r="C17" i="16"/>
  <c r="D17" i="16" s="1" a="1"/>
  <c r="D17" i="16" s="1"/>
  <c r="C16" i="16"/>
  <c r="D16" i="16" s="1" a="1"/>
  <c r="D16" i="16" s="1"/>
  <c r="C15" i="16"/>
  <c r="D15" i="16" s="1" a="1"/>
  <c r="D15" i="16" s="1"/>
  <c r="C14" i="16"/>
  <c r="D14" i="16" s="1" a="1"/>
  <c r="D14" i="16" s="1"/>
  <c r="C13" i="16"/>
  <c r="D13" i="16" s="1" a="1"/>
  <c r="D13" i="16" s="1"/>
  <c r="C12" i="16"/>
  <c r="D12" i="16" s="1" a="1"/>
  <c r="D12" i="16" s="1"/>
  <c r="C11" i="16"/>
  <c r="D11" i="16" s="1" a="1"/>
  <c r="D11" i="16" s="1"/>
  <c r="C10" i="16"/>
  <c r="D10" i="16" s="1" a="1"/>
  <c r="D10" i="16" s="1"/>
  <c r="C9" i="16"/>
  <c r="D9" i="16" s="1" a="1"/>
  <c r="D9" i="16" s="1"/>
  <c r="C8" i="16"/>
  <c r="D8" i="16" s="1" a="1"/>
  <c r="D8" i="16" s="1"/>
  <c r="C7" i="16"/>
  <c r="D7" i="16" s="1" a="1"/>
  <c r="D7" i="16" s="1"/>
  <c r="C6" i="16"/>
  <c r="D6" i="16" s="1" a="1"/>
  <c r="D6" i="16" s="1"/>
  <c r="C5" i="16"/>
  <c r="D5" i="16" s="1" a="1"/>
  <c r="D5" i="16" s="1"/>
  <c r="Z4" i="16"/>
  <c r="D4" i="16" a="1"/>
  <c r="D4" i="16" s="1"/>
  <c r="C103" i="14"/>
  <c r="D103" i="14" s="1" a="1"/>
  <c r="D103" i="14" s="1"/>
  <c r="E103" i="14" s="1"/>
  <c r="C102" i="14"/>
  <c r="D102" i="14" s="1" a="1"/>
  <c r="D102" i="14" s="1"/>
  <c r="E102" i="14" s="1"/>
  <c r="C101" i="14"/>
  <c r="D101" i="14" s="1" a="1"/>
  <c r="D101" i="14" s="1"/>
  <c r="E101" i="14" s="1"/>
  <c r="C100" i="14"/>
  <c r="D100" i="14" s="1" a="1"/>
  <c r="D100" i="14" s="1"/>
  <c r="E100" i="14" s="1"/>
  <c r="C99" i="14"/>
  <c r="D99" i="14" s="1" a="1"/>
  <c r="D99" i="14" s="1"/>
  <c r="E99" i="14" s="1"/>
  <c r="C98" i="14"/>
  <c r="D98" i="14" s="1" a="1"/>
  <c r="D98" i="14" s="1"/>
  <c r="E98" i="14" s="1"/>
  <c r="C97" i="14"/>
  <c r="D97" i="14" s="1" a="1"/>
  <c r="D97" i="14" s="1"/>
  <c r="E97" i="14" s="1"/>
  <c r="C96" i="14"/>
  <c r="D96" i="14" s="1" a="1"/>
  <c r="D96" i="14" s="1"/>
  <c r="E96" i="14" s="1"/>
  <c r="C95" i="14"/>
  <c r="D95" i="14" s="1" a="1"/>
  <c r="D95" i="14" s="1"/>
  <c r="E95" i="14" s="1"/>
  <c r="C94" i="14"/>
  <c r="D94" i="14" s="1" a="1"/>
  <c r="D94" i="14" s="1"/>
  <c r="E94" i="14" s="1"/>
  <c r="C93" i="14"/>
  <c r="D93" i="14" s="1" a="1"/>
  <c r="D93" i="14" s="1"/>
  <c r="E93" i="14" s="1"/>
  <c r="C92" i="14"/>
  <c r="D92" i="14" s="1" a="1"/>
  <c r="D92" i="14" s="1"/>
  <c r="E92" i="14" s="1"/>
  <c r="C91" i="14"/>
  <c r="D91" i="14" s="1" a="1"/>
  <c r="D91" i="14" s="1"/>
  <c r="E91" i="14" s="1"/>
  <c r="C90" i="14"/>
  <c r="D90" i="14" s="1" a="1"/>
  <c r="D90" i="14" s="1"/>
  <c r="E90" i="14" s="1"/>
  <c r="C89" i="14"/>
  <c r="D89" i="14" s="1" a="1"/>
  <c r="D89" i="14" s="1"/>
  <c r="E89" i="14" s="1"/>
  <c r="C88" i="14"/>
  <c r="D88" i="14" s="1" a="1"/>
  <c r="D88" i="14" s="1"/>
  <c r="E88" i="14" s="1"/>
  <c r="C87" i="14"/>
  <c r="D87" i="14" s="1" a="1"/>
  <c r="D87" i="14" s="1"/>
  <c r="E87" i="14" s="1"/>
  <c r="C86" i="14"/>
  <c r="D86" i="14" s="1" a="1"/>
  <c r="D86" i="14" s="1"/>
  <c r="E86" i="14" s="1"/>
  <c r="C85" i="14"/>
  <c r="D85" i="14" s="1" a="1"/>
  <c r="D85" i="14" s="1"/>
  <c r="E85" i="14" s="1"/>
  <c r="C84" i="14"/>
  <c r="D84" i="14" s="1" a="1"/>
  <c r="D84" i="14" s="1"/>
  <c r="E84" i="14" s="1"/>
  <c r="C83" i="14"/>
  <c r="D83" i="14" s="1" a="1"/>
  <c r="D83" i="14" s="1"/>
  <c r="E83" i="14" s="1"/>
  <c r="C82" i="14"/>
  <c r="D82" i="14" s="1" a="1"/>
  <c r="D82" i="14" s="1"/>
  <c r="E82" i="14" s="1"/>
  <c r="C81" i="14"/>
  <c r="D81" i="14" s="1" a="1"/>
  <c r="D81" i="14" s="1"/>
  <c r="E81" i="14" s="1"/>
  <c r="C80" i="14"/>
  <c r="D80" i="14" s="1" a="1"/>
  <c r="D80" i="14" s="1"/>
  <c r="E80" i="14" s="1"/>
  <c r="C79" i="14"/>
  <c r="D79" i="14" s="1" a="1"/>
  <c r="D79" i="14" s="1"/>
  <c r="E79" i="14" s="1"/>
  <c r="C78" i="14"/>
  <c r="D78" i="14" s="1" a="1"/>
  <c r="D78" i="14" s="1"/>
  <c r="E78" i="14" s="1"/>
  <c r="C77" i="14"/>
  <c r="D77" i="14" s="1" a="1"/>
  <c r="D77" i="14" s="1"/>
  <c r="E77" i="14" s="1"/>
  <c r="C76" i="14"/>
  <c r="D76" i="14" s="1" a="1"/>
  <c r="D76" i="14" s="1"/>
  <c r="E76" i="14" s="1"/>
  <c r="C75" i="14"/>
  <c r="D75" i="14" s="1" a="1"/>
  <c r="D75" i="14" s="1"/>
  <c r="E75" i="14" s="1"/>
  <c r="C74" i="14"/>
  <c r="D74" i="14" s="1" a="1"/>
  <c r="D74" i="14" s="1"/>
  <c r="E74" i="14" s="1"/>
  <c r="C73" i="14"/>
  <c r="D73" i="14" s="1" a="1"/>
  <c r="D73" i="14" s="1"/>
  <c r="E73" i="14" s="1"/>
  <c r="C72" i="14"/>
  <c r="D72" i="14" s="1" a="1"/>
  <c r="D72" i="14" s="1"/>
  <c r="E72" i="14" s="1"/>
  <c r="C71" i="14"/>
  <c r="D71" i="14" s="1" a="1"/>
  <c r="D71" i="14" s="1"/>
  <c r="E71" i="14" s="1"/>
  <c r="C70" i="14"/>
  <c r="D70" i="14" s="1" a="1"/>
  <c r="D70" i="14" s="1"/>
  <c r="E70" i="14" s="1"/>
  <c r="C69" i="14"/>
  <c r="D69" i="14" s="1" a="1"/>
  <c r="D69" i="14" s="1"/>
  <c r="E69" i="14" s="1"/>
  <c r="C68" i="14"/>
  <c r="D68" i="14" s="1" a="1"/>
  <c r="D68" i="14" s="1"/>
  <c r="E68" i="14" s="1"/>
  <c r="C67" i="14"/>
  <c r="D67" i="14" s="1" a="1"/>
  <c r="D67" i="14" s="1"/>
  <c r="E67" i="14" s="1"/>
  <c r="C66" i="14"/>
  <c r="D66" i="14" s="1" a="1"/>
  <c r="D66" i="14" s="1"/>
  <c r="E66" i="14" s="1"/>
  <c r="C65" i="14"/>
  <c r="D65" i="14" s="1" a="1"/>
  <c r="D65" i="14" s="1"/>
  <c r="E65" i="14" s="1"/>
  <c r="C64" i="14"/>
  <c r="D64" i="14" s="1" a="1"/>
  <c r="D64" i="14" s="1"/>
  <c r="E64" i="14" s="1"/>
  <c r="C63" i="14"/>
  <c r="D63" i="14" s="1" a="1"/>
  <c r="D63" i="14" s="1"/>
  <c r="E63" i="14" s="1"/>
  <c r="C62" i="14"/>
  <c r="D62" i="14" s="1" a="1"/>
  <c r="D62" i="14" s="1"/>
  <c r="E62" i="14" s="1"/>
  <c r="C61" i="14"/>
  <c r="D61" i="14" s="1" a="1"/>
  <c r="D61" i="14" s="1"/>
  <c r="E61" i="14" s="1"/>
  <c r="C60" i="14"/>
  <c r="D60" i="14" s="1" a="1"/>
  <c r="D60" i="14" s="1"/>
  <c r="E60" i="14" s="1"/>
  <c r="C59" i="14"/>
  <c r="D59" i="14" s="1" a="1"/>
  <c r="D59" i="14" s="1"/>
  <c r="E59" i="14" s="1"/>
  <c r="C58" i="14"/>
  <c r="D58" i="14" s="1" a="1"/>
  <c r="D58" i="14" s="1"/>
  <c r="E58" i="14" s="1"/>
  <c r="C57" i="14"/>
  <c r="D57" i="14" s="1" a="1"/>
  <c r="D57" i="14" s="1"/>
  <c r="E57" i="14" s="1"/>
  <c r="C56" i="14"/>
  <c r="D56" i="14" s="1" a="1"/>
  <c r="D56" i="14" s="1"/>
  <c r="E56" i="14" s="1"/>
  <c r="C55" i="14"/>
  <c r="D55" i="14" s="1" a="1"/>
  <c r="D55" i="14" s="1"/>
  <c r="E55" i="14" s="1"/>
  <c r="C54" i="14"/>
  <c r="D54" i="14" s="1" a="1"/>
  <c r="D54" i="14" s="1"/>
  <c r="E54" i="14" s="1"/>
  <c r="C53" i="14"/>
  <c r="D53" i="14" s="1" a="1"/>
  <c r="D53" i="14" s="1"/>
  <c r="E53" i="14" s="1"/>
  <c r="C52" i="14"/>
  <c r="D52" i="14" s="1" a="1"/>
  <c r="D52" i="14" s="1"/>
  <c r="E52" i="14" s="1"/>
  <c r="C51" i="14"/>
  <c r="D51" i="14" s="1" a="1"/>
  <c r="D51" i="14" s="1"/>
  <c r="E51" i="14" s="1"/>
  <c r="C50" i="14"/>
  <c r="D50" i="14" s="1" a="1"/>
  <c r="D50" i="14" s="1"/>
  <c r="E50" i="14" s="1"/>
  <c r="C49" i="14"/>
  <c r="D49" i="14" s="1" a="1"/>
  <c r="D49" i="14" s="1"/>
  <c r="E49" i="14" s="1"/>
  <c r="C48" i="14"/>
  <c r="D48" i="14" s="1" a="1"/>
  <c r="D48" i="14" s="1"/>
  <c r="E48" i="14" s="1"/>
  <c r="C47" i="14"/>
  <c r="D47" i="14" s="1" a="1"/>
  <c r="D47" i="14" s="1"/>
  <c r="E47" i="14" s="1"/>
  <c r="C46" i="14"/>
  <c r="D46" i="14" s="1" a="1"/>
  <c r="D46" i="14" s="1"/>
  <c r="C45" i="14"/>
  <c r="D45" i="14" s="1" a="1"/>
  <c r="D45" i="14" s="1"/>
  <c r="C44" i="14"/>
  <c r="D44" i="14" s="1" a="1"/>
  <c r="D44" i="14" s="1"/>
  <c r="C43" i="14"/>
  <c r="D43" i="14" s="1" a="1"/>
  <c r="D43" i="14" s="1"/>
  <c r="C42" i="14"/>
  <c r="D42" i="14" s="1" a="1"/>
  <c r="D42" i="14" s="1"/>
  <c r="C41" i="14"/>
  <c r="D41" i="14" s="1" a="1"/>
  <c r="D41" i="14" s="1"/>
  <c r="C40" i="14"/>
  <c r="D40" i="14" s="1" a="1"/>
  <c r="D40" i="14" s="1"/>
  <c r="C39" i="14"/>
  <c r="D39" i="14" s="1" a="1"/>
  <c r="D39" i="14" s="1"/>
  <c r="C38" i="14"/>
  <c r="D38" i="14" s="1" a="1"/>
  <c r="D38" i="14" s="1"/>
  <c r="C37" i="14"/>
  <c r="D37" i="14" s="1" a="1"/>
  <c r="D37" i="14" s="1"/>
  <c r="C36" i="14"/>
  <c r="D36" i="14" s="1" a="1"/>
  <c r="D36" i="14" s="1"/>
  <c r="C35" i="14"/>
  <c r="D35" i="14" s="1" a="1"/>
  <c r="D35" i="14" s="1"/>
  <c r="C34" i="14"/>
  <c r="D34" i="14" s="1" a="1"/>
  <c r="D34" i="14" s="1"/>
  <c r="C33" i="14"/>
  <c r="D33" i="14" s="1" a="1"/>
  <c r="D33" i="14" s="1"/>
  <c r="C32" i="14"/>
  <c r="D32" i="14" s="1" a="1"/>
  <c r="D32" i="14" s="1"/>
  <c r="C31" i="14"/>
  <c r="D31" i="14" s="1" a="1"/>
  <c r="D31" i="14" s="1"/>
  <c r="C30" i="14"/>
  <c r="D30" i="14" s="1" a="1"/>
  <c r="D30" i="14" s="1"/>
  <c r="C29" i="14"/>
  <c r="D29" i="14" s="1" a="1"/>
  <c r="D29" i="14" s="1"/>
  <c r="C28" i="14"/>
  <c r="D28" i="14" s="1" a="1"/>
  <c r="D28" i="14" s="1"/>
  <c r="C27" i="14"/>
  <c r="D27" i="14" s="1" a="1"/>
  <c r="D27" i="14" s="1"/>
  <c r="C26" i="14"/>
  <c r="D26" i="14" s="1" a="1"/>
  <c r="D26" i="14" s="1"/>
  <c r="C25" i="14"/>
  <c r="D25" i="14" s="1" a="1"/>
  <c r="D25" i="14" s="1"/>
  <c r="C24" i="14"/>
  <c r="D24" i="14" s="1" a="1"/>
  <c r="D24" i="14" s="1"/>
  <c r="C23" i="14"/>
  <c r="D23" i="14" s="1" a="1"/>
  <c r="D23" i="14" s="1"/>
  <c r="C22" i="14"/>
  <c r="D22" i="14" s="1" a="1"/>
  <c r="D22" i="14" s="1"/>
  <c r="C21" i="14"/>
  <c r="D21" i="14" s="1" a="1"/>
  <c r="D21" i="14" s="1"/>
  <c r="C20" i="14"/>
  <c r="D20" i="14" s="1" a="1"/>
  <c r="D20" i="14" s="1"/>
  <c r="C19" i="14"/>
  <c r="D19" i="14" s="1" a="1"/>
  <c r="D19" i="14" s="1"/>
  <c r="C18" i="14"/>
  <c r="D18" i="14" s="1" a="1"/>
  <c r="D18" i="14" s="1"/>
  <c r="C17" i="14"/>
  <c r="D17" i="14" s="1" a="1"/>
  <c r="D17" i="14" s="1"/>
  <c r="C16" i="14"/>
  <c r="D16" i="14" s="1" a="1"/>
  <c r="D16" i="14" s="1"/>
  <c r="C15" i="14"/>
  <c r="D15" i="14" s="1" a="1"/>
  <c r="D15" i="14" s="1"/>
  <c r="C14" i="14"/>
  <c r="D14" i="14" s="1" a="1"/>
  <c r="D14" i="14" s="1"/>
  <c r="C13" i="14"/>
  <c r="D13" i="14" s="1" a="1"/>
  <c r="D13" i="14" s="1"/>
  <c r="C12" i="14"/>
  <c r="D12" i="14" s="1" a="1"/>
  <c r="D12" i="14" s="1"/>
  <c r="C11" i="14"/>
  <c r="D11" i="14" s="1" a="1"/>
  <c r="D11" i="14" s="1"/>
  <c r="C10" i="14"/>
  <c r="D10" i="14" s="1" a="1"/>
  <c r="D10" i="14" s="1"/>
  <c r="C9" i="14"/>
  <c r="D9" i="14" s="1" a="1"/>
  <c r="D9" i="14" s="1"/>
  <c r="C8" i="14"/>
  <c r="D8" i="14" s="1" a="1"/>
  <c r="D8" i="14" s="1"/>
  <c r="C7" i="14"/>
  <c r="D7" i="14" s="1" a="1"/>
  <c r="D7" i="14" s="1"/>
  <c r="C6" i="14"/>
  <c r="D6" i="14" s="1" a="1"/>
  <c r="D6" i="14" s="1"/>
  <c r="C5" i="14"/>
  <c r="D5" i="14" s="1" a="1"/>
  <c r="D5" i="14" s="1"/>
  <c r="Z4" i="14"/>
  <c r="D4" i="14" a="1"/>
  <c r="D4" i="14" s="1"/>
  <c r="H13" i="2" l="1"/>
  <c r="H15" i="2"/>
  <c r="I15" i="2" s="1"/>
  <c r="J15" i="2" s="1"/>
  <c r="T23" i="11"/>
  <c r="S23" i="11"/>
  <c r="E23" i="11"/>
  <c r="D23" i="11"/>
  <c r="AM22" i="11"/>
  <c r="AI22" i="11"/>
  <c r="AH22" i="11"/>
  <c r="X22" i="11"/>
  <c r="U22" i="11"/>
  <c r="I22" i="11"/>
  <c r="F22" i="11"/>
  <c r="AI21" i="11"/>
  <c r="AH21" i="11"/>
  <c r="U21" i="11"/>
  <c r="W21" i="11" s="1"/>
  <c r="X21" i="11" s="1"/>
  <c r="F21" i="11"/>
  <c r="H21" i="11" s="1"/>
  <c r="I21" i="11" s="1"/>
  <c r="AI20" i="11"/>
  <c r="AH20" i="11"/>
  <c r="U20" i="11"/>
  <c r="W20" i="11" s="1"/>
  <c r="X20" i="11" s="1"/>
  <c r="F20" i="11"/>
  <c r="H20" i="11" s="1"/>
  <c r="I20" i="11" s="1"/>
  <c r="AI19" i="11"/>
  <c r="AH19" i="11"/>
  <c r="U19" i="11"/>
  <c r="W19" i="11" s="1"/>
  <c r="X19" i="11" s="1"/>
  <c r="F19" i="11"/>
  <c r="H19" i="11" s="1"/>
  <c r="I19" i="11" s="1"/>
  <c r="AI18" i="11"/>
  <c r="AH18" i="11"/>
  <c r="U18" i="11"/>
  <c r="W18" i="11" s="1"/>
  <c r="X18" i="11" s="1"/>
  <c r="F18" i="11"/>
  <c r="H18" i="11" s="1"/>
  <c r="I18" i="11" s="1"/>
  <c r="AI17" i="11"/>
  <c r="AH17" i="11"/>
  <c r="U17" i="11"/>
  <c r="W17" i="11" s="1"/>
  <c r="X17" i="11" s="1"/>
  <c r="F17" i="11"/>
  <c r="H17" i="11" s="1"/>
  <c r="I17" i="11" s="1"/>
  <c r="AI16" i="11"/>
  <c r="AH16" i="11"/>
  <c r="U16" i="11"/>
  <c r="W16" i="11" s="1"/>
  <c r="X16" i="11" s="1"/>
  <c r="F16" i="11"/>
  <c r="H16" i="11" s="1"/>
  <c r="I16" i="11" s="1"/>
  <c r="AI15" i="11"/>
  <c r="AH15" i="11"/>
  <c r="U15" i="11"/>
  <c r="W15" i="11" s="1"/>
  <c r="X15" i="11" s="1"/>
  <c r="F15" i="11"/>
  <c r="H15" i="11" s="1"/>
  <c r="I15" i="11" s="1"/>
  <c r="AI14" i="11"/>
  <c r="AH14" i="11"/>
  <c r="U14" i="11"/>
  <c r="W14" i="11" s="1"/>
  <c r="X14" i="11" s="1"/>
  <c r="F14" i="11"/>
  <c r="H14" i="11" s="1"/>
  <c r="I14" i="11" s="1"/>
  <c r="AI13" i="11"/>
  <c r="AH13" i="11"/>
  <c r="U13" i="11"/>
  <c r="W13" i="11" s="1"/>
  <c r="X13" i="11" s="1"/>
  <c r="F13" i="11"/>
  <c r="H13" i="11" s="1"/>
  <c r="I13" i="11" s="1"/>
  <c r="AI12" i="11"/>
  <c r="AH12" i="11"/>
  <c r="U12" i="11"/>
  <c r="W12" i="11" s="1"/>
  <c r="X12" i="11" s="1"/>
  <c r="F12" i="11"/>
  <c r="H12" i="11" s="1"/>
  <c r="I12" i="11" s="1"/>
  <c r="AI11" i="11"/>
  <c r="AH11" i="11"/>
  <c r="U11" i="11"/>
  <c r="W11" i="11" s="1"/>
  <c r="X11" i="11" s="1"/>
  <c r="F11" i="11"/>
  <c r="H11" i="11" s="1"/>
  <c r="I11" i="11" s="1"/>
  <c r="AI10" i="11"/>
  <c r="AH10" i="11"/>
  <c r="U10" i="11"/>
  <c r="W10" i="11" s="1"/>
  <c r="X10" i="11" s="1"/>
  <c r="F10" i="11"/>
  <c r="H10" i="11" s="1"/>
  <c r="I10" i="11" s="1"/>
  <c r="AI9" i="11"/>
  <c r="AH9" i="11"/>
  <c r="U9" i="11"/>
  <c r="W9" i="11" s="1"/>
  <c r="X9" i="11" s="1"/>
  <c r="F9" i="11"/>
  <c r="H9" i="11" s="1"/>
  <c r="I9" i="11" s="1"/>
  <c r="AI8" i="11"/>
  <c r="AH8" i="11"/>
  <c r="U8" i="11"/>
  <c r="W8" i="11" s="1"/>
  <c r="X8" i="11" s="1"/>
  <c r="F8" i="11"/>
  <c r="H8" i="11" s="1"/>
  <c r="I8" i="11" s="1"/>
  <c r="AI7" i="11"/>
  <c r="AH7" i="11"/>
  <c r="U7" i="11"/>
  <c r="W7" i="11" s="1"/>
  <c r="X7" i="11" s="1"/>
  <c r="F7" i="11"/>
  <c r="H7" i="11" s="1"/>
  <c r="I7" i="11" s="1"/>
  <c r="AI6" i="11"/>
  <c r="AH6" i="11"/>
  <c r="U6" i="11"/>
  <c r="W6" i="11" s="1"/>
  <c r="X6" i="11" s="1"/>
  <c r="F6" i="11"/>
  <c r="H6" i="11" s="1"/>
  <c r="I6" i="11" s="1"/>
  <c r="AI5" i="11"/>
  <c r="AH5" i="11"/>
  <c r="U5" i="11"/>
  <c r="W5" i="11" s="1"/>
  <c r="X5" i="11" s="1"/>
  <c r="F5" i="11"/>
  <c r="H5" i="11" s="1"/>
  <c r="I5" i="11" s="1"/>
  <c r="AI4" i="11"/>
  <c r="AH4" i="11"/>
  <c r="U4" i="11"/>
  <c r="W4" i="11" s="1"/>
  <c r="X4" i="11" s="1"/>
  <c r="Y5" i="11" s="1"/>
  <c r="F4" i="11"/>
  <c r="H4" i="11" s="1"/>
  <c r="I4" i="11" s="1"/>
  <c r="J5" i="11" s="1"/>
  <c r="AJ12" i="11" l="1"/>
  <c r="AM12" i="11" s="1"/>
  <c r="AJ16" i="11"/>
  <c r="E19" i="16" s="1"/>
  <c r="AJ17" i="11"/>
  <c r="E24" i="14" s="1"/>
  <c r="AJ20" i="11"/>
  <c r="AJ4" i="11"/>
  <c r="AM4" i="11" s="1"/>
  <c r="AN5" i="11" s="1"/>
  <c r="AJ6" i="11"/>
  <c r="AM6" i="11" s="1"/>
  <c r="E24" i="11"/>
  <c r="AJ7" i="11"/>
  <c r="AM7" i="11" s="1"/>
  <c r="AJ8" i="11"/>
  <c r="AM8" i="11" s="1"/>
  <c r="AJ9" i="11"/>
  <c r="AM9" i="11" s="1"/>
  <c r="AJ13" i="11"/>
  <c r="E6" i="16" s="1"/>
  <c r="AJ21" i="11"/>
  <c r="E45" i="14" s="1"/>
  <c r="AJ5" i="11"/>
  <c r="AM5" i="11" s="1"/>
  <c r="AN6" i="11" s="1"/>
  <c r="AO5" i="11" s="1"/>
  <c r="AI23" i="11"/>
  <c r="AJ10" i="11"/>
  <c r="AM10" i="11" s="1"/>
  <c r="AJ11" i="11"/>
  <c r="AM11" i="11" s="1"/>
  <c r="AJ14" i="11"/>
  <c r="AJ15" i="11"/>
  <c r="AJ18" i="11"/>
  <c r="AJ19" i="11"/>
  <c r="AJ22" i="11"/>
  <c r="AH24" i="11"/>
  <c r="AI24" i="11"/>
  <c r="Z4" i="11"/>
  <c r="AA4" i="11" s="1"/>
  <c r="Y6" i="11"/>
  <c r="Z5" i="11" s="1"/>
  <c r="AO4" i="11"/>
  <c r="AP4" i="11" s="1"/>
  <c r="J6" i="11"/>
  <c r="K5" i="11" s="1"/>
  <c r="K4" i="11"/>
  <c r="L4" i="11" s="1"/>
  <c r="AH23" i="11"/>
  <c r="E26" i="16" l="1"/>
  <c r="E24" i="16"/>
  <c r="E22" i="16"/>
  <c r="AM17" i="11"/>
  <c r="E25" i="16"/>
  <c r="E22" i="14"/>
  <c r="E25" i="14"/>
  <c r="E23" i="16"/>
  <c r="E42" i="16"/>
  <c r="E43" i="16"/>
  <c r="E26" i="14"/>
  <c r="E18" i="16"/>
  <c r="E21" i="16"/>
  <c r="AM13" i="11"/>
  <c r="E6" i="14"/>
  <c r="E5" i="14"/>
  <c r="Y5" i="14" s="1"/>
  <c r="E5" i="16"/>
  <c r="Y5" i="16" s="1"/>
  <c r="E23" i="14"/>
  <c r="E37" i="16"/>
  <c r="E43" i="14"/>
  <c r="E46" i="16"/>
  <c r="E39" i="14"/>
  <c r="E44" i="14"/>
  <c r="AM21" i="11"/>
  <c r="E45" i="16"/>
  <c r="E44" i="16"/>
  <c r="E42" i="14"/>
  <c r="E17" i="16"/>
  <c r="E20" i="14"/>
  <c r="E19" i="14"/>
  <c r="E21" i="14"/>
  <c r="AM16" i="11"/>
  <c r="E20" i="16"/>
  <c r="E17" i="14"/>
  <c r="E18" i="14"/>
  <c r="E4" i="14"/>
  <c r="E41" i="14"/>
  <c r="E41" i="16"/>
  <c r="E40" i="14"/>
  <c r="E37" i="14"/>
  <c r="E38" i="14"/>
  <c r="E39" i="16"/>
  <c r="E40" i="16"/>
  <c r="E38" i="16"/>
  <c r="AM20" i="11"/>
  <c r="E46" i="14"/>
  <c r="E4" i="16"/>
  <c r="AM19" i="11"/>
  <c r="E32" i="16"/>
  <c r="E35" i="14"/>
  <c r="E34" i="14"/>
  <c r="E36" i="14"/>
  <c r="E33" i="14"/>
  <c r="E34" i="16"/>
  <c r="E35" i="16"/>
  <c r="E36" i="16"/>
  <c r="E33" i="16"/>
  <c r="E32" i="14"/>
  <c r="AM15" i="11"/>
  <c r="E13" i="16"/>
  <c r="E12" i="14"/>
  <c r="E15" i="16"/>
  <c r="E16" i="16"/>
  <c r="E16" i="14"/>
  <c r="E13" i="14"/>
  <c r="E14" i="16"/>
  <c r="E14" i="14"/>
  <c r="E15" i="14"/>
  <c r="E12" i="16"/>
  <c r="AM14" i="11"/>
  <c r="E10" i="14"/>
  <c r="E9" i="14"/>
  <c r="E7" i="14"/>
  <c r="E10" i="16"/>
  <c r="E11" i="14"/>
  <c r="E7" i="16"/>
  <c r="E8" i="16"/>
  <c r="E9" i="16"/>
  <c r="E8" i="14"/>
  <c r="E11" i="16"/>
  <c r="X5" i="16"/>
  <c r="AM18" i="11"/>
  <c r="E28" i="14"/>
  <c r="E31" i="16"/>
  <c r="E30" i="14"/>
  <c r="E29" i="16"/>
  <c r="E27" i="14"/>
  <c r="E29" i="14"/>
  <c r="E27" i="16"/>
  <c r="E28" i="16"/>
  <c r="E31" i="14"/>
  <c r="E30" i="16"/>
  <c r="Y7" i="11"/>
  <c r="Z6" i="11" s="1"/>
  <c r="AA5" i="11"/>
  <c r="J7" i="11"/>
  <c r="K6" i="11" s="1"/>
  <c r="L5" i="11"/>
  <c r="AP5" i="11"/>
  <c r="AN7" i="11"/>
  <c r="AO6" i="11" s="1"/>
  <c r="W5" i="16" l="1"/>
  <c r="AF5" i="16" s="1"/>
  <c r="X5" i="14"/>
  <c r="W5" i="14"/>
  <c r="AF5" i="14" s="1"/>
  <c r="AP6" i="11"/>
  <c r="AN8" i="11"/>
  <c r="L6" i="11"/>
  <c r="J8" i="11"/>
  <c r="K7" i="11" s="1"/>
  <c r="Y8" i="11"/>
  <c r="Z7" i="11" s="1"/>
  <c r="AA6" i="11"/>
  <c r="Y9" i="11" l="1"/>
  <c r="AA7" i="11"/>
  <c r="AN9" i="11"/>
  <c r="AO8" i="11" s="1"/>
  <c r="J9" i="11"/>
  <c r="L7" i="11"/>
  <c r="AO7" i="11"/>
  <c r="AP7" i="11" s="1"/>
  <c r="J10" i="11" l="1"/>
  <c r="K9" i="11" s="1"/>
  <c r="AP8" i="11"/>
  <c r="AN10" i="11"/>
  <c r="AO9" i="11" s="1"/>
  <c r="K8" i="11"/>
  <c r="L8" i="11" s="1"/>
  <c r="Y10" i="11"/>
  <c r="Z8" i="11"/>
  <c r="AA8" i="11" s="1"/>
  <c r="Y11" i="11" l="1"/>
  <c r="Z10" i="11" s="1"/>
  <c r="Z9" i="11"/>
  <c r="AA9" i="11" s="1"/>
  <c r="AN11" i="11"/>
  <c r="AO10" i="11" s="1"/>
  <c r="AP9" i="11"/>
  <c r="L9" i="11"/>
  <c r="J11" i="11"/>
  <c r="K10" i="11" s="1"/>
  <c r="J12" i="11" l="1"/>
  <c r="K11" i="11" s="1"/>
  <c r="L10" i="11"/>
  <c r="Y12" i="11"/>
  <c r="Z11" i="11" s="1"/>
  <c r="AA10" i="11"/>
  <c r="AP10" i="11"/>
  <c r="AN12" i="11"/>
  <c r="AO11" i="11" s="1"/>
  <c r="L11" i="11" l="1"/>
  <c r="J13" i="11"/>
  <c r="K12" i="11" s="1"/>
  <c r="AN13" i="11"/>
  <c r="AO12" i="11" s="1"/>
  <c r="AP11" i="11"/>
  <c r="AA11" i="11"/>
  <c r="Y13" i="11"/>
  <c r="Z12" i="11" s="1"/>
  <c r="Y14" i="11" l="1"/>
  <c r="Z13" i="11" s="1"/>
  <c r="AA12" i="11"/>
  <c r="AP12" i="11"/>
  <c r="AN14" i="11"/>
  <c r="AO13" i="11" s="1"/>
  <c r="J14" i="11"/>
  <c r="K13" i="11" s="1"/>
  <c r="L12" i="11"/>
  <c r="L13" i="11" l="1"/>
  <c r="J15" i="11"/>
  <c r="K14" i="11" s="1"/>
  <c r="AN15" i="11"/>
  <c r="AP13" i="11"/>
  <c r="AA13" i="11"/>
  <c r="Y15" i="11"/>
  <c r="AN16" i="11" l="1"/>
  <c r="AO15" i="11" s="1"/>
  <c r="J16" i="11"/>
  <c r="L14" i="11"/>
  <c r="Y16" i="11"/>
  <c r="Z15" i="11" s="1"/>
  <c r="Z14" i="11"/>
  <c r="AA14" i="11" s="1"/>
  <c r="AO14" i="11"/>
  <c r="AP14" i="11" s="1"/>
  <c r="J17" i="11" l="1"/>
  <c r="K16" i="11" s="1"/>
  <c r="K15" i="11"/>
  <c r="L15" i="11" s="1"/>
  <c r="AA15" i="11"/>
  <c r="Y17" i="11"/>
  <c r="Z16" i="11" s="1"/>
  <c r="AN17" i="11"/>
  <c r="AP15" i="11"/>
  <c r="AN18" i="11" l="1"/>
  <c r="AO17" i="11" s="1"/>
  <c r="Y18" i="11"/>
  <c r="Z17" i="11" s="1"/>
  <c r="AA16" i="11"/>
  <c r="J18" i="11"/>
  <c r="K17" i="11" s="1"/>
  <c r="L16" i="11"/>
  <c r="AO16" i="11"/>
  <c r="AP16" i="11" s="1"/>
  <c r="AA17" i="11" l="1"/>
  <c r="Y19" i="11"/>
  <c r="L17" i="11"/>
  <c r="J19" i="11"/>
  <c r="K18" i="11" s="1"/>
  <c r="AN19" i="11"/>
  <c r="AO18" i="11" s="1"/>
  <c r="AP17" i="11"/>
  <c r="Y20" i="11" l="1"/>
  <c r="Z19" i="11" s="1"/>
  <c r="AP18" i="11"/>
  <c r="AN20" i="11"/>
  <c r="AO19" i="11" s="1"/>
  <c r="Z18" i="11"/>
  <c r="AA18" i="11" s="1"/>
  <c r="J20" i="11"/>
  <c r="L18" i="11"/>
  <c r="J21" i="11" l="1"/>
  <c r="K20" i="11" s="1"/>
  <c r="K19" i="11"/>
  <c r="L19" i="11" s="1"/>
  <c r="AN21" i="11"/>
  <c r="AO20" i="11" s="1"/>
  <c r="AP19" i="11"/>
  <c r="AA19" i="11"/>
  <c r="Y21" i="11"/>
  <c r="Z20" i="11" s="1"/>
  <c r="J22" i="11" l="1"/>
  <c r="K21" i="11" s="1"/>
  <c r="L20" i="11"/>
  <c r="Y22" i="11"/>
  <c r="Z21" i="11" s="1"/>
  <c r="AA20" i="11"/>
  <c r="AP20" i="11"/>
  <c r="AN22" i="11"/>
  <c r="AO22" i="11" l="1"/>
  <c r="AP22" i="11"/>
  <c r="AQ22" i="11" s="1"/>
  <c r="AO21" i="11"/>
  <c r="AP21" i="11" s="1"/>
  <c r="AA22" i="11"/>
  <c r="AB22" i="11" s="1"/>
  <c r="AA21" i="11"/>
  <c r="Z22" i="11"/>
  <c r="K22" i="11"/>
  <c r="L21" i="11"/>
  <c r="L22" i="11"/>
  <c r="M22" i="11" s="1"/>
  <c r="AR22" i="11" l="1"/>
  <c r="AQ21" i="11"/>
  <c r="N22" i="11"/>
  <c r="M21" i="11"/>
  <c r="AC22" i="11"/>
  <c r="AB21" i="11"/>
  <c r="AR21" i="11" l="1"/>
  <c r="AQ20" i="11"/>
  <c r="M20" i="11"/>
  <c r="N21" i="11"/>
  <c r="AB20" i="11"/>
  <c r="AC21" i="11"/>
  <c r="N20" i="11" l="1"/>
  <c r="M19" i="11"/>
  <c r="AQ19" i="11"/>
  <c r="AR20" i="11"/>
  <c r="AC20" i="11"/>
  <c r="AB19" i="11"/>
  <c r="AR19" i="11" l="1"/>
  <c r="AQ18" i="11"/>
  <c r="AB18" i="11"/>
  <c r="AC19" i="11"/>
  <c r="M18" i="11"/>
  <c r="N19" i="11"/>
  <c r="AC18" i="11" l="1"/>
  <c r="AB17" i="11"/>
  <c r="AQ17" i="11"/>
  <c r="AR18" i="11"/>
  <c r="N18" i="11"/>
  <c r="M17" i="11"/>
  <c r="AR17" i="11" l="1"/>
  <c r="AQ16" i="11"/>
  <c r="M16" i="11"/>
  <c r="N17" i="11"/>
  <c r="AB16" i="11"/>
  <c r="AC17" i="11"/>
  <c r="AC16" i="11" l="1"/>
  <c r="AB15" i="11"/>
  <c r="N16" i="11"/>
  <c r="M15" i="11"/>
  <c r="AQ15" i="11"/>
  <c r="AR16" i="11"/>
  <c r="M14" i="11" l="1"/>
  <c r="N15" i="11"/>
  <c r="AB14" i="11"/>
  <c r="AC15" i="11"/>
  <c r="AR15" i="11"/>
  <c r="AQ14" i="11"/>
  <c r="AC14" i="11" l="1"/>
  <c r="AB13" i="11"/>
  <c r="AQ13" i="11"/>
  <c r="AR14" i="11"/>
  <c r="N14" i="11"/>
  <c r="M13" i="11"/>
  <c r="AR13" i="11" l="1"/>
  <c r="AQ12" i="11"/>
  <c r="M12" i="11"/>
  <c r="N13" i="11"/>
  <c r="AB12" i="11"/>
  <c r="AC13" i="11"/>
  <c r="N12" i="11" l="1"/>
  <c r="M11" i="11"/>
  <c r="AQ11" i="11"/>
  <c r="AR12" i="11"/>
  <c r="AC12" i="11"/>
  <c r="AB11" i="11"/>
  <c r="AR11" i="11" l="1"/>
  <c r="AQ10" i="11"/>
  <c r="M10" i="11"/>
  <c r="N11" i="11"/>
  <c r="AB10" i="11"/>
  <c r="AC11" i="11"/>
  <c r="N10" i="11" l="1"/>
  <c r="M9" i="11"/>
  <c r="AQ9" i="11"/>
  <c r="AR10" i="11"/>
  <c r="AC10" i="11"/>
  <c r="AB9" i="11"/>
  <c r="AR9" i="11" l="1"/>
  <c r="AQ8" i="11"/>
  <c r="AB8" i="11"/>
  <c r="AC9" i="11"/>
  <c r="M8" i="11"/>
  <c r="N9" i="11"/>
  <c r="AB7" i="11" l="1"/>
  <c r="AC8" i="11"/>
  <c r="AR8" i="11"/>
  <c r="AQ7" i="11"/>
  <c r="M7" i="11"/>
  <c r="N8" i="11"/>
  <c r="AQ6" i="11" l="1"/>
  <c r="AR7" i="11"/>
  <c r="N7" i="11"/>
  <c r="M6" i="11"/>
  <c r="AC7" i="11"/>
  <c r="AB6" i="11"/>
  <c r="AB5" i="11" l="1"/>
  <c r="AC6" i="11"/>
  <c r="M5" i="11"/>
  <c r="N6" i="11"/>
  <c r="AR6" i="11"/>
  <c r="AQ5" i="11"/>
  <c r="N5" i="11" l="1"/>
  <c r="M4" i="11"/>
  <c r="N4" i="11" s="1"/>
  <c r="AQ4" i="11"/>
  <c r="AR4" i="11" s="1"/>
  <c r="AR5" i="11"/>
  <c r="AC5" i="11"/>
  <c r="AB4" i="11"/>
  <c r="AC4" i="11" s="1"/>
  <c r="H19" i="10" l="1"/>
  <c r="P18" i="10" l="1"/>
  <c r="O18" i="10"/>
  <c r="Q18" i="10" l="1"/>
  <c r="G23" i="2"/>
  <c r="I23" i="2" s="1"/>
  <c r="J23" i="2" s="1"/>
  <c r="I44" i="2"/>
  <c r="G22" i="2"/>
  <c r="I22" i="2" s="1"/>
  <c r="J22" i="2" s="1"/>
  <c r="I45" i="2" l="1"/>
  <c r="J45" i="2" s="1"/>
  <c r="J44" i="2"/>
  <c r="F44" i="2" s="1"/>
  <c r="F45" i="2" l="1"/>
  <c r="F22" i="2"/>
  <c r="I68" i="2"/>
  <c r="I69" i="2"/>
  <c r="I67" i="2"/>
  <c r="J68" i="2" l="1"/>
  <c r="F68" i="2" s="1"/>
  <c r="J67" i="2"/>
  <c r="L67" i="2" s="1"/>
  <c r="J69" i="2"/>
  <c r="K69" i="2" s="1"/>
  <c r="B22" i="2"/>
  <c r="F23" i="2"/>
  <c r="B23" i="2" s="1"/>
  <c r="B68" i="2" l="1"/>
  <c r="AM5" i="18" s="1"/>
  <c r="AR5" i="18" s="1"/>
  <c r="K68" i="2"/>
  <c r="L69" i="2"/>
  <c r="L68" i="2"/>
  <c r="F67" i="2"/>
  <c r="K67" i="2"/>
  <c r="F69" i="2"/>
  <c r="B69" i="2" s="1"/>
  <c r="B67" i="2" l="1"/>
  <c r="AJ4" i="16" s="1"/>
  <c r="AN4" i="16"/>
  <c r="AN5" i="18"/>
  <c r="AS5" i="18" s="1"/>
  <c r="AN4" i="14"/>
  <c r="AL5" i="18" l="1"/>
  <c r="AQ5" i="18" s="1"/>
  <c r="AJ4" i="14"/>
  <c r="O16" i="10"/>
  <c r="N15" i="10"/>
  <c r="M14" i="10"/>
  <c r="O14" i="10"/>
  <c r="N14" i="10"/>
  <c r="O15" i="10"/>
  <c r="P15" i="10" l="1"/>
  <c r="P14" i="10"/>
  <c r="P16" i="10"/>
  <c r="H16" i="10"/>
  <c r="H15" i="10"/>
  <c r="H14" i="10"/>
  <c r="I33" i="2" l="1"/>
  <c r="K14" i="10"/>
  <c r="I36" i="2"/>
  <c r="I14" i="2"/>
  <c r="J14" i="2" s="1"/>
  <c r="L15" i="10"/>
  <c r="I13" i="2" s="1"/>
  <c r="J13" i="2" s="1"/>
  <c r="I39" i="2"/>
  <c r="M16" i="10"/>
  <c r="I16" i="2" s="1"/>
  <c r="J16" i="2" s="1"/>
  <c r="I17" i="2"/>
  <c r="J17" i="2" s="1"/>
  <c r="I10" i="2" l="1"/>
  <c r="J10" i="2" s="1"/>
  <c r="I11" i="2"/>
  <c r="J11" i="2" s="1"/>
  <c r="Q16" i="10"/>
  <c r="I38" i="2"/>
  <c r="J33" i="2"/>
  <c r="F33" i="2" s="1"/>
  <c r="I32" i="2"/>
  <c r="J36" i="2"/>
  <c r="L36" i="2" s="1"/>
  <c r="J39" i="2"/>
  <c r="F39" i="2" s="1"/>
  <c r="B39" i="2" s="1"/>
  <c r="I40" i="2"/>
  <c r="Q14" i="10"/>
  <c r="I34" i="2"/>
  <c r="I37" i="2"/>
  <c r="I35" i="2"/>
  <c r="Q15" i="10"/>
  <c r="F11" i="2" l="1"/>
  <c r="F10" i="2" s="1"/>
  <c r="B33" i="2"/>
  <c r="F17" i="2"/>
  <c r="F16" i="2" s="1"/>
  <c r="J40" i="2"/>
  <c r="L40" i="2" s="1"/>
  <c r="J37" i="2"/>
  <c r="K37" i="2" s="1"/>
  <c r="J34" i="2"/>
  <c r="K34" i="2" s="1"/>
  <c r="K33" i="2"/>
  <c r="L33" i="2"/>
  <c r="J38" i="2"/>
  <c r="L38" i="2" s="1"/>
  <c r="K39" i="2"/>
  <c r="L39" i="2"/>
  <c r="K36" i="2"/>
  <c r="J32" i="2"/>
  <c r="L32" i="2" s="1"/>
  <c r="F36" i="2"/>
  <c r="B36" i="2" s="1"/>
  <c r="F38" i="2"/>
  <c r="B38" i="2" s="1"/>
  <c r="F32" i="2"/>
  <c r="J35" i="2"/>
  <c r="L35" i="2" s="1"/>
  <c r="B44" i="2"/>
  <c r="B32" i="2" l="1"/>
  <c r="B11" i="2"/>
  <c r="B17" i="2"/>
  <c r="S5" i="14" s="1"/>
  <c r="F14" i="2"/>
  <c r="F13" i="2" s="1"/>
  <c r="K40" i="2"/>
  <c r="K38" i="2"/>
  <c r="L37" i="2"/>
  <c r="L34" i="2"/>
  <c r="K32" i="2"/>
  <c r="K35" i="2"/>
  <c r="F35" i="2"/>
  <c r="B35" i="2" s="1"/>
  <c r="B10" i="2"/>
  <c r="B16" i="2"/>
  <c r="R5" i="14"/>
  <c r="O5" i="14"/>
  <c r="B40" i="2"/>
  <c r="B37" i="2"/>
  <c r="AL4" i="16"/>
  <c r="AS4" i="16"/>
  <c r="AS4" i="14"/>
  <c r="AL4" i="14"/>
  <c r="B45" i="2"/>
  <c r="B14" i="2" l="1"/>
  <c r="P5" i="14" s="1"/>
  <c r="K5" i="14"/>
  <c r="AB5" i="14" s="1"/>
  <c r="P5" i="16"/>
  <c r="G5" i="18"/>
  <c r="O5" i="16"/>
  <c r="H5" i="18"/>
  <c r="S5" i="16"/>
  <c r="J5" i="18"/>
  <c r="N5" i="16"/>
  <c r="F5" i="18"/>
  <c r="R5" i="16"/>
  <c r="K5" i="18"/>
  <c r="Q5" i="16"/>
  <c r="I5" i="18"/>
  <c r="Q5" i="14"/>
  <c r="B13" i="2"/>
  <c r="AD5" i="14" l="1"/>
  <c r="AD5" i="16"/>
  <c r="K6" i="14"/>
  <c r="AB6" i="14" s="1"/>
  <c r="N5" i="14"/>
  <c r="S6" i="16"/>
  <c r="R6" i="16"/>
  <c r="Q6" i="16"/>
  <c r="AM5" i="16"/>
  <c r="AN5" i="16" s="1"/>
  <c r="R6" i="14"/>
  <c r="AM5" i="14"/>
  <c r="AN5" i="14" s="1"/>
  <c r="Q6" i="14"/>
  <c r="S6" i="14"/>
  <c r="K7" i="14" l="1"/>
  <c r="AB7" i="14" s="1"/>
  <c r="BI5" i="18"/>
  <c r="BJ7" i="18"/>
  <c r="BJ5" i="18" s="1"/>
  <c r="K8" i="14" l="1"/>
  <c r="AB8" i="14" s="1"/>
  <c r="L5" i="14"/>
  <c r="M5" i="14"/>
  <c r="AC5" i="14" s="1"/>
  <c r="K9" i="14" l="1"/>
  <c r="AB9" i="14" s="1"/>
  <c r="K5" i="16"/>
  <c r="AB5" i="16" s="1"/>
  <c r="C5" i="18"/>
  <c r="AK5" i="14"/>
  <c r="B34" i="2"/>
  <c r="P6" i="14"/>
  <c r="AD6" i="14" s="1"/>
  <c r="N6" i="14"/>
  <c r="O6" i="14"/>
  <c r="B32" i="22" l="1"/>
  <c r="K10" i="14"/>
  <c r="AB10" i="14" s="1"/>
  <c r="AI5" i="16"/>
  <c r="AJ5" i="16" s="1"/>
  <c r="K6" i="16"/>
  <c r="AB6" i="16" s="1"/>
  <c r="M5" i="16"/>
  <c r="AC5" i="16" s="1"/>
  <c r="D5" i="18"/>
  <c r="L5" i="16"/>
  <c r="E5" i="18"/>
  <c r="AM6" i="14"/>
  <c r="AN6" i="14" s="1"/>
  <c r="AL5" i="14"/>
  <c r="L6" i="16"/>
  <c r="M6" i="16"/>
  <c r="R7" i="14"/>
  <c r="Q7" i="14"/>
  <c r="S7" i="14"/>
  <c r="K11" i="14" l="1"/>
  <c r="AB11" i="14" s="1"/>
  <c r="AI6" i="16"/>
  <c r="AJ6" i="16" s="1"/>
  <c r="P6" i="16"/>
  <c r="AD6" i="16" s="1"/>
  <c r="M7" i="16"/>
  <c r="K7" i="16"/>
  <c r="AB7" i="16" s="1"/>
  <c r="L7" i="16"/>
  <c r="O6" i="16"/>
  <c r="AK5" i="16"/>
  <c r="AL5" i="16" s="1"/>
  <c r="N6" i="16"/>
  <c r="AC6" i="16" s="1"/>
  <c r="AI5" i="14"/>
  <c r="AI6" i="14"/>
  <c r="M6" i="14"/>
  <c r="AC6" i="14" s="1"/>
  <c r="L6" i="14"/>
  <c r="K12" i="14" l="1"/>
  <c r="AB12" i="14" s="1"/>
  <c r="K8" i="16"/>
  <c r="AB8" i="16" s="1"/>
  <c r="S7" i="16"/>
  <c r="Q7" i="16"/>
  <c r="AM6" i="16"/>
  <c r="AN6" i="16" s="1"/>
  <c r="R7" i="16"/>
  <c r="AI7" i="16"/>
  <c r="AJ7" i="16" s="1"/>
  <c r="L8" i="16"/>
  <c r="M8" i="16"/>
  <c r="P7" i="16"/>
  <c r="N7" i="16"/>
  <c r="AC7" i="16" s="1"/>
  <c r="O7" i="16"/>
  <c r="AK6" i="16"/>
  <c r="AL6" i="16" s="1"/>
  <c r="AJ5" i="14"/>
  <c r="AK6" i="14"/>
  <c r="M7" i="14"/>
  <c r="AI7" i="14"/>
  <c r="L7" i="14"/>
  <c r="O7" i="14"/>
  <c r="N7" i="14"/>
  <c r="P7" i="14"/>
  <c r="AD7" i="14" s="1"/>
  <c r="AJ6" i="14"/>
  <c r="AC7" i="14" l="1"/>
  <c r="AD7" i="16"/>
  <c r="K13" i="14"/>
  <c r="AB13" i="14" s="1"/>
  <c r="R8" i="16"/>
  <c r="L9" i="16"/>
  <c r="K9" i="16"/>
  <c r="AB9" i="16" s="1"/>
  <c r="AI8" i="16"/>
  <c r="AJ8" i="16" s="1"/>
  <c r="M9" i="16"/>
  <c r="S8" i="16"/>
  <c r="AM7" i="16"/>
  <c r="AN7" i="16" s="1"/>
  <c r="Q8" i="16"/>
  <c r="O8" i="16"/>
  <c r="N8" i="16"/>
  <c r="AC8" i="16" s="1"/>
  <c r="P8" i="16"/>
  <c r="AK7" i="16"/>
  <c r="AL7" i="16" s="1"/>
  <c r="AM7" i="14"/>
  <c r="AN7" i="14" s="1"/>
  <c r="AL6" i="14"/>
  <c r="M8" i="14"/>
  <c r="L8" i="14"/>
  <c r="R8" i="14"/>
  <c r="Q8" i="14"/>
  <c r="S8" i="14"/>
  <c r="AI8" i="14"/>
  <c r="AK7" i="14"/>
  <c r="AL7" i="14" s="1"/>
  <c r="N8" i="14"/>
  <c r="O8" i="14"/>
  <c r="P8" i="14"/>
  <c r="AJ7" i="14"/>
  <c r="AC8" i="14" l="1"/>
  <c r="AD8" i="16"/>
  <c r="AD8" i="14"/>
  <c r="K14" i="14"/>
  <c r="B44" i="22"/>
  <c r="N9" i="16"/>
  <c r="AC9" i="16" s="1"/>
  <c r="L10" i="16"/>
  <c r="AI9" i="16"/>
  <c r="AJ9" i="16" s="1"/>
  <c r="K10" i="16"/>
  <c r="AB10" i="16" s="1"/>
  <c r="M10" i="16"/>
  <c r="R9" i="16"/>
  <c r="AK8" i="16"/>
  <c r="AL8" i="16" s="1"/>
  <c r="Q9" i="16"/>
  <c r="D44" i="22" s="1"/>
  <c r="AM8" i="16"/>
  <c r="AN8" i="16" s="1"/>
  <c r="P9" i="16"/>
  <c r="S9" i="16"/>
  <c r="O9" i="16"/>
  <c r="AK8" i="14"/>
  <c r="AL8" i="14" s="1"/>
  <c r="R9" i="14"/>
  <c r="AI9" i="14"/>
  <c r="L9" i="14"/>
  <c r="M9" i="14"/>
  <c r="P9" i="14"/>
  <c r="N9" i="14"/>
  <c r="C32" i="22" s="1"/>
  <c r="O9" i="14"/>
  <c r="AM8" i="14"/>
  <c r="AN8" i="14" s="1"/>
  <c r="S9" i="14"/>
  <c r="Q9" i="14"/>
  <c r="D32" i="22" s="1"/>
  <c r="AJ8" i="14"/>
  <c r="AC9" i="14" l="1"/>
  <c r="K15" i="14"/>
  <c r="AB15" i="14" s="1"/>
  <c r="AB14" i="14"/>
  <c r="AD9" i="14"/>
  <c r="AD9" i="16"/>
  <c r="B33" i="22"/>
  <c r="C44" i="22"/>
  <c r="AI10" i="16"/>
  <c r="AJ10" i="16" s="1"/>
  <c r="L11" i="16"/>
  <c r="M11" i="16"/>
  <c r="K11" i="16"/>
  <c r="AB11" i="16" s="1"/>
  <c r="AK9" i="16"/>
  <c r="AL9" i="16" s="1"/>
  <c r="P10" i="16"/>
  <c r="R10" i="16"/>
  <c r="N10" i="16"/>
  <c r="AC10" i="16" s="1"/>
  <c r="O10" i="16"/>
  <c r="AM9" i="16"/>
  <c r="AN9" i="16" s="1"/>
  <c r="S10" i="16"/>
  <c r="Q10" i="16"/>
  <c r="AI10" i="14"/>
  <c r="AK9" i="14"/>
  <c r="AL9" i="14" s="1"/>
  <c r="M10" i="14"/>
  <c r="L10" i="14"/>
  <c r="N10" i="14"/>
  <c r="O10" i="14"/>
  <c r="P10" i="14"/>
  <c r="AM9" i="14"/>
  <c r="AN9" i="14" s="1"/>
  <c r="S10" i="14"/>
  <c r="Q10" i="14"/>
  <c r="R10" i="14"/>
  <c r="AJ9" i="14"/>
  <c r="K16" i="14" l="1"/>
  <c r="AB16" i="14" s="1"/>
  <c r="AD10" i="14"/>
  <c r="AC10" i="14"/>
  <c r="AD10" i="16"/>
  <c r="AI11" i="16"/>
  <c r="AJ11" i="16" s="1"/>
  <c r="M12" i="16"/>
  <c r="K12" i="16"/>
  <c r="AB12" i="16" s="1"/>
  <c r="L12" i="16"/>
  <c r="Q11" i="16"/>
  <c r="P11" i="16"/>
  <c r="N11" i="16"/>
  <c r="AC11" i="16" s="1"/>
  <c r="O11" i="16"/>
  <c r="AK10" i="16"/>
  <c r="AL10" i="16" s="1"/>
  <c r="S11" i="16"/>
  <c r="R11" i="16"/>
  <c r="AM10" i="16"/>
  <c r="AN10" i="16" s="1"/>
  <c r="L11" i="14"/>
  <c r="M11" i="14"/>
  <c r="AI11" i="14"/>
  <c r="AK10" i="14"/>
  <c r="AL10" i="14" s="1"/>
  <c r="P11" i="14"/>
  <c r="N11" i="14"/>
  <c r="O11" i="14"/>
  <c r="AM10" i="14"/>
  <c r="AN10" i="14" s="1"/>
  <c r="Q11" i="14"/>
  <c r="R11" i="14"/>
  <c r="S11" i="14"/>
  <c r="AJ10" i="14"/>
  <c r="K17" i="14" l="1"/>
  <c r="AB17" i="14" s="1"/>
  <c r="AC11" i="14"/>
  <c r="AD11" i="16"/>
  <c r="AD11" i="14"/>
  <c r="AI12" i="16"/>
  <c r="AJ12" i="16" s="1"/>
  <c r="L13" i="16"/>
  <c r="K13" i="16"/>
  <c r="AB13" i="16" s="1"/>
  <c r="M13" i="16"/>
  <c r="AM11" i="16"/>
  <c r="AN11" i="16" s="1"/>
  <c r="R12" i="16"/>
  <c r="S12" i="16"/>
  <c r="Q12" i="16"/>
  <c r="O12" i="16"/>
  <c r="N12" i="16"/>
  <c r="AC12" i="16" s="1"/>
  <c r="P12" i="16"/>
  <c r="AK11" i="16"/>
  <c r="AL11" i="16" s="1"/>
  <c r="M12" i="14"/>
  <c r="AI12" i="14"/>
  <c r="P12" i="14"/>
  <c r="L12" i="14"/>
  <c r="N12" i="14"/>
  <c r="O12" i="14"/>
  <c r="AM11" i="14"/>
  <c r="AN11" i="14" s="1"/>
  <c r="AK11" i="14"/>
  <c r="AL11" i="14" s="1"/>
  <c r="Q12" i="14"/>
  <c r="R12" i="14"/>
  <c r="S12" i="14"/>
  <c r="AJ11" i="14"/>
  <c r="M18" i="14" l="1"/>
  <c r="K18" i="14"/>
  <c r="AB18" i="14" s="1"/>
  <c r="AD12" i="14"/>
  <c r="AD12" i="16"/>
  <c r="AC12" i="14"/>
  <c r="L14" i="16"/>
  <c r="K14" i="16"/>
  <c r="AB14" i="16" s="1"/>
  <c r="AI13" i="16"/>
  <c r="AJ13" i="16" s="1"/>
  <c r="M14" i="16"/>
  <c r="N13" i="16"/>
  <c r="AC13" i="16" s="1"/>
  <c r="AK12" i="16"/>
  <c r="AL12" i="16" s="1"/>
  <c r="O13" i="16"/>
  <c r="P13" i="16"/>
  <c r="S13" i="16"/>
  <c r="R13" i="16"/>
  <c r="Q13" i="16"/>
  <c r="AM12" i="16"/>
  <c r="AN12" i="16" s="1"/>
  <c r="O13" i="14"/>
  <c r="M13" i="14"/>
  <c r="L13" i="14"/>
  <c r="AI13" i="14"/>
  <c r="AM12" i="14"/>
  <c r="AN12" i="14" s="1"/>
  <c r="AK12" i="14"/>
  <c r="AL12" i="14" s="1"/>
  <c r="P13" i="14"/>
  <c r="N13" i="14"/>
  <c r="S13" i="14"/>
  <c r="R13" i="14"/>
  <c r="Q13" i="14"/>
  <c r="AJ12" i="14"/>
  <c r="K19" i="14" l="1"/>
  <c r="AB19" i="14" s="1"/>
  <c r="AD13" i="16"/>
  <c r="AC13" i="14"/>
  <c r="AD13" i="14"/>
  <c r="B45" i="22"/>
  <c r="K15" i="16"/>
  <c r="AB15" i="16" s="1"/>
  <c r="AI14" i="16"/>
  <c r="AJ14" i="16" s="1"/>
  <c r="M15" i="16"/>
  <c r="L15" i="16"/>
  <c r="O14" i="16"/>
  <c r="N14" i="16"/>
  <c r="C45" i="22" s="1"/>
  <c r="P14" i="16"/>
  <c r="AK13" i="16"/>
  <c r="AL13" i="16" s="1"/>
  <c r="S14" i="16"/>
  <c r="Q14" i="16"/>
  <c r="D45" i="22" s="1"/>
  <c r="R14" i="16"/>
  <c r="AM13" i="16"/>
  <c r="AN13" i="16" s="1"/>
  <c r="AK13" i="14"/>
  <c r="AL13" i="14" s="1"/>
  <c r="L14" i="14"/>
  <c r="M14" i="14"/>
  <c r="AI14" i="14"/>
  <c r="N14" i="14"/>
  <c r="C33" i="22" s="1"/>
  <c r="O14" i="14"/>
  <c r="P14" i="14"/>
  <c r="AM13" i="14"/>
  <c r="AN13" i="14" s="1"/>
  <c r="Q14" i="14"/>
  <c r="D33" i="22" s="1"/>
  <c r="S14" i="14"/>
  <c r="R14" i="14"/>
  <c r="AJ13" i="14"/>
  <c r="B34" i="22" l="1"/>
  <c r="K20" i="14"/>
  <c r="AB20" i="14" s="1"/>
  <c r="AC14" i="16"/>
  <c r="AD14" i="14"/>
  <c r="AC14" i="14"/>
  <c r="AD14" i="16"/>
  <c r="AI15" i="16"/>
  <c r="AJ15" i="16" s="1"/>
  <c r="M16" i="16"/>
  <c r="K16" i="16"/>
  <c r="AB16" i="16" s="1"/>
  <c r="L16" i="16"/>
  <c r="P15" i="16"/>
  <c r="O15" i="16"/>
  <c r="AK14" i="16"/>
  <c r="AL14" i="16" s="1"/>
  <c r="N15" i="16"/>
  <c r="AC15" i="16" s="1"/>
  <c r="Q15" i="16"/>
  <c r="S15" i="16"/>
  <c r="R15" i="16"/>
  <c r="AM14" i="16"/>
  <c r="AN14" i="16" s="1"/>
  <c r="M15" i="14"/>
  <c r="L15" i="14"/>
  <c r="AI15" i="14"/>
  <c r="AK14" i="14"/>
  <c r="AL14" i="14" s="1"/>
  <c r="O15" i="14"/>
  <c r="N15" i="14"/>
  <c r="P15" i="14"/>
  <c r="R15" i="14"/>
  <c r="S15" i="14"/>
  <c r="Q15" i="14"/>
  <c r="AM14" i="14"/>
  <c r="AN14" i="14" s="1"/>
  <c r="AJ14" i="14"/>
  <c r="K21" i="14" l="1"/>
  <c r="AB21" i="14" s="1"/>
  <c r="AC15" i="14"/>
  <c r="AD15" i="16"/>
  <c r="AD15" i="14"/>
  <c r="K17" i="16"/>
  <c r="AB17" i="16" s="1"/>
  <c r="L17" i="16"/>
  <c r="AI16" i="16"/>
  <c r="AJ16" i="16" s="1"/>
  <c r="M17" i="16"/>
  <c r="R16" i="16"/>
  <c r="Q16" i="16"/>
  <c r="AM15" i="16"/>
  <c r="AN15" i="16" s="1"/>
  <c r="O16" i="16"/>
  <c r="AK15" i="16"/>
  <c r="AL15" i="16" s="1"/>
  <c r="P16" i="16"/>
  <c r="N16" i="16"/>
  <c r="AC16" i="16" s="1"/>
  <c r="S16" i="16"/>
  <c r="AI16" i="14"/>
  <c r="L16" i="14"/>
  <c r="AK15" i="14"/>
  <c r="AL15" i="14" s="1"/>
  <c r="M16" i="14"/>
  <c r="N16" i="14"/>
  <c r="O16" i="14"/>
  <c r="P16" i="14"/>
  <c r="AM15" i="14"/>
  <c r="AN15" i="14" s="1"/>
  <c r="S16" i="14"/>
  <c r="Q16" i="14"/>
  <c r="R16" i="14"/>
  <c r="AJ15" i="14"/>
  <c r="K22" i="14" l="1"/>
  <c r="AB22" i="14" s="1"/>
  <c r="AD16" i="16"/>
  <c r="AC16" i="14"/>
  <c r="AD16" i="14"/>
  <c r="M18" i="16"/>
  <c r="K18" i="16"/>
  <c r="AB18" i="16" s="1"/>
  <c r="AI17" i="16"/>
  <c r="AJ17" i="16" s="1"/>
  <c r="L18" i="16"/>
  <c r="R17" i="16"/>
  <c r="N17" i="16"/>
  <c r="AC17" i="16" s="1"/>
  <c r="Q17" i="16"/>
  <c r="S17" i="16"/>
  <c r="AM16" i="16"/>
  <c r="AN16" i="16" s="1"/>
  <c r="P17" i="16"/>
  <c r="AK16" i="16"/>
  <c r="AL16" i="16" s="1"/>
  <c r="O17" i="16"/>
  <c r="L17" i="14"/>
  <c r="AI17" i="14"/>
  <c r="M17" i="14"/>
  <c r="N17" i="14"/>
  <c r="P17" i="14"/>
  <c r="AK16" i="14"/>
  <c r="AL16" i="14" s="1"/>
  <c r="O17" i="14"/>
  <c r="S17" i="14"/>
  <c r="Q17" i="14"/>
  <c r="AM16" i="14"/>
  <c r="AN16" i="14" s="1"/>
  <c r="R17" i="14"/>
  <c r="AJ16" i="14"/>
  <c r="K23" i="14" l="1"/>
  <c r="AB23" i="14" s="1"/>
  <c r="AD17" i="14"/>
  <c r="AC17" i="14"/>
  <c r="AD17" i="16"/>
  <c r="M19" i="16"/>
  <c r="K19" i="16"/>
  <c r="AB19" i="16" s="1"/>
  <c r="L19" i="16"/>
  <c r="AI18" i="16"/>
  <c r="AJ18" i="16" s="1"/>
  <c r="R18" i="16"/>
  <c r="N18" i="16"/>
  <c r="AC18" i="16" s="1"/>
  <c r="P18" i="16"/>
  <c r="O18" i="16"/>
  <c r="AK17" i="16"/>
  <c r="AL17" i="16" s="1"/>
  <c r="Q18" i="16"/>
  <c r="AM17" i="16"/>
  <c r="AN17" i="16" s="1"/>
  <c r="S18" i="16"/>
  <c r="AI18" i="14"/>
  <c r="L18" i="14"/>
  <c r="O18" i="14"/>
  <c r="AK17" i="14"/>
  <c r="AL17" i="14" s="1"/>
  <c r="P18" i="14"/>
  <c r="N18" i="14"/>
  <c r="AC18" i="14" s="1"/>
  <c r="Q18" i="14"/>
  <c r="R18" i="14"/>
  <c r="S18" i="14"/>
  <c r="AM17" i="14"/>
  <c r="AN17" i="14" s="1"/>
  <c r="AJ17" i="14"/>
  <c r="K24" i="14" l="1"/>
  <c r="AB24" i="14" s="1"/>
  <c r="AD18" i="16"/>
  <c r="AD18" i="14"/>
  <c r="P19" i="16"/>
  <c r="B46" i="22"/>
  <c r="L20" i="16"/>
  <c r="M20" i="16"/>
  <c r="K20" i="16"/>
  <c r="AB20" i="16" s="1"/>
  <c r="AI19" i="16"/>
  <c r="AJ19" i="16" s="1"/>
  <c r="N19" i="16"/>
  <c r="AC19" i="16" s="1"/>
  <c r="AK18" i="16"/>
  <c r="AL18" i="16" s="1"/>
  <c r="O19" i="16"/>
  <c r="Q19" i="16"/>
  <c r="D46" i="22" s="1"/>
  <c r="R19" i="16"/>
  <c r="S19" i="16"/>
  <c r="AM18" i="16"/>
  <c r="AN18" i="16" s="1"/>
  <c r="AI19" i="14"/>
  <c r="AK18" i="14"/>
  <c r="AL18" i="14" s="1"/>
  <c r="M19" i="14"/>
  <c r="L19" i="14"/>
  <c r="S19" i="14"/>
  <c r="Q19" i="14"/>
  <c r="D34" i="22" s="1"/>
  <c r="P19" i="14"/>
  <c r="O19" i="14"/>
  <c r="R19" i="14"/>
  <c r="AM18" i="14"/>
  <c r="AN18" i="14" s="1"/>
  <c r="N19" i="14"/>
  <c r="C34" i="22" s="1"/>
  <c r="AJ18" i="14"/>
  <c r="B35" i="22" l="1"/>
  <c r="K25" i="14"/>
  <c r="AB25" i="14" s="1"/>
  <c r="AD19" i="14"/>
  <c r="AC19" i="14"/>
  <c r="AD19" i="16"/>
  <c r="C46" i="22"/>
  <c r="AI20" i="16"/>
  <c r="AJ20" i="16" s="1"/>
  <c r="L21" i="16"/>
  <c r="K21" i="16"/>
  <c r="AB21" i="16" s="1"/>
  <c r="M21" i="16"/>
  <c r="P20" i="16"/>
  <c r="O20" i="16"/>
  <c r="AK19" i="16"/>
  <c r="AL19" i="16" s="1"/>
  <c r="N20" i="16"/>
  <c r="AC20" i="16" s="1"/>
  <c r="Q20" i="16"/>
  <c r="S20" i="16"/>
  <c r="AM19" i="16"/>
  <c r="AN19" i="16" s="1"/>
  <c r="R20" i="16"/>
  <c r="AI20" i="14"/>
  <c r="L20" i="14"/>
  <c r="M20" i="14"/>
  <c r="P20" i="14"/>
  <c r="R20" i="14"/>
  <c r="S20" i="14"/>
  <c r="Q20" i="14"/>
  <c r="N20" i="14"/>
  <c r="AM19" i="14"/>
  <c r="AN19" i="14" s="1"/>
  <c r="O20" i="14"/>
  <c r="AK19" i="14"/>
  <c r="AL19" i="14" s="1"/>
  <c r="AJ19" i="14"/>
  <c r="K26" i="14" l="1"/>
  <c r="AB26" i="14" s="1"/>
  <c r="AD20" i="14"/>
  <c r="AD20" i="16"/>
  <c r="AC20" i="14"/>
  <c r="K22" i="16"/>
  <c r="AB22" i="16" s="1"/>
  <c r="M22" i="16"/>
  <c r="L22" i="16"/>
  <c r="AI21" i="16"/>
  <c r="AJ21" i="16" s="1"/>
  <c r="Q21" i="16"/>
  <c r="AK20" i="16"/>
  <c r="AL20" i="16" s="1"/>
  <c r="O21" i="16"/>
  <c r="P21" i="16"/>
  <c r="N21" i="16"/>
  <c r="AC21" i="16" s="1"/>
  <c r="AM20" i="16"/>
  <c r="AN20" i="16" s="1"/>
  <c r="S21" i="16"/>
  <c r="R21" i="16"/>
  <c r="L21" i="14"/>
  <c r="M21" i="14"/>
  <c r="AI21" i="14"/>
  <c r="P21" i="14"/>
  <c r="AM20" i="14"/>
  <c r="AN20" i="14" s="1"/>
  <c r="S21" i="14"/>
  <c r="Q21" i="14"/>
  <c r="R21" i="14"/>
  <c r="N21" i="14"/>
  <c r="AK20" i="14"/>
  <c r="AL20" i="14" s="1"/>
  <c r="O21" i="14"/>
  <c r="AJ20" i="14"/>
  <c r="K27" i="14" l="1"/>
  <c r="AB27" i="14" s="1"/>
  <c r="AC21" i="14"/>
  <c r="AD21" i="14"/>
  <c r="AD21" i="16"/>
  <c r="K23" i="16"/>
  <c r="AB23" i="16" s="1"/>
  <c r="AI22" i="16"/>
  <c r="AJ22" i="16" s="1"/>
  <c r="L23" i="16"/>
  <c r="M23" i="16"/>
  <c r="P22" i="16"/>
  <c r="AM21" i="16"/>
  <c r="AN21" i="16" s="1"/>
  <c r="Q22" i="16"/>
  <c r="S22" i="16"/>
  <c r="O22" i="16"/>
  <c r="N22" i="16"/>
  <c r="AC22" i="16" s="1"/>
  <c r="AK21" i="16"/>
  <c r="AL21" i="16" s="1"/>
  <c r="R22" i="16"/>
  <c r="O22" i="14"/>
  <c r="L22" i="14"/>
  <c r="M22" i="14"/>
  <c r="AI22" i="14"/>
  <c r="AM21" i="14"/>
  <c r="AN21" i="14" s="1"/>
  <c r="Q22" i="14"/>
  <c r="R22" i="14"/>
  <c r="S22" i="14"/>
  <c r="P22" i="14"/>
  <c r="AK21" i="14"/>
  <c r="AL21" i="14" s="1"/>
  <c r="N22" i="14"/>
  <c r="AJ21" i="14"/>
  <c r="K28" i="14" l="1"/>
  <c r="AB28" i="14" s="1"/>
  <c r="AD22" i="16"/>
  <c r="AD22" i="14"/>
  <c r="AC22" i="14"/>
  <c r="L24" i="16"/>
  <c r="M24" i="16"/>
  <c r="AI23" i="16"/>
  <c r="AJ23" i="16" s="1"/>
  <c r="K24" i="16"/>
  <c r="AB24" i="16" s="1"/>
  <c r="AM22" i="16"/>
  <c r="AN22" i="16" s="1"/>
  <c r="R23" i="16"/>
  <c r="Q23" i="16"/>
  <c r="S23" i="16"/>
  <c r="AK22" i="16"/>
  <c r="AL22" i="16" s="1"/>
  <c r="O23" i="16"/>
  <c r="N23" i="16"/>
  <c r="AC23" i="16" s="1"/>
  <c r="P23" i="16"/>
  <c r="AI23" i="14"/>
  <c r="M23" i="14"/>
  <c r="L23" i="14"/>
  <c r="P23" i="14"/>
  <c r="R23" i="14"/>
  <c r="S23" i="14"/>
  <c r="AM22" i="14"/>
  <c r="AN22" i="14" s="1"/>
  <c r="Q23" i="14"/>
  <c r="O23" i="14"/>
  <c r="AK22" i="14"/>
  <c r="AL22" i="14" s="1"/>
  <c r="N23" i="14"/>
  <c r="AJ22" i="14"/>
  <c r="K29" i="14" l="1"/>
  <c r="AB29" i="14" s="1"/>
  <c r="AD23" i="16"/>
  <c r="AC23" i="14"/>
  <c r="AD23" i="14"/>
  <c r="B47" i="22"/>
  <c r="M25" i="16"/>
  <c r="K25" i="16"/>
  <c r="AB25" i="16" s="1"/>
  <c r="AI24" i="16"/>
  <c r="AJ24" i="16" s="1"/>
  <c r="L25" i="16"/>
  <c r="Q24" i="16"/>
  <c r="D47" i="22" s="1"/>
  <c r="O24" i="16"/>
  <c r="P24" i="16"/>
  <c r="S24" i="16"/>
  <c r="R24" i="16"/>
  <c r="N24" i="16"/>
  <c r="C47" i="22" s="1"/>
  <c r="AM23" i="16"/>
  <c r="AN23" i="16" s="1"/>
  <c r="AK23" i="16"/>
  <c r="AL23" i="16" s="1"/>
  <c r="AI24" i="14"/>
  <c r="L24" i="14"/>
  <c r="M24" i="14"/>
  <c r="O24" i="14"/>
  <c r="AM23" i="14"/>
  <c r="AN23" i="14" s="1"/>
  <c r="S24" i="14"/>
  <c r="AK23" i="14"/>
  <c r="AL23" i="14" s="1"/>
  <c r="R24" i="14"/>
  <c r="Q24" i="14"/>
  <c r="D35" i="22" s="1"/>
  <c r="N24" i="14"/>
  <c r="C35" i="22" s="1"/>
  <c r="P24" i="14"/>
  <c r="AJ23" i="14"/>
  <c r="B36" i="22" l="1"/>
  <c r="K30" i="14"/>
  <c r="AB30" i="14" s="1"/>
  <c r="AC24" i="14"/>
  <c r="AD24" i="14"/>
  <c r="AD24" i="16"/>
  <c r="AC24" i="16"/>
  <c r="L26" i="16"/>
  <c r="M26" i="16"/>
  <c r="K26" i="16"/>
  <c r="AB26" i="16" s="1"/>
  <c r="AI25" i="16"/>
  <c r="AJ25" i="16" s="1"/>
  <c r="AM24" i="16"/>
  <c r="AN24" i="16" s="1"/>
  <c r="R25" i="16"/>
  <c r="Q25" i="16"/>
  <c r="S25" i="16"/>
  <c r="P25" i="16"/>
  <c r="O25" i="16"/>
  <c r="N25" i="16"/>
  <c r="AC25" i="16" s="1"/>
  <c r="AK24" i="16"/>
  <c r="AL24" i="16" s="1"/>
  <c r="AI25" i="14"/>
  <c r="L25" i="14"/>
  <c r="N25" i="14"/>
  <c r="M25" i="14"/>
  <c r="AM24" i="14"/>
  <c r="AN24" i="14" s="1"/>
  <c r="P25" i="14"/>
  <c r="O25" i="14"/>
  <c r="AK24" i="14"/>
  <c r="AL24" i="14" s="1"/>
  <c r="R25" i="14"/>
  <c r="S25" i="14"/>
  <c r="Q25" i="14"/>
  <c r="AJ24" i="14"/>
  <c r="K31" i="14" l="1"/>
  <c r="AB31" i="14" s="1"/>
  <c r="AD25" i="16"/>
  <c r="AD25" i="14"/>
  <c r="AC25" i="14"/>
  <c r="L27" i="16"/>
  <c r="K27" i="16"/>
  <c r="AB27" i="16" s="1"/>
  <c r="AI26" i="16"/>
  <c r="AJ26" i="16" s="1"/>
  <c r="M27" i="16"/>
  <c r="N26" i="16"/>
  <c r="AC26" i="16" s="1"/>
  <c r="S26" i="16"/>
  <c r="AM25" i="16"/>
  <c r="AN25" i="16" s="1"/>
  <c r="Q26" i="16"/>
  <c r="R26" i="16"/>
  <c r="AK25" i="16"/>
  <c r="AL25" i="16" s="1"/>
  <c r="P26" i="16"/>
  <c r="O26" i="16"/>
  <c r="AI26" i="14"/>
  <c r="L26" i="14"/>
  <c r="M26" i="14"/>
  <c r="P26" i="14"/>
  <c r="O26" i="14"/>
  <c r="N26" i="14"/>
  <c r="AK25" i="14"/>
  <c r="AL25" i="14" s="1"/>
  <c r="AM25" i="14"/>
  <c r="AN25" i="14" s="1"/>
  <c r="R26" i="14"/>
  <c r="S26" i="14"/>
  <c r="Q26" i="14"/>
  <c r="AJ25" i="14"/>
  <c r="K32" i="14" l="1"/>
  <c r="AB32" i="14" s="1"/>
  <c r="AD26" i="14"/>
  <c r="AC26" i="14"/>
  <c r="AD26" i="16"/>
  <c r="M28" i="16"/>
  <c r="L28" i="16"/>
  <c r="K28" i="16"/>
  <c r="AB28" i="16" s="1"/>
  <c r="AI27" i="16"/>
  <c r="AJ27" i="16" s="1"/>
  <c r="O27" i="16"/>
  <c r="P27" i="16"/>
  <c r="AK26" i="16"/>
  <c r="AL26" i="16" s="1"/>
  <c r="N27" i="16"/>
  <c r="AC27" i="16" s="1"/>
  <c r="Q27" i="16"/>
  <c r="R27" i="16"/>
  <c r="AM26" i="16"/>
  <c r="AN26" i="16" s="1"/>
  <c r="S27" i="16"/>
  <c r="AI27" i="14"/>
  <c r="L27" i="14"/>
  <c r="M27" i="14"/>
  <c r="P27" i="14"/>
  <c r="AM26" i="14"/>
  <c r="AN26" i="14" s="1"/>
  <c r="N27" i="14"/>
  <c r="AK26" i="14"/>
  <c r="AL26" i="14" s="1"/>
  <c r="O27" i="14"/>
  <c r="S27" i="14"/>
  <c r="R27" i="14"/>
  <c r="Q27" i="14"/>
  <c r="AJ26" i="14"/>
  <c r="K33" i="14" l="1"/>
  <c r="AB33" i="14" s="1"/>
  <c r="AD27" i="14"/>
  <c r="AC27" i="14"/>
  <c r="AD27" i="16"/>
  <c r="L29" i="16"/>
  <c r="K29" i="16"/>
  <c r="AB29" i="16" s="1"/>
  <c r="AI28" i="16"/>
  <c r="AJ28" i="16" s="1"/>
  <c r="M29" i="16"/>
  <c r="AM27" i="16"/>
  <c r="AN27" i="16" s="1"/>
  <c r="R28" i="16"/>
  <c r="N28" i="16"/>
  <c r="AC28" i="16" s="1"/>
  <c r="O28" i="16"/>
  <c r="S28" i="16"/>
  <c r="AK27" i="16"/>
  <c r="AL27" i="16" s="1"/>
  <c r="P28" i="16"/>
  <c r="Q28" i="16"/>
  <c r="L28" i="14"/>
  <c r="M28" i="14"/>
  <c r="AI28" i="14"/>
  <c r="AK27" i="14"/>
  <c r="AL27" i="14" s="1"/>
  <c r="AM27" i="14"/>
  <c r="AN27" i="14" s="1"/>
  <c r="N28" i="14"/>
  <c r="O28" i="14"/>
  <c r="P28" i="14"/>
  <c r="S28" i="14"/>
  <c r="Q28" i="14"/>
  <c r="R28" i="14"/>
  <c r="AJ27" i="14"/>
  <c r="K34" i="14" l="1"/>
  <c r="AB34" i="14" s="1"/>
  <c r="AD28" i="14"/>
  <c r="AD28" i="16"/>
  <c r="AC28" i="14"/>
  <c r="B48" i="22"/>
  <c r="L30" i="16"/>
  <c r="AI29" i="16"/>
  <c r="AJ29" i="16" s="1"/>
  <c r="K30" i="16"/>
  <c r="AB30" i="16" s="1"/>
  <c r="M30" i="16"/>
  <c r="AK28" i="16"/>
  <c r="AL28" i="16" s="1"/>
  <c r="O29" i="16"/>
  <c r="N29" i="16"/>
  <c r="C48" i="22" s="1"/>
  <c r="P29" i="16"/>
  <c r="AM28" i="16"/>
  <c r="AN28" i="16" s="1"/>
  <c r="S29" i="16"/>
  <c r="Q29" i="16"/>
  <c r="D48" i="22" s="1"/>
  <c r="R29" i="16"/>
  <c r="AK28" i="14"/>
  <c r="AL28" i="14" s="1"/>
  <c r="L29" i="14"/>
  <c r="M29" i="14"/>
  <c r="AI29" i="14"/>
  <c r="N29" i="14"/>
  <c r="C36" i="22" s="1"/>
  <c r="O29" i="14"/>
  <c r="P29" i="14"/>
  <c r="R29" i="14"/>
  <c r="AM28" i="14"/>
  <c r="AN28" i="14" s="1"/>
  <c r="S29" i="14"/>
  <c r="Q29" i="14"/>
  <c r="D36" i="22" s="1"/>
  <c r="AJ28" i="14"/>
  <c r="K35" i="14" l="1"/>
  <c r="AB35" i="14" s="1"/>
  <c r="B37" i="22"/>
  <c r="AD29" i="16"/>
  <c r="AC29" i="16"/>
  <c r="AD29" i="14"/>
  <c r="AC29" i="14"/>
  <c r="AI30" i="16"/>
  <c r="AJ30" i="16" s="1"/>
  <c r="L31" i="16"/>
  <c r="K31" i="16"/>
  <c r="AB31" i="16" s="1"/>
  <c r="M31" i="16"/>
  <c r="O30" i="16"/>
  <c r="AK29" i="16"/>
  <c r="AL29" i="16" s="1"/>
  <c r="N30" i="16"/>
  <c r="AC30" i="16" s="1"/>
  <c r="P30" i="16"/>
  <c r="S30" i="16"/>
  <c r="Q30" i="16"/>
  <c r="R30" i="16"/>
  <c r="AM29" i="16"/>
  <c r="AN29" i="16" s="1"/>
  <c r="AI30" i="14"/>
  <c r="AK29" i="14"/>
  <c r="AL29" i="14" s="1"/>
  <c r="M30" i="14"/>
  <c r="L30" i="14"/>
  <c r="N30" i="14"/>
  <c r="O30" i="14"/>
  <c r="P30" i="14"/>
  <c r="AM29" i="14"/>
  <c r="AN29" i="14" s="1"/>
  <c r="S30" i="14"/>
  <c r="R30" i="14"/>
  <c r="Q30" i="14"/>
  <c r="AJ29" i="14"/>
  <c r="K36" i="14" l="1"/>
  <c r="AB36" i="14" s="1"/>
  <c r="AD30" i="16"/>
  <c r="AC30" i="14"/>
  <c r="AD30" i="14"/>
  <c r="M32" i="16"/>
  <c r="L32" i="16"/>
  <c r="AI31" i="16"/>
  <c r="AJ31" i="16" s="1"/>
  <c r="K32" i="16"/>
  <c r="AB32" i="16" s="1"/>
  <c r="N31" i="16"/>
  <c r="AC31" i="16" s="1"/>
  <c r="P31" i="16"/>
  <c r="Q31" i="16"/>
  <c r="O31" i="16"/>
  <c r="AK30" i="16"/>
  <c r="AL30" i="16" s="1"/>
  <c r="R31" i="16"/>
  <c r="AM30" i="16"/>
  <c r="AN30" i="16" s="1"/>
  <c r="S31" i="16"/>
  <c r="AI31" i="14"/>
  <c r="M31" i="14"/>
  <c r="L31" i="14"/>
  <c r="O31" i="14"/>
  <c r="N31" i="14"/>
  <c r="AK30" i="14"/>
  <c r="AL30" i="14" s="1"/>
  <c r="P31" i="14"/>
  <c r="AM30" i="14"/>
  <c r="AN30" i="14" s="1"/>
  <c r="Q31" i="14"/>
  <c r="S31" i="14"/>
  <c r="R31" i="14"/>
  <c r="AJ30" i="14"/>
  <c r="K37" i="14" l="1"/>
  <c r="AB37" i="14" s="1"/>
  <c r="AD31" i="16"/>
  <c r="AD31" i="14"/>
  <c r="AC31" i="14"/>
  <c r="M33" i="16"/>
  <c r="AI32" i="16"/>
  <c r="AJ32" i="16" s="1"/>
  <c r="K33" i="16"/>
  <c r="AB33" i="16" s="1"/>
  <c r="L33" i="16"/>
  <c r="P32" i="16"/>
  <c r="O32" i="16"/>
  <c r="AK31" i="16"/>
  <c r="AL31" i="16" s="1"/>
  <c r="N32" i="16"/>
  <c r="AC32" i="16" s="1"/>
  <c r="AM31" i="16"/>
  <c r="AN31" i="16" s="1"/>
  <c r="Q32" i="16"/>
  <c r="S32" i="16"/>
  <c r="R32" i="16"/>
  <c r="AI32" i="14"/>
  <c r="M32" i="14"/>
  <c r="AK31" i="14"/>
  <c r="AL31" i="14" s="1"/>
  <c r="L32" i="14"/>
  <c r="O32" i="14"/>
  <c r="N32" i="14"/>
  <c r="Q32" i="14"/>
  <c r="P32" i="14"/>
  <c r="AM31" i="14"/>
  <c r="AN31" i="14" s="1"/>
  <c r="R32" i="14"/>
  <c r="S32" i="14"/>
  <c r="AJ31" i="14"/>
  <c r="K38" i="14" l="1"/>
  <c r="AB38" i="14" s="1"/>
  <c r="AD32" i="14"/>
  <c r="AC32" i="14"/>
  <c r="AD32" i="16"/>
  <c r="L34" i="16"/>
  <c r="K34" i="16"/>
  <c r="AB34" i="16" s="1"/>
  <c r="M34" i="16"/>
  <c r="AI33" i="16"/>
  <c r="AJ33" i="16" s="1"/>
  <c r="P33" i="16"/>
  <c r="S33" i="16"/>
  <c r="AM32" i="16"/>
  <c r="AN32" i="16" s="1"/>
  <c r="O33" i="16"/>
  <c r="AK32" i="16"/>
  <c r="AL32" i="16" s="1"/>
  <c r="N33" i="16"/>
  <c r="AC33" i="16" s="1"/>
  <c r="Q33" i="16"/>
  <c r="R33" i="16"/>
  <c r="AI33" i="14"/>
  <c r="M33" i="14"/>
  <c r="L33" i="14"/>
  <c r="P33" i="14"/>
  <c r="N33" i="14"/>
  <c r="O33" i="14"/>
  <c r="AK32" i="14"/>
  <c r="AL32" i="14" s="1"/>
  <c r="S33" i="14"/>
  <c r="Q33" i="14"/>
  <c r="R33" i="14"/>
  <c r="AM32" i="14"/>
  <c r="AN32" i="14" s="1"/>
  <c r="AJ32" i="14"/>
  <c r="K39" i="14" l="1"/>
  <c r="AB39" i="14" s="1"/>
  <c r="AD33" i="14"/>
  <c r="AC33" i="14"/>
  <c r="AD33" i="16"/>
  <c r="B49" i="22"/>
  <c r="K35" i="16"/>
  <c r="AB35" i="16" s="1"/>
  <c r="M35" i="16"/>
  <c r="L35" i="16"/>
  <c r="AI34" i="16"/>
  <c r="AJ34" i="16" s="1"/>
  <c r="AK33" i="16"/>
  <c r="AL33" i="16" s="1"/>
  <c r="R34" i="16"/>
  <c r="O34" i="16"/>
  <c r="P34" i="16"/>
  <c r="N34" i="16"/>
  <c r="AC34" i="16" s="1"/>
  <c r="S34" i="16"/>
  <c r="Q34" i="16"/>
  <c r="D49" i="22" s="1"/>
  <c r="AM33" i="16"/>
  <c r="AN33" i="16" s="1"/>
  <c r="L34" i="14"/>
  <c r="AI34" i="14"/>
  <c r="M34" i="14"/>
  <c r="N34" i="14"/>
  <c r="C37" i="22" s="1"/>
  <c r="Q34" i="14"/>
  <c r="D37" i="22" s="1"/>
  <c r="P34" i="14"/>
  <c r="AK33" i="14"/>
  <c r="AL33" i="14" s="1"/>
  <c r="O34" i="14"/>
  <c r="AM33" i="14"/>
  <c r="AN33" i="14" s="1"/>
  <c r="S34" i="14"/>
  <c r="R34" i="14"/>
  <c r="AJ33" i="14"/>
  <c r="K40" i="14" l="1"/>
  <c r="AB40" i="14" s="1"/>
  <c r="B38" i="22"/>
  <c r="AD34" i="14"/>
  <c r="AC34" i="14"/>
  <c r="AD34" i="16"/>
  <c r="C49" i="22"/>
  <c r="L36" i="16"/>
  <c r="M36" i="16"/>
  <c r="AI35" i="16"/>
  <c r="AJ35" i="16" s="1"/>
  <c r="K36" i="16"/>
  <c r="AB36" i="16" s="1"/>
  <c r="P35" i="16"/>
  <c r="AK34" i="16"/>
  <c r="AL34" i="16" s="1"/>
  <c r="N35" i="16"/>
  <c r="AC35" i="16" s="1"/>
  <c r="AM34" i="16"/>
  <c r="AN34" i="16" s="1"/>
  <c r="R35" i="16"/>
  <c r="S35" i="16"/>
  <c r="O35" i="16"/>
  <c r="Q35" i="16"/>
  <c r="L35" i="14"/>
  <c r="AI35" i="14"/>
  <c r="M35" i="14"/>
  <c r="AK34" i="14"/>
  <c r="AL34" i="14" s="1"/>
  <c r="N35" i="14"/>
  <c r="P35" i="14"/>
  <c r="O35" i="14"/>
  <c r="AM34" i="14"/>
  <c r="AN34" i="14" s="1"/>
  <c r="R35" i="14"/>
  <c r="S35" i="14"/>
  <c r="Q35" i="14"/>
  <c r="AJ34" i="14"/>
  <c r="K41" i="14" l="1"/>
  <c r="AB41" i="14" s="1"/>
  <c r="AC35" i="14"/>
  <c r="AD35" i="14"/>
  <c r="AD35" i="16"/>
  <c r="AI36" i="16"/>
  <c r="AJ36" i="16" s="1"/>
  <c r="K37" i="16"/>
  <c r="AB37" i="16" s="1"/>
  <c r="M37" i="16"/>
  <c r="L37" i="16"/>
  <c r="AM35" i="16"/>
  <c r="AN35" i="16" s="1"/>
  <c r="R36" i="16"/>
  <c r="P36" i="16"/>
  <c r="O36" i="16"/>
  <c r="S36" i="16"/>
  <c r="AK35" i="16"/>
  <c r="AL35" i="16" s="1"/>
  <c r="N36" i="16"/>
  <c r="AC36" i="16" s="1"/>
  <c r="Q36" i="16"/>
  <c r="M36" i="14"/>
  <c r="L36" i="14"/>
  <c r="AI36" i="14"/>
  <c r="P36" i="14"/>
  <c r="N36" i="14"/>
  <c r="O36" i="14"/>
  <c r="AK35" i="14"/>
  <c r="AL35" i="14" s="1"/>
  <c r="R36" i="14"/>
  <c r="AM35" i="14"/>
  <c r="AN35" i="14" s="1"/>
  <c r="S36" i="14"/>
  <c r="Q36" i="14"/>
  <c r="AJ35" i="14"/>
  <c r="K42" i="14" l="1"/>
  <c r="AB42" i="14" s="1"/>
  <c r="AD36" i="14"/>
  <c r="AD36" i="16"/>
  <c r="AC36" i="14"/>
  <c r="K38" i="16"/>
  <c r="AB38" i="16" s="1"/>
  <c r="L38" i="16"/>
  <c r="M38" i="16"/>
  <c r="AI37" i="16"/>
  <c r="AJ37" i="16" s="1"/>
  <c r="R37" i="16"/>
  <c r="O37" i="16"/>
  <c r="S37" i="16"/>
  <c r="AM36" i="16"/>
  <c r="AN36" i="16" s="1"/>
  <c r="P37" i="16"/>
  <c r="N37" i="16"/>
  <c r="AC37" i="16" s="1"/>
  <c r="AK36" i="16"/>
  <c r="AL36" i="16" s="1"/>
  <c r="Q37" i="16"/>
  <c r="N37" i="14"/>
  <c r="L37" i="14"/>
  <c r="AI37" i="14"/>
  <c r="M37" i="14"/>
  <c r="AM36" i="14"/>
  <c r="AN36" i="14" s="1"/>
  <c r="AK36" i="14"/>
  <c r="AL36" i="14" s="1"/>
  <c r="P37" i="14"/>
  <c r="O37" i="14"/>
  <c r="S37" i="14"/>
  <c r="R37" i="14"/>
  <c r="Q37" i="14"/>
  <c r="AJ36" i="14"/>
  <c r="K43" i="14" l="1"/>
  <c r="AB43" i="14" s="1"/>
  <c r="AC37" i="14"/>
  <c r="AD37" i="14"/>
  <c r="AD37" i="16"/>
  <c r="AI38" i="16"/>
  <c r="AJ38" i="16" s="1"/>
  <c r="L39" i="16"/>
  <c r="K39" i="16"/>
  <c r="AB39" i="16" s="1"/>
  <c r="M39" i="16"/>
  <c r="O38" i="16"/>
  <c r="Q38" i="16"/>
  <c r="AK37" i="16"/>
  <c r="AL37" i="16" s="1"/>
  <c r="R38" i="16"/>
  <c r="N38" i="16"/>
  <c r="AC38" i="16" s="1"/>
  <c r="AM37" i="16"/>
  <c r="AN37" i="16" s="1"/>
  <c r="S38" i="16"/>
  <c r="P38" i="16"/>
  <c r="O38" i="14"/>
  <c r="AI38" i="14"/>
  <c r="L38" i="14"/>
  <c r="AK37" i="14"/>
  <c r="AL37" i="14" s="1"/>
  <c r="M38" i="14"/>
  <c r="P38" i="14"/>
  <c r="N38" i="14"/>
  <c r="AM37" i="14"/>
  <c r="AN37" i="14" s="1"/>
  <c r="Q38" i="14"/>
  <c r="R38" i="14"/>
  <c r="S38" i="14"/>
  <c r="AJ37" i="14"/>
  <c r="K44" i="14" l="1"/>
  <c r="AB44" i="14" s="1"/>
  <c r="AD38" i="16"/>
  <c r="AC38" i="14"/>
  <c r="AD38" i="14"/>
  <c r="B50" i="22"/>
  <c r="K40" i="16"/>
  <c r="AB40" i="16" s="1"/>
  <c r="AI39" i="16"/>
  <c r="AJ39" i="16" s="1"/>
  <c r="L40" i="16"/>
  <c r="M40" i="16"/>
  <c r="R39" i="16"/>
  <c r="AK38" i="16"/>
  <c r="AL38" i="16" s="1"/>
  <c r="Q39" i="16"/>
  <c r="D50" i="22" s="1"/>
  <c r="P39" i="16"/>
  <c r="N39" i="16"/>
  <c r="C50" i="22" s="1"/>
  <c r="S39" i="16"/>
  <c r="AM38" i="16"/>
  <c r="AN38" i="16" s="1"/>
  <c r="O39" i="16"/>
  <c r="L39" i="14"/>
  <c r="M39" i="14"/>
  <c r="AI39" i="14"/>
  <c r="AM38" i="14"/>
  <c r="AN38" i="14" s="1"/>
  <c r="N39" i="14"/>
  <c r="C38" i="22" s="1"/>
  <c r="AK38" i="14"/>
  <c r="AL38" i="14" s="1"/>
  <c r="P39" i="14"/>
  <c r="O39" i="14"/>
  <c r="Q39" i="14"/>
  <c r="D38" i="22" s="1"/>
  <c r="R39" i="14"/>
  <c r="S39" i="14"/>
  <c r="AJ38" i="14"/>
  <c r="B39" i="22" l="1"/>
  <c r="K45" i="14"/>
  <c r="AB45" i="14" s="1"/>
  <c r="AD39" i="14"/>
  <c r="AC39" i="14"/>
  <c r="AD39" i="16"/>
  <c r="AC39" i="16"/>
  <c r="AI40" i="16"/>
  <c r="AJ40" i="16" s="1"/>
  <c r="M41" i="16"/>
  <c r="L41" i="16"/>
  <c r="K41" i="16"/>
  <c r="AB41" i="16" s="1"/>
  <c r="AK39" i="16"/>
  <c r="AL39" i="16" s="1"/>
  <c r="R40" i="16"/>
  <c r="P40" i="16"/>
  <c r="S40" i="16"/>
  <c r="N40" i="16"/>
  <c r="AC40" i="16" s="1"/>
  <c r="AM39" i="16"/>
  <c r="AN39" i="16" s="1"/>
  <c r="Q40" i="16"/>
  <c r="O40" i="16"/>
  <c r="L40" i="14"/>
  <c r="O40" i="14"/>
  <c r="AK39" i="14"/>
  <c r="AL39" i="14" s="1"/>
  <c r="P40" i="14"/>
  <c r="M40" i="14"/>
  <c r="N40" i="14"/>
  <c r="AI40" i="14"/>
  <c r="R40" i="14"/>
  <c r="Q40" i="14"/>
  <c r="AM39" i="14"/>
  <c r="AN39" i="14" s="1"/>
  <c r="S40" i="14"/>
  <c r="AJ39" i="14"/>
  <c r="K46" i="14" l="1"/>
  <c r="AB46" i="14" s="1"/>
  <c r="AC40" i="14"/>
  <c r="AD40" i="14"/>
  <c r="AD40" i="16"/>
  <c r="L42" i="16"/>
  <c r="K42" i="16"/>
  <c r="AB42" i="16" s="1"/>
  <c r="AI41" i="16"/>
  <c r="AJ41" i="16" s="1"/>
  <c r="M42" i="16"/>
  <c r="R41" i="16"/>
  <c r="AM40" i="16"/>
  <c r="AN40" i="16" s="1"/>
  <c r="Q41" i="16"/>
  <c r="P41" i="16"/>
  <c r="S41" i="16"/>
  <c r="AK40" i="16"/>
  <c r="AL40" i="16" s="1"/>
  <c r="N41" i="16"/>
  <c r="AC41" i="16" s="1"/>
  <c r="O41" i="16"/>
  <c r="S41" i="14"/>
  <c r="L41" i="14"/>
  <c r="AI41" i="14"/>
  <c r="AK40" i="14"/>
  <c r="AL40" i="14" s="1"/>
  <c r="P41" i="14"/>
  <c r="M41" i="14"/>
  <c r="N41" i="14"/>
  <c r="O41" i="14"/>
  <c r="AM40" i="14"/>
  <c r="AN40" i="14" s="1"/>
  <c r="Q41" i="14"/>
  <c r="R41" i="14"/>
  <c r="AJ40" i="14"/>
  <c r="K47" i="14" l="1"/>
  <c r="AB47" i="14" s="1"/>
  <c r="AD41" i="16"/>
  <c r="AC41" i="14"/>
  <c r="AD41" i="14"/>
  <c r="L43" i="16"/>
  <c r="K43" i="16"/>
  <c r="AB43" i="16" s="1"/>
  <c r="M43" i="16"/>
  <c r="AI42" i="16"/>
  <c r="AJ42" i="16" s="1"/>
  <c r="AM41" i="16"/>
  <c r="AN41" i="16" s="1"/>
  <c r="Q42" i="16"/>
  <c r="S42" i="16"/>
  <c r="R42" i="16"/>
  <c r="O42" i="16"/>
  <c r="N42" i="16"/>
  <c r="AC42" i="16" s="1"/>
  <c r="P42" i="16"/>
  <c r="AK41" i="16"/>
  <c r="AL41" i="16" s="1"/>
  <c r="M42" i="14"/>
  <c r="L42" i="14"/>
  <c r="AI42" i="14"/>
  <c r="N42" i="14"/>
  <c r="O42" i="14"/>
  <c r="P42" i="14"/>
  <c r="AK41" i="14"/>
  <c r="AL41" i="14" s="1"/>
  <c r="S42" i="14"/>
  <c r="AM41" i="14"/>
  <c r="AN41" i="14" s="1"/>
  <c r="R42" i="14"/>
  <c r="Q42" i="14"/>
  <c r="AJ41" i="14"/>
  <c r="K48" i="14" l="1"/>
  <c r="AB48" i="14" s="1"/>
  <c r="AD42" i="16"/>
  <c r="AD42" i="14"/>
  <c r="AC42" i="14"/>
  <c r="K44" i="16"/>
  <c r="AB44" i="16" s="1"/>
  <c r="L44" i="16"/>
  <c r="M44" i="16"/>
  <c r="AI43" i="16"/>
  <c r="AJ43" i="16" s="1"/>
  <c r="AM42" i="16"/>
  <c r="AN42" i="16" s="1"/>
  <c r="S43" i="16"/>
  <c r="N43" i="16"/>
  <c r="AC43" i="16" s="1"/>
  <c r="R43" i="16"/>
  <c r="Q43" i="16"/>
  <c r="AK42" i="16"/>
  <c r="AL42" i="16" s="1"/>
  <c r="P43" i="16"/>
  <c r="O43" i="16"/>
  <c r="O43" i="14"/>
  <c r="L43" i="14"/>
  <c r="AI43" i="14"/>
  <c r="M43" i="14"/>
  <c r="AK42" i="14"/>
  <c r="AL42" i="14" s="1"/>
  <c r="P43" i="14"/>
  <c r="N43" i="14"/>
  <c r="S43" i="14"/>
  <c r="Q43" i="14"/>
  <c r="R43" i="14"/>
  <c r="AM42" i="14"/>
  <c r="AN42" i="14" s="1"/>
  <c r="AJ42" i="14"/>
  <c r="K49" i="14" l="1"/>
  <c r="AB49" i="14" s="1"/>
  <c r="AD43" i="16"/>
  <c r="AD43" i="14"/>
  <c r="AC43" i="14"/>
  <c r="B51" i="22"/>
  <c r="L45" i="16"/>
  <c r="K45" i="16"/>
  <c r="AB45" i="16" s="1"/>
  <c r="M45" i="16"/>
  <c r="AI44" i="16"/>
  <c r="AJ44" i="16" s="1"/>
  <c r="P44" i="16"/>
  <c r="AM43" i="16"/>
  <c r="AN43" i="16" s="1"/>
  <c r="Q44" i="16"/>
  <c r="D51" i="22" s="1"/>
  <c r="O44" i="16"/>
  <c r="S44" i="16"/>
  <c r="N44" i="16"/>
  <c r="C51" i="22" s="1"/>
  <c r="AK43" i="16"/>
  <c r="AL43" i="16" s="1"/>
  <c r="R44" i="16"/>
  <c r="M44" i="14"/>
  <c r="N44" i="14"/>
  <c r="C39" i="22" s="1"/>
  <c r="AI44" i="14"/>
  <c r="L44" i="14"/>
  <c r="AM43" i="14"/>
  <c r="AN43" i="14" s="1"/>
  <c r="O44" i="14"/>
  <c r="P44" i="14"/>
  <c r="AK43" i="14"/>
  <c r="AL43" i="14" s="1"/>
  <c r="S44" i="14"/>
  <c r="Q44" i="14"/>
  <c r="D39" i="22" s="1"/>
  <c r="R44" i="14"/>
  <c r="AJ43" i="14"/>
  <c r="B40" i="22" l="1"/>
  <c r="K50" i="14"/>
  <c r="AB50" i="14" s="1"/>
  <c r="AD44" i="14"/>
  <c r="AC44" i="14"/>
  <c r="AD44" i="16"/>
  <c r="AC44" i="16"/>
  <c r="M46" i="16"/>
  <c r="L46" i="16"/>
  <c r="AI45" i="16"/>
  <c r="AJ45" i="16" s="1"/>
  <c r="K46" i="16"/>
  <c r="AB46" i="16" s="1"/>
  <c r="P45" i="16"/>
  <c r="R45" i="16"/>
  <c r="S45" i="16"/>
  <c r="Q45" i="16"/>
  <c r="N45" i="16"/>
  <c r="AC45" i="16" s="1"/>
  <c r="AM44" i="16"/>
  <c r="AN44" i="16" s="1"/>
  <c r="AK44" i="16"/>
  <c r="AL44" i="16" s="1"/>
  <c r="O45" i="16"/>
  <c r="AI45" i="14"/>
  <c r="L45" i="14"/>
  <c r="M45" i="14"/>
  <c r="O45" i="14"/>
  <c r="N45" i="14"/>
  <c r="AK44" i="14"/>
  <c r="AL44" i="14" s="1"/>
  <c r="P45" i="14"/>
  <c r="R45" i="14"/>
  <c r="AM44" i="14"/>
  <c r="AN44" i="14" s="1"/>
  <c r="Q45" i="14"/>
  <c r="S45" i="14"/>
  <c r="AJ44" i="14"/>
  <c r="K51" i="14" l="1"/>
  <c r="AB51" i="14" s="1"/>
  <c r="AD45" i="14"/>
  <c r="AC45" i="14"/>
  <c r="AD45" i="16"/>
  <c r="L47" i="16"/>
  <c r="K47" i="16"/>
  <c r="AB47" i="16" s="1"/>
  <c r="M47" i="16"/>
  <c r="AI46" i="16"/>
  <c r="AJ46" i="16" s="1"/>
  <c r="Q46" i="16"/>
  <c r="P46" i="16"/>
  <c r="AM45" i="16"/>
  <c r="AN45" i="16" s="1"/>
  <c r="O46" i="16"/>
  <c r="R46" i="16"/>
  <c r="N46" i="16"/>
  <c r="AC46" i="16" s="1"/>
  <c r="AK45" i="16"/>
  <c r="AL45" i="16" s="1"/>
  <c r="S46" i="16"/>
  <c r="L46" i="14"/>
  <c r="AI46" i="14"/>
  <c r="M46" i="14"/>
  <c r="N46" i="14"/>
  <c r="P46" i="14"/>
  <c r="O46" i="14"/>
  <c r="AM45" i="14"/>
  <c r="AN45" i="14" s="1"/>
  <c r="AK45" i="14"/>
  <c r="AL45" i="14" s="1"/>
  <c r="R46" i="14"/>
  <c r="S46" i="14"/>
  <c r="Q46" i="14"/>
  <c r="AJ45" i="14"/>
  <c r="K52" i="14" l="1"/>
  <c r="AB52" i="14" s="1"/>
  <c r="AD46" i="14"/>
  <c r="AC46" i="14"/>
  <c r="AD46" i="16"/>
  <c r="K48" i="16"/>
  <c r="AB48" i="16" s="1"/>
  <c r="M48" i="16"/>
  <c r="L48" i="16"/>
  <c r="AI47" i="16"/>
  <c r="AJ47" i="16" s="1"/>
  <c r="Q47" i="16"/>
  <c r="AM46" i="16"/>
  <c r="AN46" i="16" s="1"/>
  <c r="R47" i="16"/>
  <c r="S47" i="16"/>
  <c r="N47" i="16"/>
  <c r="AC47" i="16" s="1"/>
  <c r="P47" i="16"/>
  <c r="AK46" i="16"/>
  <c r="AL46" i="16" s="1"/>
  <c r="O47" i="16"/>
  <c r="M47" i="14"/>
  <c r="L47" i="14"/>
  <c r="AI47" i="14"/>
  <c r="P47" i="14"/>
  <c r="AM46" i="14"/>
  <c r="AN46" i="14" s="1"/>
  <c r="O47" i="14"/>
  <c r="N47" i="14"/>
  <c r="AK46" i="14"/>
  <c r="AL46" i="14" s="1"/>
  <c r="R47" i="14"/>
  <c r="S47" i="14"/>
  <c r="Q47" i="14"/>
  <c r="AJ46" i="14"/>
  <c r="K53" i="14" l="1"/>
  <c r="AB53" i="14" s="1"/>
  <c r="AD47" i="16"/>
  <c r="AD47" i="14"/>
  <c r="AC47" i="14"/>
  <c r="AI48" i="16"/>
  <c r="AJ48" i="16" s="1"/>
  <c r="L49" i="16"/>
  <c r="K49" i="16"/>
  <c r="AB49" i="16" s="1"/>
  <c r="M49" i="16"/>
  <c r="Q48" i="16"/>
  <c r="AM47" i="16"/>
  <c r="AN47" i="16" s="1"/>
  <c r="AK47" i="16"/>
  <c r="AL47" i="16" s="1"/>
  <c r="N48" i="16"/>
  <c r="AC48" i="16" s="1"/>
  <c r="O48" i="16"/>
  <c r="P48" i="16"/>
  <c r="S48" i="16"/>
  <c r="R48" i="16"/>
  <c r="L48" i="14"/>
  <c r="M48" i="14"/>
  <c r="AI48" i="14"/>
  <c r="AK47" i="14"/>
  <c r="AL47" i="14" s="1"/>
  <c r="AM47" i="14"/>
  <c r="AN47" i="14" s="1"/>
  <c r="N48" i="14"/>
  <c r="P48" i="14"/>
  <c r="O48" i="14"/>
  <c r="S48" i="14"/>
  <c r="R48" i="14"/>
  <c r="Q48" i="14"/>
  <c r="AJ47" i="14"/>
  <c r="K54" i="14" l="1"/>
  <c r="AB54" i="14" s="1"/>
  <c r="AD48" i="14"/>
  <c r="AD48" i="16"/>
  <c r="AC48" i="14"/>
  <c r="B52" i="22"/>
  <c r="M50" i="16"/>
  <c r="L50" i="16"/>
  <c r="AI49" i="16"/>
  <c r="AJ49" i="16" s="1"/>
  <c r="K50" i="16"/>
  <c r="AB50" i="16" s="1"/>
  <c r="AM48" i="16"/>
  <c r="AN48" i="16" s="1"/>
  <c r="O49" i="16"/>
  <c r="P49" i="16"/>
  <c r="R49" i="16"/>
  <c r="AK48" i="16"/>
  <c r="AL48" i="16" s="1"/>
  <c r="Q49" i="16"/>
  <c r="D52" i="22" s="1"/>
  <c r="S49" i="16"/>
  <c r="N49" i="16"/>
  <c r="AC49" i="16" s="1"/>
  <c r="P49" i="14"/>
  <c r="M49" i="14"/>
  <c r="AI49" i="14"/>
  <c r="L49" i="14"/>
  <c r="AK48" i="14"/>
  <c r="AL48" i="14" s="1"/>
  <c r="O49" i="14"/>
  <c r="N49" i="14"/>
  <c r="C40" i="22" s="1"/>
  <c r="Q49" i="14"/>
  <c r="D40" i="22" s="1"/>
  <c r="AM48" i="14"/>
  <c r="AN48" i="14" s="1"/>
  <c r="R49" i="14"/>
  <c r="S49" i="14"/>
  <c r="AJ48" i="14"/>
  <c r="K55" i="14" l="1"/>
  <c r="AB55" i="14" s="1"/>
  <c r="AD49" i="14"/>
  <c r="AD49" i="16"/>
  <c r="AC49" i="14"/>
  <c r="C52" i="22"/>
  <c r="M51" i="16"/>
  <c r="K51" i="16"/>
  <c r="AB51" i="16" s="1"/>
  <c r="L51" i="16"/>
  <c r="AI50" i="16"/>
  <c r="AJ50" i="16" s="1"/>
  <c r="AM49" i="16"/>
  <c r="AN49" i="16" s="1"/>
  <c r="S50" i="16"/>
  <c r="R50" i="16"/>
  <c r="O50" i="16"/>
  <c r="Q50" i="16"/>
  <c r="AK49" i="16"/>
  <c r="AL49" i="16" s="1"/>
  <c r="N50" i="16"/>
  <c r="AC50" i="16" s="1"/>
  <c r="P50" i="16"/>
  <c r="M50" i="14"/>
  <c r="L50" i="14"/>
  <c r="AI50" i="14"/>
  <c r="O50" i="14"/>
  <c r="P50" i="14"/>
  <c r="N50" i="14"/>
  <c r="S50" i="14"/>
  <c r="AK49" i="14"/>
  <c r="AL49" i="14" s="1"/>
  <c r="R50" i="14"/>
  <c r="AM49" i="14"/>
  <c r="AN49" i="14" s="1"/>
  <c r="Q50" i="14"/>
  <c r="AJ49" i="14"/>
  <c r="K56" i="14" l="1"/>
  <c r="AB56" i="14" s="1"/>
  <c r="AD50" i="16"/>
  <c r="AD50" i="14"/>
  <c r="AC50" i="14"/>
  <c r="K52" i="16"/>
  <c r="AB52" i="16" s="1"/>
  <c r="L52" i="16"/>
  <c r="AI51" i="16"/>
  <c r="AJ51" i="16" s="1"/>
  <c r="M52" i="16"/>
  <c r="R51" i="16"/>
  <c r="O51" i="16"/>
  <c r="S51" i="16"/>
  <c r="Q51" i="16"/>
  <c r="N51" i="16"/>
  <c r="AC51" i="16" s="1"/>
  <c r="AM50" i="16"/>
  <c r="AN50" i="16" s="1"/>
  <c r="P51" i="16"/>
  <c r="AK50" i="16"/>
  <c r="AL50" i="16" s="1"/>
  <c r="AK50" i="14"/>
  <c r="AL50" i="14" s="1"/>
  <c r="L51" i="14"/>
  <c r="M51" i="14"/>
  <c r="AI51" i="14"/>
  <c r="P51" i="14"/>
  <c r="AM50" i="14"/>
  <c r="AN50" i="14" s="1"/>
  <c r="N51" i="14"/>
  <c r="O51" i="14"/>
  <c r="S51" i="14"/>
  <c r="Q51" i="14"/>
  <c r="R51" i="14"/>
  <c r="AJ50" i="14"/>
  <c r="K57" i="14" l="1"/>
  <c r="AB57" i="14" s="1"/>
  <c r="AC51" i="14"/>
  <c r="AD51" i="16"/>
  <c r="AD51" i="14"/>
  <c r="AI52" i="16"/>
  <c r="AJ52" i="16" s="1"/>
  <c r="K53" i="16"/>
  <c r="AB53" i="16" s="1"/>
  <c r="L53" i="16"/>
  <c r="M53" i="16"/>
  <c r="P52" i="16"/>
  <c r="AK51" i="16"/>
  <c r="AL51" i="16" s="1"/>
  <c r="N52" i="16"/>
  <c r="AC52" i="16" s="1"/>
  <c r="O52" i="16"/>
  <c r="R52" i="16"/>
  <c r="S52" i="16"/>
  <c r="AM51" i="16"/>
  <c r="AN51" i="16" s="1"/>
  <c r="Q52" i="16"/>
  <c r="P52" i="14"/>
  <c r="AI52" i="14"/>
  <c r="M52" i="14"/>
  <c r="L52" i="14"/>
  <c r="N52" i="14"/>
  <c r="AK51" i="14"/>
  <c r="AL51" i="14" s="1"/>
  <c r="O52" i="14"/>
  <c r="AM51" i="14"/>
  <c r="AN51" i="14" s="1"/>
  <c r="R52" i="14"/>
  <c r="S52" i="14"/>
  <c r="Q52" i="14"/>
  <c r="AJ51" i="14"/>
  <c r="K58" i="14" l="1"/>
  <c r="AB58" i="14" s="1"/>
  <c r="AC52" i="14"/>
  <c r="AD52" i="16"/>
  <c r="AD52" i="14"/>
  <c r="AI53" i="16"/>
  <c r="AJ53" i="16" s="1"/>
  <c r="M54" i="16"/>
  <c r="L54" i="16"/>
  <c r="K54" i="16"/>
  <c r="AB54" i="16" s="1"/>
  <c r="AM52" i="16"/>
  <c r="AN52" i="16" s="1"/>
  <c r="P53" i="16"/>
  <c r="AK52" i="16"/>
  <c r="AL52" i="16" s="1"/>
  <c r="O53" i="16"/>
  <c r="N53" i="16"/>
  <c r="AC53" i="16" s="1"/>
  <c r="Q53" i="16"/>
  <c r="S53" i="16"/>
  <c r="R53" i="16"/>
  <c r="M53" i="14"/>
  <c r="AI53" i="14"/>
  <c r="L53" i="14"/>
  <c r="AM52" i="14"/>
  <c r="AN52" i="14" s="1"/>
  <c r="AK52" i="14"/>
  <c r="AL52" i="14" s="1"/>
  <c r="N53" i="14"/>
  <c r="P53" i="14"/>
  <c r="O53" i="14"/>
  <c r="S53" i="14"/>
  <c r="Q53" i="14"/>
  <c r="R53" i="14"/>
  <c r="AJ52" i="14"/>
  <c r="K59" i="14" l="1"/>
  <c r="AB59" i="14" s="1"/>
  <c r="AD53" i="14"/>
  <c r="AC53" i="14"/>
  <c r="AD53" i="16"/>
  <c r="M55" i="16"/>
  <c r="K55" i="16"/>
  <c r="AB55" i="16" s="1"/>
  <c r="L55" i="16"/>
  <c r="AI54" i="16"/>
  <c r="AJ54" i="16" s="1"/>
  <c r="AM53" i="16"/>
  <c r="AN53" i="16" s="1"/>
  <c r="S54" i="16"/>
  <c r="N54" i="16"/>
  <c r="AC54" i="16" s="1"/>
  <c r="P54" i="16"/>
  <c r="Q54" i="16"/>
  <c r="R54" i="16"/>
  <c r="AK53" i="16"/>
  <c r="AL53" i="16" s="1"/>
  <c r="O54" i="16"/>
  <c r="L54" i="14"/>
  <c r="M54" i="14"/>
  <c r="AI54" i="14"/>
  <c r="N54" i="14"/>
  <c r="AK53" i="14"/>
  <c r="AL53" i="14" s="1"/>
  <c r="O54" i="14"/>
  <c r="P54" i="14"/>
  <c r="AM53" i="14"/>
  <c r="AN53" i="14" s="1"/>
  <c r="R54" i="14"/>
  <c r="Q54" i="14"/>
  <c r="S54" i="14"/>
  <c r="AJ53" i="14"/>
  <c r="K60" i="14" l="1"/>
  <c r="AB60" i="14" s="1"/>
  <c r="AD54" i="14"/>
  <c r="AD54" i="16"/>
  <c r="AC54" i="14"/>
  <c r="AI55" i="16"/>
  <c r="AJ55" i="16" s="1"/>
  <c r="L56" i="16"/>
  <c r="M56" i="16"/>
  <c r="K56" i="16"/>
  <c r="AB56" i="16" s="1"/>
  <c r="S55" i="16"/>
  <c r="P55" i="16"/>
  <c r="R55" i="16"/>
  <c r="Q55" i="16"/>
  <c r="AM54" i="16"/>
  <c r="AN54" i="16" s="1"/>
  <c r="O55" i="16"/>
  <c r="N55" i="16"/>
  <c r="AC55" i="16" s="1"/>
  <c r="AK54" i="16"/>
  <c r="AL54" i="16" s="1"/>
  <c r="AI55" i="14"/>
  <c r="M55" i="14"/>
  <c r="AK54" i="14"/>
  <c r="AL54" i="14" s="1"/>
  <c r="L55" i="14"/>
  <c r="P55" i="14"/>
  <c r="N55" i="14"/>
  <c r="O55" i="14"/>
  <c r="AM54" i="14"/>
  <c r="AN54" i="14" s="1"/>
  <c r="R55" i="14"/>
  <c r="S55" i="14"/>
  <c r="Q55" i="14"/>
  <c r="AJ54" i="14"/>
  <c r="K61" i="14" l="1"/>
  <c r="AB61" i="14" s="1"/>
  <c r="AD55" i="16"/>
  <c r="AC55" i="14"/>
  <c r="AD55" i="14"/>
  <c r="AI56" i="16"/>
  <c r="AJ56" i="16" s="1"/>
  <c r="L57" i="16"/>
  <c r="K57" i="16"/>
  <c r="AB57" i="16" s="1"/>
  <c r="M57" i="16"/>
  <c r="R56" i="16"/>
  <c r="AM55" i="16"/>
  <c r="AN55" i="16" s="1"/>
  <c r="Q56" i="16"/>
  <c r="S56" i="16"/>
  <c r="O56" i="16"/>
  <c r="N56" i="16"/>
  <c r="AC56" i="16" s="1"/>
  <c r="P56" i="16"/>
  <c r="AK55" i="16"/>
  <c r="AL55" i="16" s="1"/>
  <c r="L56" i="14"/>
  <c r="P56" i="14"/>
  <c r="M56" i="14"/>
  <c r="AI56" i="14"/>
  <c r="S56" i="14"/>
  <c r="O56" i="14"/>
  <c r="N56" i="14"/>
  <c r="AK55" i="14"/>
  <c r="AL55" i="14" s="1"/>
  <c r="AM55" i="14"/>
  <c r="AN55" i="14" s="1"/>
  <c r="R56" i="14"/>
  <c r="Q56" i="14"/>
  <c r="AJ55" i="14"/>
  <c r="K62" i="14" l="1"/>
  <c r="AB62" i="14" s="1"/>
  <c r="AC56" i="14"/>
  <c r="AD56" i="16"/>
  <c r="AD56" i="14"/>
  <c r="M58" i="16"/>
  <c r="K58" i="16"/>
  <c r="AB58" i="16" s="1"/>
  <c r="AI57" i="16"/>
  <c r="AJ57" i="16" s="1"/>
  <c r="L58" i="16"/>
  <c r="R57" i="16"/>
  <c r="N57" i="16"/>
  <c r="AC57" i="16" s="1"/>
  <c r="AK56" i="16"/>
  <c r="AL56" i="16" s="1"/>
  <c r="P57" i="16"/>
  <c r="O57" i="16"/>
  <c r="AM56" i="16"/>
  <c r="AN56" i="16" s="1"/>
  <c r="S57" i="16"/>
  <c r="Q57" i="16"/>
  <c r="S57" i="14"/>
  <c r="L57" i="14"/>
  <c r="AI57" i="14"/>
  <c r="M57" i="14"/>
  <c r="AK56" i="14"/>
  <c r="AL56" i="14" s="1"/>
  <c r="O57" i="14"/>
  <c r="P57" i="14"/>
  <c r="N57" i="14"/>
  <c r="AM56" i="14"/>
  <c r="AN56" i="14" s="1"/>
  <c r="R57" i="14"/>
  <c r="Q57" i="14"/>
  <c r="AJ56" i="14"/>
  <c r="K63" i="14" l="1"/>
  <c r="AB63" i="14" s="1"/>
  <c r="AD57" i="14"/>
  <c r="AC57" i="14"/>
  <c r="AD57" i="16"/>
  <c r="L59" i="16"/>
  <c r="K59" i="16"/>
  <c r="AB59" i="16" s="1"/>
  <c r="M59" i="16"/>
  <c r="AI58" i="16"/>
  <c r="AJ58" i="16" s="1"/>
  <c r="R58" i="16"/>
  <c r="AK57" i="16"/>
  <c r="AL57" i="16" s="1"/>
  <c r="O58" i="16"/>
  <c r="P58" i="16"/>
  <c r="AM57" i="16"/>
  <c r="AN57" i="16" s="1"/>
  <c r="N58" i="16"/>
  <c r="AC58" i="16" s="1"/>
  <c r="Q58" i="16"/>
  <c r="S58" i="16"/>
  <c r="M58" i="14"/>
  <c r="L58" i="14"/>
  <c r="AI58" i="14"/>
  <c r="O58" i="14"/>
  <c r="P58" i="14"/>
  <c r="AK57" i="14"/>
  <c r="AL57" i="14" s="1"/>
  <c r="R58" i="14"/>
  <c r="N58" i="14"/>
  <c r="S58" i="14"/>
  <c r="AM57" i="14"/>
  <c r="AN57" i="14" s="1"/>
  <c r="Q58" i="14"/>
  <c r="AJ57" i="14"/>
  <c r="K64" i="14" l="1"/>
  <c r="AB64" i="14" s="1"/>
  <c r="AD58" i="14"/>
  <c r="AD58" i="16"/>
  <c r="AC58" i="14"/>
  <c r="L60" i="16"/>
  <c r="AI59" i="16"/>
  <c r="AJ59" i="16" s="1"/>
  <c r="M60" i="16"/>
  <c r="K60" i="16"/>
  <c r="AB60" i="16" s="1"/>
  <c r="Q59" i="16"/>
  <c r="AM58" i="16"/>
  <c r="AN58" i="16" s="1"/>
  <c r="O59" i="16"/>
  <c r="N59" i="16"/>
  <c r="AC59" i="16" s="1"/>
  <c r="AK58" i="16"/>
  <c r="AL58" i="16" s="1"/>
  <c r="P59" i="16"/>
  <c r="R59" i="16"/>
  <c r="S59" i="16"/>
  <c r="P59" i="14"/>
  <c r="L59" i="14"/>
  <c r="M59" i="14"/>
  <c r="AI59" i="14"/>
  <c r="N59" i="14"/>
  <c r="AM58" i="14"/>
  <c r="AN58" i="14" s="1"/>
  <c r="O59" i="14"/>
  <c r="AK58" i="14"/>
  <c r="AL58" i="14" s="1"/>
  <c r="Q59" i="14"/>
  <c r="S59" i="14"/>
  <c r="R59" i="14"/>
  <c r="AJ58" i="14"/>
  <c r="K65" i="14" l="1"/>
  <c r="AB65" i="14" s="1"/>
  <c r="AC59" i="14"/>
  <c r="AD59" i="14"/>
  <c r="AD59" i="16"/>
  <c r="K61" i="16"/>
  <c r="AB61" i="16" s="1"/>
  <c r="L61" i="16"/>
  <c r="AI60" i="16"/>
  <c r="AJ60" i="16" s="1"/>
  <c r="M61" i="16"/>
  <c r="Q60" i="16"/>
  <c r="N60" i="16"/>
  <c r="AC60" i="16" s="1"/>
  <c r="R60" i="16"/>
  <c r="P60" i="16"/>
  <c r="AM59" i="16"/>
  <c r="AN59" i="16" s="1"/>
  <c r="S60" i="16"/>
  <c r="O60" i="16"/>
  <c r="AK59" i="16"/>
  <c r="AL59" i="16" s="1"/>
  <c r="AM59" i="14"/>
  <c r="AN59" i="14" s="1"/>
  <c r="AI60" i="14"/>
  <c r="AK59" i="14"/>
  <c r="AL59" i="14" s="1"/>
  <c r="L60" i="14"/>
  <c r="M60" i="14"/>
  <c r="P60" i="14"/>
  <c r="N60" i="14"/>
  <c r="O60" i="14"/>
  <c r="Q60" i="14"/>
  <c r="R60" i="14"/>
  <c r="S60" i="14"/>
  <c r="AJ59" i="14"/>
  <c r="K66" i="14" l="1"/>
  <c r="AB66" i="14" s="1"/>
  <c r="AD60" i="16"/>
  <c r="AC60" i="14"/>
  <c r="AD60" i="14"/>
  <c r="AI61" i="16"/>
  <c r="AJ61" i="16" s="1"/>
  <c r="L62" i="16"/>
  <c r="K62" i="16"/>
  <c r="AB62" i="16" s="1"/>
  <c r="M62" i="16"/>
  <c r="S61" i="16"/>
  <c r="Q61" i="16"/>
  <c r="AM60" i="16"/>
  <c r="AN60" i="16" s="1"/>
  <c r="R61" i="16"/>
  <c r="O61" i="16"/>
  <c r="AK60" i="16"/>
  <c r="AL60" i="16" s="1"/>
  <c r="N61" i="16"/>
  <c r="AC61" i="16" s="1"/>
  <c r="P61" i="16"/>
  <c r="M61" i="14"/>
  <c r="L61" i="14"/>
  <c r="AI61" i="14"/>
  <c r="N61" i="14"/>
  <c r="AK60" i="14"/>
  <c r="AL60" i="14" s="1"/>
  <c r="AM60" i="14"/>
  <c r="AN60" i="14" s="1"/>
  <c r="O61" i="14"/>
  <c r="P61" i="14"/>
  <c r="Q61" i="14"/>
  <c r="S61" i="14"/>
  <c r="R61" i="14"/>
  <c r="AJ60" i="14"/>
  <c r="K67" i="14" l="1"/>
  <c r="AB67" i="14" s="1"/>
  <c r="AD61" i="16"/>
  <c r="AD61" i="14"/>
  <c r="AC61" i="14"/>
  <c r="AI62" i="16"/>
  <c r="AJ62" i="16" s="1"/>
  <c r="L63" i="16"/>
  <c r="K63" i="16"/>
  <c r="AB63" i="16" s="1"/>
  <c r="M63" i="16"/>
  <c r="R62" i="16"/>
  <c r="O62" i="16"/>
  <c r="N62" i="16"/>
  <c r="AC62" i="16" s="1"/>
  <c r="Q62" i="16"/>
  <c r="AK61" i="16"/>
  <c r="AL61" i="16" s="1"/>
  <c r="P62" i="16"/>
  <c r="AM61" i="16"/>
  <c r="AN61" i="16" s="1"/>
  <c r="S62" i="16"/>
  <c r="AK61" i="14"/>
  <c r="AL61" i="14" s="1"/>
  <c r="AI62" i="14"/>
  <c r="M62" i="14"/>
  <c r="L62" i="14"/>
  <c r="P62" i="14"/>
  <c r="O62" i="14"/>
  <c r="N62" i="14"/>
  <c r="S62" i="14"/>
  <c r="R62" i="14"/>
  <c r="AM61" i="14"/>
  <c r="AN61" i="14" s="1"/>
  <c r="Q62" i="14"/>
  <c r="AJ61" i="14"/>
  <c r="K68" i="14" l="1"/>
  <c r="AB68" i="14" s="1"/>
  <c r="AD62" i="14"/>
  <c r="AC62" i="14"/>
  <c r="AD62" i="16"/>
  <c r="M64" i="16"/>
  <c r="L64" i="16"/>
  <c r="K64" i="16"/>
  <c r="AB64" i="16" s="1"/>
  <c r="AI63" i="16"/>
  <c r="AJ63" i="16" s="1"/>
  <c r="Q63" i="16"/>
  <c r="N63" i="16"/>
  <c r="AC63" i="16" s="1"/>
  <c r="P63" i="16"/>
  <c r="AM62" i="16"/>
  <c r="AN62" i="16" s="1"/>
  <c r="O63" i="16"/>
  <c r="AK62" i="16"/>
  <c r="AL62" i="16" s="1"/>
  <c r="S63" i="16"/>
  <c r="R63" i="16"/>
  <c r="AI63" i="14"/>
  <c r="M63" i="14"/>
  <c r="L63" i="14"/>
  <c r="N63" i="14"/>
  <c r="P63" i="14"/>
  <c r="AM62" i="14"/>
  <c r="AN62" i="14" s="1"/>
  <c r="AK62" i="14"/>
  <c r="AL62" i="14" s="1"/>
  <c r="O63" i="14"/>
  <c r="R63" i="14"/>
  <c r="Q63" i="14"/>
  <c r="S63" i="14"/>
  <c r="AJ62" i="14"/>
  <c r="K69" i="14" l="1"/>
  <c r="AB69" i="14" s="1"/>
  <c r="AD63" i="16"/>
  <c r="AC63" i="14"/>
  <c r="AD63" i="14"/>
  <c r="K65" i="16"/>
  <c r="AB65" i="16" s="1"/>
  <c r="L65" i="16"/>
  <c r="AI64" i="16"/>
  <c r="AJ64" i="16" s="1"/>
  <c r="M65" i="16"/>
  <c r="Q64" i="16"/>
  <c r="O64" i="16"/>
  <c r="AM63" i="16"/>
  <c r="AN63" i="16" s="1"/>
  <c r="R64" i="16"/>
  <c r="S64" i="16"/>
  <c r="P64" i="16"/>
  <c r="N64" i="16"/>
  <c r="AC64" i="16" s="1"/>
  <c r="AK63" i="16"/>
  <c r="AL63" i="16" s="1"/>
  <c r="AI64" i="14"/>
  <c r="M64" i="14"/>
  <c r="L64" i="14"/>
  <c r="N64" i="14"/>
  <c r="P64" i="14"/>
  <c r="AK63" i="14"/>
  <c r="AL63" i="14" s="1"/>
  <c r="O64" i="14"/>
  <c r="AM63" i="14"/>
  <c r="AN63" i="14" s="1"/>
  <c r="S64" i="14"/>
  <c r="Q64" i="14"/>
  <c r="R64" i="14"/>
  <c r="AJ63" i="14"/>
  <c r="K70" i="14" l="1"/>
  <c r="AB70" i="14" s="1"/>
  <c r="AD64" i="14"/>
  <c r="AC64" i="14"/>
  <c r="AD64" i="16"/>
  <c r="L66" i="16"/>
  <c r="AI65" i="16"/>
  <c r="AJ65" i="16" s="1"/>
  <c r="M66" i="16"/>
  <c r="K66" i="16"/>
  <c r="AB66" i="16" s="1"/>
  <c r="AM64" i="16"/>
  <c r="AN64" i="16" s="1"/>
  <c r="AK64" i="16"/>
  <c r="AL64" i="16" s="1"/>
  <c r="N65" i="16"/>
  <c r="AC65" i="16" s="1"/>
  <c r="O65" i="16"/>
  <c r="R65" i="16"/>
  <c r="S65" i="16"/>
  <c r="P65" i="16"/>
  <c r="Q65" i="16"/>
  <c r="AI65" i="14"/>
  <c r="L65" i="14"/>
  <c r="M65" i="14"/>
  <c r="AK64" i="14"/>
  <c r="AL64" i="14" s="1"/>
  <c r="P65" i="14"/>
  <c r="N65" i="14"/>
  <c r="O65" i="14"/>
  <c r="Q65" i="14"/>
  <c r="S65" i="14"/>
  <c r="R65" i="14"/>
  <c r="AM64" i="14"/>
  <c r="AN64" i="14" s="1"/>
  <c r="AJ64" i="14"/>
  <c r="K71" i="14" l="1"/>
  <c r="AB71" i="14" s="1"/>
  <c r="AC65" i="14"/>
  <c r="AD65" i="16"/>
  <c r="AD65" i="14"/>
  <c r="AI66" i="16"/>
  <c r="AJ66" i="16" s="1"/>
  <c r="K67" i="16"/>
  <c r="AB67" i="16" s="1"/>
  <c r="L67" i="16"/>
  <c r="M67" i="16"/>
  <c r="S66" i="16"/>
  <c r="AK65" i="16"/>
  <c r="AL65" i="16" s="1"/>
  <c r="O66" i="16"/>
  <c r="N66" i="16"/>
  <c r="AC66" i="16" s="1"/>
  <c r="P66" i="16"/>
  <c r="AM65" i="16"/>
  <c r="AN65" i="16" s="1"/>
  <c r="R66" i="16"/>
  <c r="Q66" i="16"/>
  <c r="L66" i="14"/>
  <c r="M66" i="14"/>
  <c r="AI66" i="14"/>
  <c r="AK65" i="14"/>
  <c r="AL65" i="14" s="1"/>
  <c r="AM65" i="14"/>
  <c r="AN65" i="14" s="1"/>
  <c r="N66" i="14"/>
  <c r="O66" i="14"/>
  <c r="P66" i="14"/>
  <c r="S66" i="14"/>
  <c r="Q66" i="14"/>
  <c r="R66" i="14"/>
  <c r="AJ65" i="14"/>
  <c r="K72" i="14" l="1"/>
  <c r="AB72" i="14" s="1"/>
  <c r="AD66" i="14"/>
  <c r="AC66" i="14"/>
  <c r="AD66" i="16"/>
  <c r="L68" i="16"/>
  <c r="AI67" i="16"/>
  <c r="AJ67" i="16" s="1"/>
  <c r="M68" i="16"/>
  <c r="K68" i="16"/>
  <c r="AB68" i="16" s="1"/>
  <c r="AM66" i="16"/>
  <c r="AN66" i="16" s="1"/>
  <c r="S67" i="16"/>
  <c r="R67" i="16"/>
  <c r="AK66" i="16"/>
  <c r="AL66" i="16" s="1"/>
  <c r="O67" i="16"/>
  <c r="N67" i="16"/>
  <c r="AC67" i="16" s="1"/>
  <c r="Q67" i="16"/>
  <c r="P67" i="16"/>
  <c r="L67" i="14"/>
  <c r="M67" i="14"/>
  <c r="AI67" i="14"/>
  <c r="N67" i="14"/>
  <c r="O67" i="14"/>
  <c r="P67" i="14"/>
  <c r="AK66" i="14"/>
  <c r="AL66" i="14" s="1"/>
  <c r="Q67" i="14"/>
  <c r="R67" i="14"/>
  <c r="AM66" i="14"/>
  <c r="AN66" i="14" s="1"/>
  <c r="S67" i="14"/>
  <c r="AJ66" i="14"/>
  <c r="K73" i="14" l="1"/>
  <c r="AB73" i="14" s="1"/>
  <c r="AD67" i="16"/>
  <c r="AD67" i="14"/>
  <c r="AC67" i="14"/>
  <c r="K69" i="16"/>
  <c r="AB69" i="16" s="1"/>
  <c r="L69" i="16"/>
  <c r="M69" i="16"/>
  <c r="AI68" i="16"/>
  <c r="AJ68" i="16" s="1"/>
  <c r="P68" i="16"/>
  <c r="R68" i="16"/>
  <c r="O68" i="16"/>
  <c r="AK67" i="16"/>
  <c r="AL67" i="16" s="1"/>
  <c r="Q68" i="16"/>
  <c r="AM67" i="16"/>
  <c r="AN67" i="16" s="1"/>
  <c r="N68" i="16"/>
  <c r="AC68" i="16" s="1"/>
  <c r="S68" i="16"/>
  <c r="AK67" i="14"/>
  <c r="AL67" i="14" s="1"/>
  <c r="O68" i="14"/>
  <c r="M68" i="14"/>
  <c r="N68" i="14"/>
  <c r="P68" i="14"/>
  <c r="AI68" i="14"/>
  <c r="L68" i="14"/>
  <c r="Q68" i="14"/>
  <c r="S68" i="14"/>
  <c r="AM67" i="14"/>
  <c r="AN67" i="14" s="1"/>
  <c r="R68" i="14"/>
  <c r="AJ67" i="14"/>
  <c r="K74" i="14" l="1"/>
  <c r="AB74" i="14" s="1"/>
  <c r="AC68" i="14"/>
  <c r="AD68" i="14"/>
  <c r="AD68" i="16"/>
  <c r="M70" i="16"/>
  <c r="L70" i="16"/>
  <c r="AI69" i="16"/>
  <c r="AJ69" i="16" s="1"/>
  <c r="K70" i="16"/>
  <c r="AB70" i="16" s="1"/>
  <c r="AM68" i="16"/>
  <c r="AN68" i="16" s="1"/>
  <c r="S69" i="16"/>
  <c r="P69" i="16"/>
  <c r="N69" i="16"/>
  <c r="AC69" i="16" s="1"/>
  <c r="Q69" i="16"/>
  <c r="O69" i="16"/>
  <c r="R69" i="16"/>
  <c r="AK68" i="16"/>
  <c r="AL68" i="16" s="1"/>
  <c r="O69" i="14"/>
  <c r="AK68" i="14"/>
  <c r="AL68" i="14" s="1"/>
  <c r="N69" i="14"/>
  <c r="P69" i="14"/>
  <c r="M69" i="14"/>
  <c r="AI69" i="14"/>
  <c r="AM68" i="14"/>
  <c r="AN68" i="14" s="1"/>
  <c r="L69" i="14"/>
  <c r="R69" i="14"/>
  <c r="Q69" i="14"/>
  <c r="S69" i="14"/>
  <c r="AJ68" i="14"/>
  <c r="K75" i="14" l="1"/>
  <c r="AB75" i="14" s="1"/>
  <c r="AD69" i="14"/>
  <c r="AC69" i="14"/>
  <c r="AD69" i="16"/>
  <c r="L71" i="16"/>
  <c r="K71" i="16"/>
  <c r="AB71" i="16" s="1"/>
  <c r="AI70" i="16"/>
  <c r="AJ70" i="16" s="1"/>
  <c r="M71" i="16"/>
  <c r="AK69" i="16"/>
  <c r="AL69" i="16" s="1"/>
  <c r="O70" i="16"/>
  <c r="Q70" i="16"/>
  <c r="S70" i="16"/>
  <c r="AM69" i="16"/>
  <c r="AN69" i="16" s="1"/>
  <c r="R70" i="16"/>
  <c r="P70" i="16"/>
  <c r="N70" i="16"/>
  <c r="AC70" i="16" s="1"/>
  <c r="L70" i="14"/>
  <c r="AK69" i="14"/>
  <c r="AL69" i="14" s="1"/>
  <c r="N70" i="14"/>
  <c r="O70" i="14"/>
  <c r="P70" i="14"/>
  <c r="M70" i="14"/>
  <c r="AI70" i="14"/>
  <c r="R70" i="14"/>
  <c r="AM69" i="14"/>
  <c r="AN69" i="14" s="1"/>
  <c r="S70" i="14"/>
  <c r="Q70" i="14"/>
  <c r="AJ69" i="14"/>
  <c r="K76" i="14" l="1"/>
  <c r="AB76" i="14" s="1"/>
  <c r="AD70" i="16"/>
  <c r="AD70" i="14"/>
  <c r="AC70" i="14"/>
  <c r="M72" i="16"/>
  <c r="AI71" i="16"/>
  <c r="AJ71" i="16" s="1"/>
  <c r="L72" i="16"/>
  <c r="K72" i="16"/>
  <c r="AB72" i="16" s="1"/>
  <c r="S71" i="16"/>
  <c r="O71" i="16"/>
  <c r="AM70" i="16"/>
  <c r="AN70" i="16" s="1"/>
  <c r="P71" i="16"/>
  <c r="N71" i="16"/>
  <c r="AC71" i="16" s="1"/>
  <c r="Q71" i="16"/>
  <c r="R71" i="16"/>
  <c r="AK70" i="16"/>
  <c r="AL70" i="16" s="1"/>
  <c r="P71" i="14"/>
  <c r="O71" i="14"/>
  <c r="M71" i="14"/>
  <c r="AI71" i="14"/>
  <c r="AK70" i="14"/>
  <c r="AL70" i="14" s="1"/>
  <c r="N71" i="14"/>
  <c r="L71" i="14"/>
  <c r="Q71" i="14"/>
  <c r="S71" i="14"/>
  <c r="R71" i="14"/>
  <c r="AM70" i="14"/>
  <c r="AN70" i="14" s="1"/>
  <c r="AJ70" i="14"/>
  <c r="K77" i="14" l="1"/>
  <c r="AB77" i="14" s="1"/>
  <c r="AD71" i="16"/>
  <c r="AD71" i="14"/>
  <c r="AC71" i="14"/>
  <c r="K73" i="16"/>
  <c r="AB73" i="16" s="1"/>
  <c r="L73" i="16"/>
  <c r="M73" i="16"/>
  <c r="AI72" i="16"/>
  <c r="AJ72" i="16" s="1"/>
  <c r="S72" i="16"/>
  <c r="O72" i="16"/>
  <c r="AK71" i="16"/>
  <c r="AL71" i="16" s="1"/>
  <c r="N72" i="16"/>
  <c r="AC72" i="16" s="1"/>
  <c r="Q72" i="16"/>
  <c r="P72" i="16"/>
  <c r="R72" i="16"/>
  <c r="AM71" i="16"/>
  <c r="AN71" i="16" s="1"/>
  <c r="P72" i="14"/>
  <c r="AM71" i="14"/>
  <c r="AN71" i="14" s="1"/>
  <c r="AI72" i="14"/>
  <c r="M72" i="14"/>
  <c r="L72" i="14"/>
  <c r="AK71" i="14"/>
  <c r="AL71" i="14" s="1"/>
  <c r="N72" i="14"/>
  <c r="O72" i="14"/>
  <c r="Q72" i="14"/>
  <c r="R72" i="14"/>
  <c r="S72" i="14"/>
  <c r="AJ71" i="14"/>
  <c r="K78" i="14" l="1"/>
  <c r="AB78" i="14" s="1"/>
  <c r="AC72" i="14"/>
  <c r="AD72" i="14"/>
  <c r="AD72" i="16"/>
  <c r="AI73" i="16"/>
  <c r="AJ73" i="16" s="1"/>
  <c r="M74" i="16"/>
  <c r="L74" i="16"/>
  <c r="K74" i="16"/>
  <c r="AB74" i="16" s="1"/>
  <c r="O73" i="16"/>
  <c r="AK72" i="16"/>
  <c r="AL72" i="16" s="1"/>
  <c r="N73" i="16"/>
  <c r="AC73" i="16" s="1"/>
  <c r="Q73" i="16"/>
  <c r="R73" i="16"/>
  <c r="S73" i="16"/>
  <c r="AM72" i="16"/>
  <c r="AN72" i="16" s="1"/>
  <c r="P73" i="16"/>
  <c r="AM72" i="14"/>
  <c r="AN72" i="14" s="1"/>
  <c r="AI73" i="14"/>
  <c r="AK72" i="14"/>
  <c r="AL72" i="14" s="1"/>
  <c r="O73" i="14"/>
  <c r="N73" i="14"/>
  <c r="P73" i="14"/>
  <c r="M73" i="14"/>
  <c r="L73" i="14"/>
  <c r="S73" i="14"/>
  <c r="Q73" i="14"/>
  <c r="R73" i="14"/>
  <c r="AJ72" i="14"/>
  <c r="K79" i="14" l="1"/>
  <c r="AB79" i="14" s="1"/>
  <c r="AD73" i="16"/>
  <c r="AC73" i="14"/>
  <c r="AD73" i="14"/>
  <c r="L75" i="16"/>
  <c r="M75" i="16"/>
  <c r="K75" i="16"/>
  <c r="AB75" i="16" s="1"/>
  <c r="AI74" i="16"/>
  <c r="AJ74" i="16" s="1"/>
  <c r="Q74" i="16"/>
  <c r="AK73" i="16"/>
  <c r="AL73" i="16" s="1"/>
  <c r="AM73" i="16"/>
  <c r="AN73" i="16" s="1"/>
  <c r="N74" i="16"/>
  <c r="AC74" i="16" s="1"/>
  <c r="O74" i="16"/>
  <c r="S74" i="16"/>
  <c r="R74" i="16"/>
  <c r="P74" i="16"/>
  <c r="L74" i="14"/>
  <c r="AI74" i="14"/>
  <c r="M74" i="14"/>
  <c r="P74" i="14"/>
  <c r="O74" i="14"/>
  <c r="AK73" i="14"/>
  <c r="AL73" i="14" s="1"/>
  <c r="N74" i="14"/>
  <c r="S74" i="14"/>
  <c r="R74" i="14"/>
  <c r="Q74" i="14"/>
  <c r="AM73" i="14"/>
  <c r="AN73" i="14" s="1"/>
  <c r="AJ73" i="14"/>
  <c r="K80" i="14" l="1"/>
  <c r="AB80" i="14" s="1"/>
  <c r="AD74" i="14"/>
  <c r="AD74" i="16"/>
  <c r="AC74" i="14"/>
  <c r="L76" i="16"/>
  <c r="M76" i="16"/>
  <c r="K76" i="16"/>
  <c r="AB76" i="16" s="1"/>
  <c r="AI75" i="16"/>
  <c r="AJ75" i="16" s="1"/>
  <c r="Q75" i="16"/>
  <c r="S75" i="16"/>
  <c r="AK74" i="16"/>
  <c r="AL74" i="16" s="1"/>
  <c r="R75" i="16"/>
  <c r="P75" i="16"/>
  <c r="AM74" i="16"/>
  <c r="AN74" i="16" s="1"/>
  <c r="O75" i="16"/>
  <c r="N75" i="16"/>
  <c r="AC75" i="16" s="1"/>
  <c r="R75" i="14"/>
  <c r="O75" i="14"/>
  <c r="AI75" i="14"/>
  <c r="M75" i="14"/>
  <c r="L75" i="14"/>
  <c r="AK74" i="14"/>
  <c r="AL74" i="14" s="1"/>
  <c r="P75" i="14"/>
  <c r="N75" i="14"/>
  <c r="AM74" i="14"/>
  <c r="AN74" i="14" s="1"/>
  <c r="S75" i="14"/>
  <c r="Q75" i="14"/>
  <c r="AJ74" i="14"/>
  <c r="K81" i="14" l="1"/>
  <c r="AB81" i="14" s="1"/>
  <c r="AD75" i="16"/>
  <c r="AD75" i="14"/>
  <c r="AC75" i="14"/>
  <c r="K77" i="16"/>
  <c r="AB77" i="16" s="1"/>
  <c r="AI76" i="16"/>
  <c r="AJ76" i="16" s="1"/>
  <c r="M77" i="16"/>
  <c r="L77" i="16"/>
  <c r="AM75" i="16"/>
  <c r="AN75" i="16" s="1"/>
  <c r="R76" i="16"/>
  <c r="S76" i="16"/>
  <c r="Q76" i="16"/>
  <c r="P76" i="16"/>
  <c r="O76" i="16"/>
  <c r="N76" i="16"/>
  <c r="AC76" i="16" s="1"/>
  <c r="AK75" i="16"/>
  <c r="AL75" i="16" s="1"/>
  <c r="AI76" i="14"/>
  <c r="L76" i="14"/>
  <c r="M76" i="14"/>
  <c r="AK75" i="14"/>
  <c r="AL75" i="14" s="1"/>
  <c r="O76" i="14"/>
  <c r="P76" i="14"/>
  <c r="N76" i="14"/>
  <c r="R76" i="14"/>
  <c r="Q76" i="14"/>
  <c r="AM75" i="14"/>
  <c r="AN75" i="14" s="1"/>
  <c r="S76" i="14"/>
  <c r="AJ75" i="14"/>
  <c r="K82" i="14" l="1"/>
  <c r="AB82" i="14" s="1"/>
  <c r="AC76" i="14"/>
  <c r="AD76" i="14"/>
  <c r="AD76" i="16"/>
  <c r="K78" i="16"/>
  <c r="AB78" i="16" s="1"/>
  <c r="L78" i="16"/>
  <c r="M78" i="16"/>
  <c r="AI77" i="16"/>
  <c r="AJ77" i="16" s="1"/>
  <c r="AM76" i="16"/>
  <c r="AN76" i="16" s="1"/>
  <c r="AK76" i="16"/>
  <c r="AL76" i="16" s="1"/>
  <c r="Q77" i="16"/>
  <c r="S77" i="16"/>
  <c r="R77" i="16"/>
  <c r="O77" i="16"/>
  <c r="N77" i="16"/>
  <c r="AC77" i="16" s="1"/>
  <c r="P77" i="16"/>
  <c r="AI77" i="14"/>
  <c r="L77" i="14"/>
  <c r="M77" i="14"/>
  <c r="AK76" i="14"/>
  <c r="AL76" i="14" s="1"/>
  <c r="O77" i="14"/>
  <c r="AM76" i="14"/>
  <c r="AN76" i="14" s="1"/>
  <c r="P77" i="14"/>
  <c r="N77" i="14"/>
  <c r="S77" i="14"/>
  <c r="R77" i="14"/>
  <c r="Q77" i="14"/>
  <c r="AJ76" i="14"/>
  <c r="K83" i="14" l="1"/>
  <c r="AB83" i="14" s="1"/>
  <c r="AD77" i="16"/>
  <c r="AD77" i="14"/>
  <c r="AC77" i="14"/>
  <c r="K79" i="16"/>
  <c r="AB79" i="16" s="1"/>
  <c r="L79" i="16"/>
  <c r="M79" i="16"/>
  <c r="AI78" i="16"/>
  <c r="AJ78" i="16" s="1"/>
  <c r="R78" i="16"/>
  <c r="AM77" i="16"/>
  <c r="AN77" i="16" s="1"/>
  <c r="AK77" i="16"/>
  <c r="AL77" i="16" s="1"/>
  <c r="O78" i="16"/>
  <c r="N78" i="16"/>
  <c r="AC78" i="16" s="1"/>
  <c r="Q78" i="16"/>
  <c r="S78" i="16"/>
  <c r="P78" i="16"/>
  <c r="AI78" i="14"/>
  <c r="L78" i="14"/>
  <c r="M78" i="14"/>
  <c r="P78" i="14"/>
  <c r="R78" i="14"/>
  <c r="N78" i="14"/>
  <c r="O78" i="14"/>
  <c r="AK77" i="14"/>
  <c r="AL77" i="14" s="1"/>
  <c r="Q78" i="14"/>
  <c r="S78" i="14"/>
  <c r="AM77" i="14"/>
  <c r="AN77" i="14" s="1"/>
  <c r="AJ77" i="14"/>
  <c r="K84" i="14" l="1"/>
  <c r="AB84" i="14" s="1"/>
  <c r="AD78" i="16"/>
  <c r="AD78" i="14"/>
  <c r="AC78" i="14"/>
  <c r="K80" i="16"/>
  <c r="AB80" i="16" s="1"/>
  <c r="L80" i="16"/>
  <c r="M80" i="16"/>
  <c r="AI79" i="16"/>
  <c r="AJ79" i="16" s="1"/>
  <c r="AM78" i="16"/>
  <c r="AN78" i="16" s="1"/>
  <c r="R79" i="16"/>
  <c r="Q79" i="16"/>
  <c r="N79" i="16"/>
  <c r="AC79" i="16" s="1"/>
  <c r="O79" i="16"/>
  <c r="AK78" i="16"/>
  <c r="AL78" i="16" s="1"/>
  <c r="P79" i="16"/>
  <c r="S79" i="16"/>
  <c r="L79" i="14"/>
  <c r="AI79" i="14"/>
  <c r="M79" i="14"/>
  <c r="N79" i="14"/>
  <c r="Q79" i="14"/>
  <c r="O79" i="14"/>
  <c r="P79" i="14"/>
  <c r="AK78" i="14"/>
  <c r="AL78" i="14" s="1"/>
  <c r="AM78" i="14"/>
  <c r="AN78" i="14" s="1"/>
  <c r="R79" i="14"/>
  <c r="S79" i="14"/>
  <c r="AJ78" i="14"/>
  <c r="K85" i="14" l="1"/>
  <c r="AB85" i="14" s="1"/>
  <c r="AD79" i="16"/>
  <c r="AD79" i="14"/>
  <c r="AC79" i="14"/>
  <c r="M81" i="16"/>
  <c r="L81" i="16"/>
  <c r="AI80" i="16"/>
  <c r="AJ80" i="16" s="1"/>
  <c r="K81" i="16"/>
  <c r="AB81" i="16" s="1"/>
  <c r="P80" i="16"/>
  <c r="AM79" i="16"/>
  <c r="AN79" i="16" s="1"/>
  <c r="R80" i="16"/>
  <c r="Q80" i="16"/>
  <c r="O80" i="16"/>
  <c r="AK79" i="16"/>
  <c r="AL79" i="16" s="1"/>
  <c r="N80" i="16"/>
  <c r="AC80" i="16" s="1"/>
  <c r="S80" i="16"/>
  <c r="AI80" i="14"/>
  <c r="L80" i="14"/>
  <c r="O80" i="14"/>
  <c r="M80" i="14"/>
  <c r="P80" i="14"/>
  <c r="N80" i="14"/>
  <c r="AK79" i="14"/>
  <c r="AL79" i="14" s="1"/>
  <c r="R80" i="14"/>
  <c r="S80" i="14"/>
  <c r="Q80" i="14"/>
  <c r="AM79" i="14"/>
  <c r="AN79" i="14" s="1"/>
  <c r="AJ79" i="14"/>
  <c r="K86" i="14" l="1"/>
  <c r="AB86" i="14" s="1"/>
  <c r="AD80" i="14"/>
  <c r="AC80" i="14"/>
  <c r="AD80" i="16"/>
  <c r="M82" i="16"/>
  <c r="L82" i="16"/>
  <c r="K82" i="16"/>
  <c r="AB82" i="16" s="1"/>
  <c r="AI81" i="16"/>
  <c r="AJ81" i="16" s="1"/>
  <c r="Q81" i="16"/>
  <c r="AM80" i="16"/>
  <c r="AN80" i="16" s="1"/>
  <c r="N81" i="16"/>
  <c r="AC81" i="16" s="1"/>
  <c r="AK80" i="16"/>
  <c r="AL80" i="16" s="1"/>
  <c r="P81" i="16"/>
  <c r="S81" i="16"/>
  <c r="R81" i="16"/>
  <c r="O81" i="16"/>
  <c r="AM80" i="14"/>
  <c r="AN80" i="14" s="1"/>
  <c r="AK80" i="14"/>
  <c r="AL80" i="14" s="1"/>
  <c r="AI81" i="14"/>
  <c r="L81" i="14"/>
  <c r="M81" i="14"/>
  <c r="O81" i="14"/>
  <c r="N81" i="14"/>
  <c r="P81" i="14"/>
  <c r="Q81" i="14"/>
  <c r="R81" i="14"/>
  <c r="S81" i="14"/>
  <c r="AJ80" i="14"/>
  <c r="K87" i="14" l="1"/>
  <c r="AB87" i="14" s="1"/>
  <c r="AC81" i="14"/>
  <c r="AD81" i="16"/>
  <c r="AD81" i="14"/>
  <c r="L83" i="16"/>
  <c r="M83" i="16"/>
  <c r="AI82" i="16"/>
  <c r="AJ82" i="16" s="1"/>
  <c r="K83" i="16"/>
  <c r="AB83" i="16" s="1"/>
  <c r="AM81" i="16"/>
  <c r="AN81" i="16" s="1"/>
  <c r="AK81" i="16"/>
  <c r="AL81" i="16" s="1"/>
  <c r="N82" i="16"/>
  <c r="AC82" i="16" s="1"/>
  <c r="O82" i="16"/>
  <c r="P82" i="16"/>
  <c r="Q82" i="16"/>
  <c r="S82" i="16"/>
  <c r="R82" i="16"/>
  <c r="M82" i="14"/>
  <c r="AI82" i="14"/>
  <c r="L82" i="14"/>
  <c r="N82" i="14"/>
  <c r="P82" i="14"/>
  <c r="AK81" i="14"/>
  <c r="AL81" i="14" s="1"/>
  <c r="O82" i="14"/>
  <c r="S82" i="14"/>
  <c r="R82" i="14"/>
  <c r="AM81" i="14"/>
  <c r="AN81" i="14" s="1"/>
  <c r="Q82" i="14"/>
  <c r="AJ81" i="14"/>
  <c r="K88" i="14" l="1"/>
  <c r="AB88" i="14" s="1"/>
  <c r="AD82" i="14"/>
  <c r="AC82" i="14"/>
  <c r="AD82" i="16"/>
  <c r="K84" i="16"/>
  <c r="AB84" i="16" s="1"/>
  <c r="AI83" i="16"/>
  <c r="AJ83" i="16" s="1"/>
  <c r="L84" i="16"/>
  <c r="M84" i="16"/>
  <c r="N83" i="16"/>
  <c r="AC83" i="16" s="1"/>
  <c r="P83" i="16"/>
  <c r="O83" i="16"/>
  <c r="S83" i="16"/>
  <c r="AK82" i="16"/>
  <c r="AL82" i="16" s="1"/>
  <c r="AM82" i="16"/>
  <c r="AN82" i="16" s="1"/>
  <c r="Q83" i="16"/>
  <c r="R83" i="16"/>
  <c r="N83" i="14"/>
  <c r="M83" i="14"/>
  <c r="AK82" i="14"/>
  <c r="AL82" i="14" s="1"/>
  <c r="AI83" i="14"/>
  <c r="L83" i="14"/>
  <c r="P83" i="14"/>
  <c r="O83" i="14"/>
  <c r="S83" i="14"/>
  <c r="AM82" i="14"/>
  <c r="AN82" i="14" s="1"/>
  <c r="Q83" i="14"/>
  <c r="R83" i="14"/>
  <c r="AJ82" i="14"/>
  <c r="K89" i="14" l="1"/>
  <c r="AB89" i="14" s="1"/>
  <c r="AD83" i="14"/>
  <c r="AC83" i="14"/>
  <c r="AD83" i="16"/>
  <c r="L85" i="16"/>
  <c r="M85" i="16"/>
  <c r="AI84" i="16"/>
  <c r="AJ84" i="16" s="1"/>
  <c r="K85" i="16"/>
  <c r="AB85" i="16" s="1"/>
  <c r="O84" i="16"/>
  <c r="P84" i="16"/>
  <c r="N84" i="16"/>
  <c r="AC84" i="16" s="1"/>
  <c r="AK83" i="16"/>
  <c r="AL83" i="16" s="1"/>
  <c r="S84" i="16"/>
  <c r="Q84" i="16"/>
  <c r="R84" i="16"/>
  <c r="AM83" i="16"/>
  <c r="AN83" i="16" s="1"/>
  <c r="AK83" i="14"/>
  <c r="AL83" i="14" s="1"/>
  <c r="O84" i="14"/>
  <c r="N84" i="14"/>
  <c r="P84" i="14"/>
  <c r="AI84" i="14"/>
  <c r="L84" i="14"/>
  <c r="M84" i="14"/>
  <c r="AM83" i="14"/>
  <c r="AN83" i="14" s="1"/>
  <c r="S84" i="14"/>
  <c r="Q84" i="14"/>
  <c r="R84" i="14"/>
  <c r="AJ83" i="14"/>
  <c r="K90" i="14" l="1"/>
  <c r="AB90" i="14" s="1"/>
  <c r="AC84" i="14"/>
  <c r="AD84" i="16"/>
  <c r="AD84" i="14"/>
  <c r="K86" i="16"/>
  <c r="AB86" i="16" s="1"/>
  <c r="L86" i="16"/>
  <c r="AI85" i="16"/>
  <c r="AJ85" i="16" s="1"/>
  <c r="M86" i="16"/>
  <c r="AK84" i="16"/>
  <c r="AL84" i="16" s="1"/>
  <c r="AM84" i="16"/>
  <c r="AN84" i="16" s="1"/>
  <c r="O85" i="16"/>
  <c r="P85" i="16"/>
  <c r="N85" i="16"/>
  <c r="AC85" i="16" s="1"/>
  <c r="S85" i="16"/>
  <c r="R85" i="16"/>
  <c r="Q85" i="16"/>
  <c r="AM84" i="14"/>
  <c r="AN84" i="14" s="1"/>
  <c r="P85" i="14"/>
  <c r="L85" i="14"/>
  <c r="M85" i="14"/>
  <c r="AI85" i="14"/>
  <c r="AK84" i="14"/>
  <c r="AL84" i="14" s="1"/>
  <c r="O85" i="14"/>
  <c r="N85" i="14"/>
  <c r="Q85" i="14"/>
  <c r="R85" i="14"/>
  <c r="S85" i="14"/>
  <c r="AJ84" i="14"/>
  <c r="K91" i="14" l="1"/>
  <c r="AB91" i="14" s="1"/>
  <c r="AD85" i="16"/>
  <c r="AD85" i="14"/>
  <c r="AC85" i="14"/>
  <c r="K87" i="16"/>
  <c r="AB87" i="16" s="1"/>
  <c r="M87" i="16"/>
  <c r="L87" i="16"/>
  <c r="AI86" i="16"/>
  <c r="AJ86" i="16" s="1"/>
  <c r="R86" i="16"/>
  <c r="P86" i="16"/>
  <c r="O86" i="16"/>
  <c r="AK85" i="16"/>
  <c r="AL85" i="16" s="1"/>
  <c r="N86" i="16"/>
  <c r="AC86" i="16" s="1"/>
  <c r="S86" i="16"/>
  <c r="AM85" i="16"/>
  <c r="AN85" i="16" s="1"/>
  <c r="Q86" i="16"/>
  <c r="AK85" i="14"/>
  <c r="AL85" i="14" s="1"/>
  <c r="AI86" i="14"/>
  <c r="L86" i="14"/>
  <c r="M86" i="14"/>
  <c r="P86" i="14"/>
  <c r="O86" i="14"/>
  <c r="N86" i="14"/>
  <c r="AM85" i="14"/>
  <c r="AN85" i="14" s="1"/>
  <c r="S86" i="14"/>
  <c r="R86" i="14"/>
  <c r="Q86" i="14"/>
  <c r="AJ85" i="14"/>
  <c r="K92" i="14" l="1"/>
  <c r="AB92" i="14" s="1"/>
  <c r="AD86" i="16"/>
  <c r="AD86" i="14"/>
  <c r="AC86" i="14"/>
  <c r="K88" i="16"/>
  <c r="AB88" i="16" s="1"/>
  <c r="L88" i="16"/>
  <c r="M88" i="16"/>
  <c r="AI87" i="16"/>
  <c r="AJ87" i="16" s="1"/>
  <c r="AM86" i="16"/>
  <c r="AN86" i="16" s="1"/>
  <c r="P87" i="16"/>
  <c r="O87" i="16"/>
  <c r="AK86" i="16"/>
  <c r="AL86" i="16" s="1"/>
  <c r="N87" i="16"/>
  <c r="AC87" i="16" s="1"/>
  <c r="Q87" i="16"/>
  <c r="R87" i="16"/>
  <c r="S87" i="16"/>
  <c r="M87" i="14"/>
  <c r="L87" i="14"/>
  <c r="AI87" i="14"/>
  <c r="O87" i="14"/>
  <c r="AK86" i="14"/>
  <c r="AL86" i="14" s="1"/>
  <c r="AM86" i="14"/>
  <c r="AN86" i="14" s="1"/>
  <c r="Q87" i="14"/>
  <c r="P87" i="14"/>
  <c r="R87" i="14"/>
  <c r="N87" i="14"/>
  <c r="S87" i="14"/>
  <c r="AJ86" i="14"/>
  <c r="K93" i="14" l="1"/>
  <c r="AB93" i="14" s="1"/>
  <c r="AD87" i="14"/>
  <c r="AC87" i="14"/>
  <c r="AD87" i="16"/>
  <c r="L89" i="16"/>
  <c r="M89" i="16"/>
  <c r="K89" i="16"/>
  <c r="AB89" i="16" s="1"/>
  <c r="AI88" i="16"/>
  <c r="AJ88" i="16" s="1"/>
  <c r="AM87" i="16"/>
  <c r="AN87" i="16" s="1"/>
  <c r="N88" i="16"/>
  <c r="AC88" i="16" s="1"/>
  <c r="P88" i="16"/>
  <c r="O88" i="16"/>
  <c r="AK87" i="16"/>
  <c r="AL87" i="16" s="1"/>
  <c r="S88" i="16"/>
  <c r="R88" i="16"/>
  <c r="Q88" i="16"/>
  <c r="AI88" i="14"/>
  <c r="N88" i="14"/>
  <c r="M88" i="14"/>
  <c r="L88" i="14"/>
  <c r="AK87" i="14"/>
  <c r="AL87" i="14" s="1"/>
  <c r="AM87" i="14"/>
  <c r="AN87" i="14" s="1"/>
  <c r="P88" i="14"/>
  <c r="R88" i="14"/>
  <c r="Q88" i="14"/>
  <c r="O88" i="14"/>
  <c r="S88" i="14"/>
  <c r="AJ87" i="14"/>
  <c r="K94" i="14" l="1"/>
  <c r="AB94" i="14" s="1"/>
  <c r="AC88" i="14"/>
  <c r="AD88" i="14"/>
  <c r="AD88" i="16"/>
  <c r="L90" i="16"/>
  <c r="K90" i="16"/>
  <c r="AB90" i="16" s="1"/>
  <c r="M90" i="16"/>
  <c r="AI89" i="16"/>
  <c r="AJ89" i="16" s="1"/>
  <c r="AM88" i="16"/>
  <c r="AN88" i="16" s="1"/>
  <c r="N89" i="16"/>
  <c r="AC89" i="16" s="1"/>
  <c r="AK88" i="16"/>
  <c r="AL88" i="16" s="1"/>
  <c r="O89" i="16"/>
  <c r="P89" i="16"/>
  <c r="R89" i="16"/>
  <c r="S89" i="16"/>
  <c r="Q89" i="16"/>
  <c r="M89" i="14"/>
  <c r="AI89" i="14"/>
  <c r="L89" i="14"/>
  <c r="N89" i="14"/>
  <c r="O89" i="14"/>
  <c r="AK88" i="14"/>
  <c r="AL88" i="14" s="1"/>
  <c r="P89" i="14"/>
  <c r="Q89" i="14"/>
  <c r="S89" i="14"/>
  <c r="R89" i="14"/>
  <c r="AM88" i="14"/>
  <c r="AN88" i="14" s="1"/>
  <c r="AJ88" i="14"/>
  <c r="K95" i="14" l="1"/>
  <c r="AB95" i="14" s="1"/>
  <c r="AD89" i="16"/>
  <c r="AC89" i="14"/>
  <c r="AD89" i="14"/>
  <c r="AI90" i="16"/>
  <c r="AJ90" i="16" s="1"/>
  <c r="K91" i="16"/>
  <c r="AB91" i="16" s="1"/>
  <c r="L91" i="16"/>
  <c r="M91" i="16"/>
  <c r="O90" i="16"/>
  <c r="N90" i="16"/>
  <c r="AC90" i="16" s="1"/>
  <c r="AK89" i="16"/>
  <c r="AL89" i="16" s="1"/>
  <c r="P90" i="16"/>
  <c r="AM89" i="16"/>
  <c r="AN89" i="16" s="1"/>
  <c r="S90" i="16"/>
  <c r="R90" i="16"/>
  <c r="Q90" i="16"/>
  <c r="AK89" i="14"/>
  <c r="AL89" i="14" s="1"/>
  <c r="M90" i="14"/>
  <c r="N90" i="14"/>
  <c r="O90" i="14"/>
  <c r="P90" i="14"/>
  <c r="L90" i="14"/>
  <c r="AI90" i="14"/>
  <c r="S90" i="14"/>
  <c r="Q90" i="14"/>
  <c r="R90" i="14"/>
  <c r="AM89" i="14"/>
  <c r="AN89" i="14" s="1"/>
  <c r="AJ89" i="14"/>
  <c r="K96" i="14" l="1"/>
  <c r="AB96" i="14" s="1"/>
  <c r="AD90" i="16"/>
  <c r="AC90" i="14"/>
  <c r="AD90" i="14"/>
  <c r="AI91" i="16"/>
  <c r="AJ91" i="16" s="1"/>
  <c r="M92" i="16"/>
  <c r="L92" i="16"/>
  <c r="K92" i="16"/>
  <c r="AB92" i="16" s="1"/>
  <c r="R91" i="16"/>
  <c r="AK90" i="16"/>
  <c r="AL90" i="16" s="1"/>
  <c r="N91" i="16"/>
  <c r="AC91" i="16" s="1"/>
  <c r="O91" i="16"/>
  <c r="P91" i="16"/>
  <c r="AM90" i="16"/>
  <c r="AN90" i="16" s="1"/>
  <c r="S91" i="16"/>
  <c r="Q91" i="16"/>
  <c r="L91" i="14"/>
  <c r="O91" i="14"/>
  <c r="N91" i="14"/>
  <c r="P91" i="14"/>
  <c r="AI91" i="14"/>
  <c r="AK90" i="14"/>
  <c r="AL90" i="14" s="1"/>
  <c r="M91" i="14"/>
  <c r="Q91" i="14"/>
  <c r="AM90" i="14"/>
  <c r="AN90" i="14" s="1"/>
  <c r="R91" i="14"/>
  <c r="S91" i="14"/>
  <c r="AJ90" i="14"/>
  <c r="K97" i="14" l="1"/>
  <c r="AB97" i="14" s="1"/>
  <c r="AC91" i="14"/>
  <c r="AD91" i="16"/>
  <c r="AD91" i="14"/>
  <c r="K93" i="16"/>
  <c r="AB93" i="16" s="1"/>
  <c r="M93" i="16"/>
  <c r="L93" i="16"/>
  <c r="AI92" i="16"/>
  <c r="AJ92" i="16" s="1"/>
  <c r="O92" i="16"/>
  <c r="Q92" i="16"/>
  <c r="N92" i="16"/>
  <c r="AC92" i="16" s="1"/>
  <c r="AK91" i="16"/>
  <c r="AL91" i="16" s="1"/>
  <c r="P92" i="16"/>
  <c r="R92" i="16"/>
  <c r="AM91" i="16"/>
  <c r="AN91" i="16" s="1"/>
  <c r="S92" i="16"/>
  <c r="M92" i="14"/>
  <c r="S92" i="14"/>
  <c r="Q92" i="14"/>
  <c r="R92" i="14"/>
  <c r="AM91" i="14"/>
  <c r="AN91" i="14" s="1"/>
  <c r="AI92" i="14"/>
  <c r="L92" i="14"/>
  <c r="O92" i="14"/>
  <c r="P92" i="14"/>
  <c r="AK91" i="14"/>
  <c r="AL91" i="14" s="1"/>
  <c r="N92" i="14"/>
  <c r="AJ91" i="14"/>
  <c r="K98" i="14" l="1"/>
  <c r="AB98" i="14" s="1"/>
  <c r="AD92" i="14"/>
  <c r="AC92" i="14"/>
  <c r="AD92" i="16"/>
  <c r="K94" i="16"/>
  <c r="AB94" i="16" s="1"/>
  <c r="M94" i="16"/>
  <c r="L94" i="16"/>
  <c r="AI93" i="16"/>
  <c r="AJ93" i="16" s="1"/>
  <c r="P93" i="16"/>
  <c r="AK92" i="16"/>
  <c r="AL92" i="16" s="1"/>
  <c r="Q93" i="16"/>
  <c r="O93" i="16"/>
  <c r="R93" i="16"/>
  <c r="N93" i="16"/>
  <c r="AC93" i="16" s="1"/>
  <c r="S93" i="16"/>
  <c r="AM92" i="16"/>
  <c r="AN92" i="16" s="1"/>
  <c r="AK92" i="14"/>
  <c r="AL92" i="14" s="1"/>
  <c r="M93" i="14"/>
  <c r="AI93" i="14"/>
  <c r="L93" i="14"/>
  <c r="S93" i="14"/>
  <c r="R93" i="14"/>
  <c r="P93" i="14"/>
  <c r="Q93" i="14"/>
  <c r="AM92" i="14"/>
  <c r="AN92" i="14" s="1"/>
  <c r="O93" i="14"/>
  <c r="N93" i="14"/>
  <c r="AJ92" i="14"/>
  <c r="K99" i="14" l="1"/>
  <c r="AB99" i="14" s="1"/>
  <c r="AD93" i="16"/>
  <c r="AC93" i="14"/>
  <c r="AD93" i="14"/>
  <c r="L95" i="16"/>
  <c r="M95" i="16"/>
  <c r="K95" i="16"/>
  <c r="AB95" i="16" s="1"/>
  <c r="AI94" i="16"/>
  <c r="AJ94" i="16" s="1"/>
  <c r="R94" i="16"/>
  <c r="Q94" i="16"/>
  <c r="AM93" i="16"/>
  <c r="AN93" i="16" s="1"/>
  <c r="S94" i="16"/>
  <c r="O94" i="16"/>
  <c r="N94" i="16"/>
  <c r="AC94" i="16" s="1"/>
  <c r="AK93" i="16"/>
  <c r="AL93" i="16" s="1"/>
  <c r="P94" i="16"/>
  <c r="AK93" i="14"/>
  <c r="AL93" i="14" s="1"/>
  <c r="M94" i="14"/>
  <c r="L94" i="14"/>
  <c r="O94" i="14"/>
  <c r="AI94" i="14"/>
  <c r="Q94" i="14"/>
  <c r="AM93" i="14"/>
  <c r="AN93" i="14" s="1"/>
  <c r="R94" i="14"/>
  <c r="S94" i="14"/>
  <c r="N94" i="14"/>
  <c r="P94" i="14"/>
  <c r="AJ93" i="14"/>
  <c r="K100" i="14" l="1"/>
  <c r="AB100" i="14" s="1"/>
  <c r="AD94" i="14"/>
  <c r="AD94" i="16"/>
  <c r="AC94" i="14"/>
  <c r="K96" i="16"/>
  <c r="AB96" i="16" s="1"/>
  <c r="M96" i="16"/>
  <c r="L96" i="16"/>
  <c r="AI95" i="16"/>
  <c r="AJ95" i="16" s="1"/>
  <c r="N95" i="16"/>
  <c r="AC95" i="16" s="1"/>
  <c r="Q95" i="16"/>
  <c r="P95" i="16"/>
  <c r="O95" i="16"/>
  <c r="S95" i="16"/>
  <c r="R95" i="16"/>
  <c r="AM94" i="16"/>
  <c r="AN94" i="16" s="1"/>
  <c r="AK94" i="16"/>
  <c r="AL94" i="16" s="1"/>
  <c r="AK94" i="14"/>
  <c r="AL94" i="14" s="1"/>
  <c r="AI95" i="14"/>
  <c r="P95" i="14"/>
  <c r="L95" i="14"/>
  <c r="M95" i="14"/>
  <c r="N95" i="14"/>
  <c r="O95" i="14"/>
  <c r="AM94" i="14"/>
  <c r="AN94" i="14" s="1"/>
  <c r="Q95" i="14"/>
  <c r="S95" i="14"/>
  <c r="R95" i="14"/>
  <c r="AJ94" i="14"/>
  <c r="K101" i="14" l="1"/>
  <c r="AB101" i="14" s="1"/>
  <c r="AC95" i="14"/>
  <c r="AD95" i="14"/>
  <c r="AD95" i="16"/>
  <c r="K97" i="16"/>
  <c r="AB97" i="16" s="1"/>
  <c r="M97" i="16"/>
  <c r="L97" i="16"/>
  <c r="AI96" i="16"/>
  <c r="AJ96" i="16" s="1"/>
  <c r="P96" i="16"/>
  <c r="N96" i="16"/>
  <c r="AC96" i="16" s="1"/>
  <c r="O96" i="16"/>
  <c r="AK95" i="16"/>
  <c r="AL95" i="16" s="1"/>
  <c r="AM95" i="16"/>
  <c r="AN95" i="16" s="1"/>
  <c r="R96" i="16"/>
  <c r="Q96" i="16"/>
  <c r="S96" i="16"/>
  <c r="L96" i="14"/>
  <c r="AI96" i="14"/>
  <c r="M96" i="14"/>
  <c r="Q96" i="14"/>
  <c r="AK95" i="14"/>
  <c r="AL95" i="14" s="1"/>
  <c r="O96" i="14"/>
  <c r="S96" i="14"/>
  <c r="N96" i="14"/>
  <c r="P96" i="14"/>
  <c r="R96" i="14"/>
  <c r="AM95" i="14"/>
  <c r="AN95" i="14" s="1"/>
  <c r="AJ95" i="14"/>
  <c r="K102" i="14" l="1"/>
  <c r="AB102" i="14" s="1"/>
  <c r="AD96" i="16"/>
  <c r="AC96" i="14"/>
  <c r="AD96" i="14"/>
  <c r="K98" i="16"/>
  <c r="AB98" i="16" s="1"/>
  <c r="M98" i="16"/>
  <c r="L98" i="16"/>
  <c r="AI97" i="16"/>
  <c r="AJ97" i="16" s="1"/>
  <c r="N97" i="16"/>
  <c r="AC97" i="16" s="1"/>
  <c r="P97" i="16"/>
  <c r="AK96" i="16"/>
  <c r="AL96" i="16" s="1"/>
  <c r="O97" i="16"/>
  <c r="Q97" i="16"/>
  <c r="AM96" i="16"/>
  <c r="AN96" i="16" s="1"/>
  <c r="S97" i="16"/>
  <c r="R97" i="16"/>
  <c r="AI97" i="14"/>
  <c r="M97" i="14"/>
  <c r="L97" i="14"/>
  <c r="Q97" i="14"/>
  <c r="R97" i="14"/>
  <c r="S97" i="14"/>
  <c r="P97" i="14"/>
  <c r="O97" i="14"/>
  <c r="N97" i="14"/>
  <c r="AK96" i="14"/>
  <c r="AL96" i="14" s="1"/>
  <c r="AM96" i="14"/>
  <c r="AN96" i="14" s="1"/>
  <c r="AJ96" i="14"/>
  <c r="AC97" i="14" l="1"/>
  <c r="AD97" i="16"/>
  <c r="AD97" i="14"/>
  <c r="AI98" i="16"/>
  <c r="AJ98" i="16" s="1"/>
  <c r="K99" i="16"/>
  <c r="AB99" i="16" s="1"/>
  <c r="L99" i="16"/>
  <c r="M99" i="16"/>
  <c r="AK97" i="16"/>
  <c r="AL97" i="16" s="1"/>
  <c r="O98" i="16"/>
  <c r="N98" i="16"/>
  <c r="AC98" i="16" s="1"/>
  <c r="S98" i="16"/>
  <c r="P98" i="16"/>
  <c r="Q98" i="16"/>
  <c r="R98" i="16"/>
  <c r="AM97" i="16"/>
  <c r="AN97" i="16" s="1"/>
  <c r="L98" i="14"/>
  <c r="AI98" i="14"/>
  <c r="M98" i="14"/>
  <c r="AK97" i="14"/>
  <c r="AL97" i="14" s="1"/>
  <c r="S98" i="14"/>
  <c r="Q98" i="14"/>
  <c r="AM97" i="14"/>
  <c r="AN97" i="14" s="1"/>
  <c r="R98" i="14"/>
  <c r="P98" i="14"/>
  <c r="O98" i="14"/>
  <c r="N98" i="14"/>
  <c r="AJ97" i="14"/>
  <c r="AD98" i="14" l="1"/>
  <c r="AD98" i="16"/>
  <c r="AC98" i="14"/>
  <c r="L100" i="16"/>
  <c r="AI99" i="16"/>
  <c r="AJ99" i="16" s="1"/>
  <c r="M100" i="16"/>
  <c r="K100" i="16"/>
  <c r="AB100" i="16" s="1"/>
  <c r="P99" i="16"/>
  <c r="N99" i="16"/>
  <c r="AC99" i="16" s="1"/>
  <c r="AK98" i="16"/>
  <c r="AL98" i="16" s="1"/>
  <c r="O99" i="16"/>
  <c r="R99" i="16"/>
  <c r="S99" i="16"/>
  <c r="AM98" i="16"/>
  <c r="AN98" i="16" s="1"/>
  <c r="Q99" i="16"/>
  <c r="AK98" i="14"/>
  <c r="AL98" i="14" s="1"/>
  <c r="M99" i="14"/>
  <c r="L99" i="14"/>
  <c r="AI99" i="14"/>
  <c r="Q99" i="14"/>
  <c r="S99" i="14"/>
  <c r="R99" i="14"/>
  <c r="AM98" i="14"/>
  <c r="AN98" i="14" s="1"/>
  <c r="P99" i="14"/>
  <c r="N99" i="14"/>
  <c r="O99" i="14"/>
  <c r="AJ98" i="14"/>
  <c r="AC99" i="14" l="1"/>
  <c r="AD99" i="16"/>
  <c r="AD99" i="14"/>
  <c r="AI100" i="16"/>
  <c r="AJ100" i="16" s="1"/>
  <c r="M101" i="16"/>
  <c r="L101" i="16"/>
  <c r="K101" i="16"/>
  <c r="AB101" i="16" s="1"/>
  <c r="AM99" i="16"/>
  <c r="AN99" i="16" s="1"/>
  <c r="N100" i="16"/>
  <c r="AC100" i="16" s="1"/>
  <c r="P100" i="16"/>
  <c r="O100" i="16"/>
  <c r="AK99" i="16"/>
  <c r="AL99" i="16" s="1"/>
  <c r="R100" i="16"/>
  <c r="S100" i="16"/>
  <c r="Q100" i="16"/>
  <c r="M100" i="14"/>
  <c r="AI100" i="14"/>
  <c r="AK99" i="14"/>
  <c r="AL99" i="14" s="1"/>
  <c r="L100" i="14"/>
  <c r="AM99" i="14"/>
  <c r="AN99" i="14" s="1"/>
  <c r="S100" i="14"/>
  <c r="Q100" i="14"/>
  <c r="R100" i="14"/>
  <c r="N100" i="14"/>
  <c r="O100" i="14"/>
  <c r="P100" i="14"/>
  <c r="AJ99" i="14"/>
  <c r="AD100" i="14" l="1"/>
  <c r="AC100" i="14"/>
  <c r="AD100" i="16"/>
  <c r="AI101" i="16"/>
  <c r="AJ101" i="16" s="1"/>
  <c r="M102" i="16"/>
  <c r="L102" i="16"/>
  <c r="K102" i="16"/>
  <c r="AB102" i="16" s="1"/>
  <c r="N101" i="16"/>
  <c r="AC101" i="16" s="1"/>
  <c r="O101" i="16"/>
  <c r="P101" i="16"/>
  <c r="AK100" i="16"/>
  <c r="AL100" i="16" s="1"/>
  <c r="R101" i="16"/>
  <c r="Q101" i="16"/>
  <c r="AM100" i="16"/>
  <c r="AN100" i="16" s="1"/>
  <c r="S101" i="16"/>
  <c r="AI101" i="14"/>
  <c r="M101" i="14"/>
  <c r="L101" i="14"/>
  <c r="AM100" i="14"/>
  <c r="AN100" i="14" s="1"/>
  <c r="S101" i="14"/>
  <c r="N101" i="14"/>
  <c r="AK100" i="14"/>
  <c r="AL100" i="14" s="1"/>
  <c r="O101" i="14"/>
  <c r="P101" i="14"/>
  <c r="R101" i="14"/>
  <c r="Q101" i="14"/>
  <c r="AJ100" i="14"/>
  <c r="AD101" i="14" l="1"/>
  <c r="AD101" i="16"/>
  <c r="AC101" i="14"/>
  <c r="AI102" i="16"/>
  <c r="AJ102" i="16" s="1"/>
  <c r="M103" i="16"/>
  <c r="K103" i="16"/>
  <c r="AB103" i="16" s="1"/>
  <c r="L103" i="16"/>
  <c r="L105" i="16" s="1"/>
  <c r="AK101" i="16"/>
  <c r="AL101" i="16" s="1"/>
  <c r="N102" i="16"/>
  <c r="AC102" i="16" s="1"/>
  <c r="P102" i="16"/>
  <c r="Q102" i="16"/>
  <c r="O102" i="16"/>
  <c r="S102" i="16"/>
  <c r="R102" i="16"/>
  <c r="AM101" i="16"/>
  <c r="AN101" i="16" s="1"/>
  <c r="AI102" i="14"/>
  <c r="L102" i="14"/>
  <c r="M102" i="14"/>
  <c r="AK101" i="14"/>
  <c r="AL101" i="14" s="1"/>
  <c r="P102" i="14"/>
  <c r="N102" i="14"/>
  <c r="R102" i="14"/>
  <c r="S102" i="14"/>
  <c r="O102" i="14"/>
  <c r="Q102" i="14"/>
  <c r="AM101" i="14"/>
  <c r="AN101" i="14" s="1"/>
  <c r="AJ101" i="14"/>
  <c r="AD102" i="14" l="1"/>
  <c r="AC102" i="14"/>
  <c r="AD102" i="16"/>
  <c r="M105" i="16"/>
  <c r="K105" i="16"/>
  <c r="K107" i="16"/>
  <c r="D11" i="30" s="1"/>
  <c r="AI103" i="16"/>
  <c r="AJ103" i="16" s="1"/>
  <c r="AB105" i="16"/>
  <c r="D19" i="30" s="1"/>
  <c r="O103" i="16"/>
  <c r="O105" i="16" s="1"/>
  <c r="AK102" i="16"/>
  <c r="AL102" i="16" s="1"/>
  <c r="N103" i="16"/>
  <c r="AC103" i="16" s="1"/>
  <c r="P103" i="16"/>
  <c r="R103" i="16"/>
  <c r="R105" i="16" s="1"/>
  <c r="Q103" i="16"/>
  <c r="Q105" i="16" s="1"/>
  <c r="AM102" i="16"/>
  <c r="AN102" i="16" s="1"/>
  <c r="S103" i="16"/>
  <c r="L103" i="14"/>
  <c r="L105" i="14" s="1"/>
  <c r="K103" i="14"/>
  <c r="AB103" i="14" s="1"/>
  <c r="M103" i="14"/>
  <c r="AK102" i="14"/>
  <c r="AL102" i="14" s="1"/>
  <c r="P103" i="14"/>
  <c r="N103" i="14"/>
  <c r="N105" i="14" s="1"/>
  <c r="O103" i="14"/>
  <c r="O105" i="14" s="1"/>
  <c r="S103" i="14"/>
  <c r="R103" i="14"/>
  <c r="R105" i="14" s="1"/>
  <c r="AM102" i="14"/>
  <c r="AN102" i="14" s="1"/>
  <c r="Q103" i="14"/>
  <c r="Q105" i="14" s="1"/>
  <c r="AJ102" i="14"/>
  <c r="AD103" i="14" l="1"/>
  <c r="AD105" i="14" s="1"/>
  <c r="C21" i="30" s="1"/>
  <c r="AD103" i="16"/>
  <c r="AD105" i="16" s="1"/>
  <c r="D21" i="30" s="1"/>
  <c r="AC103" i="14"/>
  <c r="AC105" i="14" s="1"/>
  <c r="C20" i="30" s="1"/>
  <c r="K107" i="14"/>
  <c r="C11" i="30" s="1"/>
  <c r="AB105" i="14"/>
  <c r="C19" i="30" s="1"/>
  <c r="S105" i="16"/>
  <c r="P105" i="16"/>
  <c r="Q107" i="16" s="1"/>
  <c r="D13" i="30" s="1"/>
  <c r="AC105" i="16"/>
  <c r="D20" i="30" s="1"/>
  <c r="AK103" i="16"/>
  <c r="AL103" i="16" s="1"/>
  <c r="N105" i="16"/>
  <c r="N107" i="16" s="1"/>
  <c r="D12" i="30" s="1"/>
  <c r="AM103" i="16"/>
  <c r="AN103" i="16" s="1"/>
  <c r="P105" i="14"/>
  <c r="Q107" i="14" s="1"/>
  <c r="C13" i="30" s="1"/>
  <c r="S105" i="14"/>
  <c r="M105" i="14"/>
  <c r="N107" i="14" s="1"/>
  <c r="C12" i="30" s="1"/>
  <c r="K105" i="14"/>
  <c r="AI103" i="14"/>
  <c r="AJ103" i="14" s="1"/>
  <c r="AK103" i="14"/>
  <c r="AL103" i="14" s="1"/>
  <c r="AM103" i="14"/>
  <c r="AN103" i="14" s="1"/>
  <c r="I70" i="2" l="1"/>
  <c r="J70" i="2" l="1"/>
  <c r="F70" i="2" s="1"/>
  <c r="I112" i="2"/>
  <c r="B70" i="2" l="1"/>
  <c r="AP4" i="14" s="1"/>
  <c r="K70" i="2"/>
  <c r="L70" i="2"/>
  <c r="J112" i="2"/>
  <c r="F112" i="2" s="1"/>
  <c r="B112" i="2" s="1"/>
  <c r="B71" i="2" s="1"/>
  <c r="AP4" i="16" l="1"/>
  <c r="AO5" i="18"/>
  <c r="AT5" i="18" s="1"/>
  <c r="L112" i="2"/>
  <c r="K112" i="2"/>
  <c r="AR4" i="14"/>
  <c r="AT4" i="14" s="1"/>
  <c r="AP5" i="18"/>
  <c r="AU5" i="18" s="1"/>
  <c r="AR4" i="16"/>
  <c r="O8" i="22"/>
  <c r="Q8" i="22" s="1"/>
  <c r="F8" i="10"/>
  <c r="H8" i="22"/>
  <c r="E16" i="22" s="1"/>
  <c r="AT4" i="16" l="1"/>
  <c r="P16" i="22"/>
  <c r="N16" i="22"/>
  <c r="O16" i="22"/>
  <c r="F16" i="22"/>
  <c r="G16" i="22"/>
  <c r="O8" i="10"/>
  <c r="H8" i="10"/>
  <c r="F17" i="10" s="1"/>
  <c r="H42" i="2" l="1"/>
  <c r="O17" i="10"/>
  <c r="Q16" i="22"/>
  <c r="G17" i="10"/>
  <c r="C17" i="10"/>
  <c r="D17" i="10"/>
  <c r="B17" i="10"/>
  <c r="E17" i="10"/>
  <c r="N8" i="10"/>
  <c r="H41" i="2"/>
  <c r="B24" i="22"/>
  <c r="H16" i="22"/>
  <c r="P17" i="10" l="1"/>
  <c r="N17" i="10" s="1"/>
  <c r="Q17" i="10" s="1"/>
  <c r="H17" i="10"/>
  <c r="B29" i="2"/>
  <c r="W5" i="18" s="1"/>
  <c r="F29" i="2"/>
  <c r="Q8" i="10"/>
  <c r="G20" i="2"/>
  <c r="I42" i="2"/>
  <c r="H21" i="2" l="1"/>
  <c r="H20" i="2"/>
  <c r="I20" i="2" s="1"/>
  <c r="G19" i="2"/>
  <c r="I41" i="2"/>
  <c r="H19" i="2"/>
  <c r="J42" i="2"/>
  <c r="F42" i="2" s="1"/>
  <c r="G21" i="2"/>
  <c r="I43" i="2"/>
  <c r="B42" i="2" l="1"/>
  <c r="M5" i="18" s="1"/>
  <c r="J41" i="2"/>
  <c r="K41" i="2" s="1"/>
  <c r="K42" i="2"/>
  <c r="L42" i="2"/>
  <c r="F20" i="2"/>
  <c r="B20" i="2" s="1"/>
  <c r="V5" i="14" s="1"/>
  <c r="W6" i="14" s="1"/>
  <c r="I19" i="2"/>
  <c r="J19" i="2" s="1"/>
  <c r="I21" i="2"/>
  <c r="J21" i="2" s="1"/>
  <c r="J43" i="2"/>
  <c r="F43" i="2" s="1"/>
  <c r="B43" i="2" s="1"/>
  <c r="J20" i="2"/>
  <c r="V5" i="16" l="1"/>
  <c r="AQ5" i="16" s="1"/>
  <c r="AR5" i="16" s="1"/>
  <c r="L41" i="2"/>
  <c r="L43" i="2"/>
  <c r="K43" i="2"/>
  <c r="AQ5" i="14"/>
  <c r="AR5" i="14" s="1"/>
  <c r="X6" i="14"/>
  <c r="F21" i="2"/>
  <c r="B21" i="2" s="1"/>
  <c r="U5" i="14" s="1"/>
  <c r="F41" i="2"/>
  <c r="B41" i="2" s="1"/>
  <c r="AF6" i="14"/>
  <c r="X6" i="16" l="1"/>
  <c r="W6" i="16"/>
  <c r="AF6" i="16" s="1"/>
  <c r="F19" i="2"/>
  <c r="B19" i="2" s="1"/>
  <c r="T5" i="14" s="1"/>
  <c r="U6" i="14" s="1"/>
  <c r="N5" i="18"/>
  <c r="U5" i="16"/>
  <c r="T5" i="16"/>
  <c r="L5" i="18"/>
  <c r="Y6" i="14" l="1"/>
  <c r="Z5" i="14"/>
  <c r="T6" i="14"/>
  <c r="AE6" i="14" s="1"/>
  <c r="AG6" i="14" s="1"/>
  <c r="V6" i="14"/>
  <c r="AO5" i="14"/>
  <c r="AP5" i="14" s="1"/>
  <c r="AT5" i="14" s="1"/>
  <c r="AE5" i="14"/>
  <c r="AG5" i="14" s="1"/>
  <c r="AO5" i="16"/>
  <c r="T6" i="16"/>
  <c r="U6" i="16"/>
  <c r="AE5" i="16"/>
  <c r="AG5" i="16" s="1"/>
  <c r="Z5" i="16"/>
  <c r="V6" i="16"/>
  <c r="Y6" i="16"/>
  <c r="AS5" i="14" l="1"/>
  <c r="T7" i="14"/>
  <c r="U7" i="14"/>
  <c r="Y7" i="14"/>
  <c r="V7" i="14"/>
  <c r="W7" i="14"/>
  <c r="AF7" i="14" s="1"/>
  <c r="X7" i="14"/>
  <c r="AQ6" i="14"/>
  <c r="AR6" i="14" s="1"/>
  <c r="AO6" i="14"/>
  <c r="Z6" i="14"/>
  <c r="AQ6" i="16"/>
  <c r="AR6" i="16" s="1"/>
  <c r="X7" i="16"/>
  <c r="W7" i="16"/>
  <c r="AF7" i="16" s="1"/>
  <c r="V7" i="16"/>
  <c r="T7" i="16"/>
  <c r="U7" i="16"/>
  <c r="AO6" i="16"/>
  <c r="Y7" i="16"/>
  <c r="Z6" i="16"/>
  <c r="AE6" i="16"/>
  <c r="AG6" i="16" s="1"/>
  <c r="AP5" i="16"/>
  <c r="AT5" i="16" s="1"/>
  <c r="AS5" i="16"/>
  <c r="AS6" i="14" l="1"/>
  <c r="AP6" i="14"/>
  <c r="AT6" i="14" s="1"/>
  <c r="AQ7" i="14"/>
  <c r="AR7" i="14" s="1"/>
  <c r="W8" i="14"/>
  <c r="AF8" i="14" s="1"/>
  <c r="X8" i="14"/>
  <c r="AO7" i="14"/>
  <c r="AE7" i="14"/>
  <c r="AG7" i="14" s="1"/>
  <c r="V8" i="14"/>
  <c r="Z7" i="14"/>
  <c r="Y8" i="14"/>
  <c r="U8" i="14"/>
  <c r="T8" i="14"/>
  <c r="AQ7" i="16"/>
  <c r="AR7" i="16" s="1"/>
  <c r="X8" i="16"/>
  <c r="W8" i="16"/>
  <c r="AF8" i="16" s="1"/>
  <c r="AS6" i="16"/>
  <c r="AP6" i="16"/>
  <c r="AT6" i="16" s="1"/>
  <c r="AO7" i="16"/>
  <c r="Z7" i="16"/>
  <c r="T8" i="16"/>
  <c r="V8" i="16"/>
  <c r="AE7" i="16"/>
  <c r="AG7" i="16" s="1"/>
  <c r="Y8" i="16"/>
  <c r="U8" i="16"/>
  <c r="AP7" i="14" l="1"/>
  <c r="AT7" i="14" s="1"/>
  <c r="AS7" i="14"/>
  <c r="Y9" i="14"/>
  <c r="G32" i="22" s="1"/>
  <c r="V9" i="14"/>
  <c r="AE8" i="14"/>
  <c r="AG8" i="14" s="1"/>
  <c r="Z8" i="14"/>
  <c r="T9" i="14"/>
  <c r="U9" i="14"/>
  <c r="AO8" i="14"/>
  <c r="X9" i="14"/>
  <c r="W9" i="14"/>
  <c r="AQ8" i="14"/>
  <c r="AR8" i="14" s="1"/>
  <c r="T9" i="16"/>
  <c r="Y9" i="16"/>
  <c r="G44" i="22" s="1"/>
  <c r="V9" i="16"/>
  <c r="AO8" i="16"/>
  <c r="AE8" i="16"/>
  <c r="AG8" i="16" s="1"/>
  <c r="U9" i="16"/>
  <c r="Z8" i="16"/>
  <c r="AP7" i="16"/>
  <c r="AT7" i="16" s="1"/>
  <c r="AS7" i="16"/>
  <c r="X9" i="16"/>
  <c r="W9" i="16"/>
  <c r="AQ8" i="16"/>
  <c r="AR8" i="16" s="1"/>
  <c r="V10" i="14" l="1"/>
  <c r="AE9" i="14"/>
  <c r="Z9" i="14"/>
  <c r="E32" i="22"/>
  <c r="U10" i="14"/>
  <c r="AO9" i="14"/>
  <c r="T10" i="14"/>
  <c r="Y10" i="14"/>
  <c r="W10" i="14"/>
  <c r="AF10" i="14" s="1"/>
  <c r="AQ9" i="14"/>
  <c r="AR9" i="14" s="1"/>
  <c r="X10" i="14"/>
  <c r="AF9" i="14"/>
  <c r="F32" i="22"/>
  <c r="AS8" i="14"/>
  <c r="AP8" i="14"/>
  <c r="AT8" i="14" s="1"/>
  <c r="AP8" i="16"/>
  <c r="AT8" i="16" s="1"/>
  <c r="AS8" i="16"/>
  <c r="AF9" i="16"/>
  <c r="F44" i="22"/>
  <c r="X10" i="16"/>
  <c r="AQ9" i="16"/>
  <c r="AR9" i="16" s="1"/>
  <c r="W10" i="16"/>
  <c r="AF10" i="16" s="1"/>
  <c r="AO9" i="16"/>
  <c r="Y10" i="16"/>
  <c r="AE9" i="16"/>
  <c r="E44" i="22"/>
  <c r="U10" i="16"/>
  <c r="Z9" i="16"/>
  <c r="T10" i="16"/>
  <c r="V10" i="16"/>
  <c r="Z10" i="14" l="1"/>
  <c r="T11" i="14"/>
  <c r="AO10" i="14"/>
  <c r="U11" i="14"/>
  <c r="AE10" i="14"/>
  <c r="AG10" i="14" s="1"/>
  <c r="Y11" i="14"/>
  <c r="V11" i="14"/>
  <c r="AS9" i="14"/>
  <c r="AP9" i="14"/>
  <c r="AT9" i="14" s="1"/>
  <c r="AG9" i="14"/>
  <c r="AQ10" i="14"/>
  <c r="AR10" i="14" s="1"/>
  <c r="X11" i="14"/>
  <c r="W11" i="14"/>
  <c r="AF11" i="14" s="1"/>
  <c r="AS9" i="16"/>
  <c r="AP9" i="16"/>
  <c r="AT9" i="16" s="1"/>
  <c r="X11" i="16"/>
  <c r="W11" i="16"/>
  <c r="AF11" i="16" s="1"/>
  <c r="AQ10" i="16"/>
  <c r="AR10" i="16" s="1"/>
  <c r="AE10" i="16"/>
  <c r="AG10" i="16" s="1"/>
  <c r="T11" i="16"/>
  <c r="U11" i="16"/>
  <c r="Z10" i="16"/>
  <c r="V11" i="16"/>
  <c r="Y11" i="16"/>
  <c r="AO10" i="16"/>
  <c r="AG9" i="16"/>
  <c r="X12" i="14" l="1"/>
  <c r="W12" i="14"/>
  <c r="AF12" i="14" s="1"/>
  <c r="AQ11" i="14"/>
  <c r="AR11" i="14" s="1"/>
  <c r="AS10" i="14"/>
  <c r="AP10" i="14"/>
  <c r="AT10" i="14" s="1"/>
  <c r="Y12" i="14"/>
  <c r="AO11" i="14"/>
  <c r="U12" i="14"/>
  <c r="T12" i="14"/>
  <c r="V12" i="14"/>
  <c r="AE11" i="14"/>
  <c r="AG11" i="14" s="1"/>
  <c r="Z11" i="14"/>
  <c r="AP10" i="16"/>
  <c r="AT10" i="16" s="1"/>
  <c r="AS10" i="16"/>
  <c r="U12" i="16"/>
  <c r="V12" i="16"/>
  <c r="T12" i="16"/>
  <c r="AE11" i="16"/>
  <c r="AG11" i="16" s="1"/>
  <c r="Y12" i="16"/>
  <c r="Z11" i="16"/>
  <c r="AO11" i="16"/>
  <c r="X12" i="16"/>
  <c r="AQ11" i="16"/>
  <c r="AR11" i="16" s="1"/>
  <c r="W12" i="16"/>
  <c r="AF12" i="16" s="1"/>
  <c r="AS11" i="14" l="1"/>
  <c r="AP11" i="14"/>
  <c r="AT11" i="14" s="1"/>
  <c r="W13" i="14"/>
  <c r="AF13" i="14" s="1"/>
  <c r="X13" i="14"/>
  <c r="AQ12" i="14"/>
  <c r="AR12" i="14" s="1"/>
  <c r="T13" i="14"/>
  <c r="Z12" i="14"/>
  <c r="AO12" i="14"/>
  <c r="U13" i="14"/>
  <c r="V13" i="14"/>
  <c r="AE12" i="14"/>
  <c r="AG12" i="14" s="1"/>
  <c r="Y13" i="14"/>
  <c r="W13" i="16"/>
  <c r="AF13" i="16" s="1"/>
  <c r="AQ12" i="16"/>
  <c r="AR12" i="16" s="1"/>
  <c r="X13" i="16"/>
  <c r="AP11" i="16"/>
  <c r="AT11" i="16" s="1"/>
  <c r="AS11" i="16"/>
  <c r="T13" i="16"/>
  <c r="V13" i="16"/>
  <c r="AO12" i="16"/>
  <c r="Z12" i="16"/>
  <c r="AE12" i="16"/>
  <c r="AG12" i="16" s="1"/>
  <c r="Y13" i="16"/>
  <c r="U13" i="16"/>
  <c r="AS12" i="14" l="1"/>
  <c r="AP12" i="14"/>
  <c r="AT12" i="14" s="1"/>
  <c r="AQ13" i="14"/>
  <c r="AR13" i="14" s="1"/>
  <c r="X14" i="14"/>
  <c r="W14" i="14"/>
  <c r="V14" i="14"/>
  <c r="U14" i="14"/>
  <c r="Z13" i="14"/>
  <c r="AO13" i="14"/>
  <c r="T14" i="14"/>
  <c r="AE13" i="14"/>
  <c r="AG13" i="14" s="1"/>
  <c r="Y14" i="14"/>
  <c r="G33" i="22" s="1"/>
  <c r="AS12" i="16"/>
  <c r="AP12" i="16"/>
  <c r="AT12" i="16" s="1"/>
  <c r="W14" i="16"/>
  <c r="AQ13" i="16"/>
  <c r="AR13" i="16" s="1"/>
  <c r="X14" i="16"/>
  <c r="AE13" i="16"/>
  <c r="AG13" i="16" s="1"/>
  <c r="Y14" i="16"/>
  <c r="G45" i="22" s="1"/>
  <c r="V14" i="16"/>
  <c r="T14" i="16"/>
  <c r="AO13" i="16"/>
  <c r="Z13" i="16"/>
  <c r="U14" i="16"/>
  <c r="AO14" i="14" l="1"/>
  <c r="Z14" i="14"/>
  <c r="AE14" i="14"/>
  <c r="U15" i="14"/>
  <c r="T15" i="14"/>
  <c r="Y15" i="14"/>
  <c r="E33" i="22"/>
  <c r="V15" i="14"/>
  <c r="X15" i="14"/>
  <c r="AQ14" i="14"/>
  <c r="AR14" i="14" s="1"/>
  <c r="W15" i="14"/>
  <c r="AF15" i="14" s="1"/>
  <c r="AS13" i="14"/>
  <c r="AP13" i="14"/>
  <c r="AT13" i="14" s="1"/>
  <c r="F33" i="22"/>
  <c r="AF14" i="14"/>
  <c r="AQ14" i="16"/>
  <c r="AR14" i="16" s="1"/>
  <c r="X15" i="16"/>
  <c r="W15" i="16"/>
  <c r="AF15" i="16" s="1"/>
  <c r="F45" i="22"/>
  <c r="AF14" i="16"/>
  <c r="AS13" i="16"/>
  <c r="AP13" i="16"/>
  <c r="AT13" i="16" s="1"/>
  <c r="T15" i="16"/>
  <c r="Z14" i="16"/>
  <c r="Y15" i="16"/>
  <c r="U15" i="16"/>
  <c r="E45" i="22"/>
  <c r="AO14" i="16"/>
  <c r="V15" i="16"/>
  <c r="AE14" i="16"/>
  <c r="AG14" i="14" l="1"/>
  <c r="AQ15" i="14"/>
  <c r="AR15" i="14" s="1"/>
  <c r="W16" i="14"/>
  <c r="AF16" i="14" s="1"/>
  <c r="X16" i="14"/>
  <c r="AG14" i="16"/>
  <c r="V16" i="14"/>
  <c r="U16" i="14"/>
  <c r="Y16" i="14"/>
  <c r="Z15" i="14"/>
  <c r="T16" i="14"/>
  <c r="AO15" i="14"/>
  <c r="AE15" i="14"/>
  <c r="AG15" i="14" s="1"/>
  <c r="AP14" i="14"/>
  <c r="AT14" i="14" s="1"/>
  <c r="AS14" i="14"/>
  <c r="AO15" i="16"/>
  <c r="T16" i="16"/>
  <c r="Z15" i="16"/>
  <c r="U16" i="16"/>
  <c r="V16" i="16"/>
  <c r="Y16" i="16"/>
  <c r="AE15" i="16"/>
  <c r="AG15" i="16" s="1"/>
  <c r="AQ15" i="16"/>
  <c r="AR15" i="16" s="1"/>
  <c r="X16" i="16"/>
  <c r="W16" i="16"/>
  <c r="AF16" i="16" s="1"/>
  <c r="AP14" i="16"/>
  <c r="AT14" i="16" s="1"/>
  <c r="AS14" i="16"/>
  <c r="AP15" i="14" l="1"/>
  <c r="AT15" i="14" s="1"/>
  <c r="AS15" i="14"/>
  <c r="AO16" i="14"/>
  <c r="V17" i="14"/>
  <c r="T17" i="14"/>
  <c r="AE16" i="14"/>
  <c r="AG16" i="14" s="1"/>
  <c r="Z16" i="14"/>
  <c r="Y17" i="14"/>
  <c r="U17" i="14"/>
  <c r="AQ16" i="14"/>
  <c r="AR16" i="14" s="1"/>
  <c r="X17" i="14"/>
  <c r="W17" i="14"/>
  <c r="AF17" i="14" s="1"/>
  <c r="T17" i="16"/>
  <c r="U17" i="16"/>
  <c r="Z16" i="16"/>
  <c r="AO16" i="16"/>
  <c r="V17" i="16"/>
  <c r="Y17" i="16"/>
  <c r="AE16" i="16"/>
  <c r="AG16" i="16" s="1"/>
  <c r="X17" i="16"/>
  <c r="W17" i="16"/>
  <c r="AF17" i="16" s="1"/>
  <c r="AQ16" i="16"/>
  <c r="AR16" i="16" s="1"/>
  <c r="AP15" i="16"/>
  <c r="AT15" i="16" s="1"/>
  <c r="AS15" i="16"/>
  <c r="X18" i="14" l="1"/>
  <c r="AQ17" i="14"/>
  <c r="AR17" i="14" s="1"/>
  <c r="W18" i="14"/>
  <c r="AF18" i="14" s="1"/>
  <c r="AP16" i="14"/>
  <c r="AT16" i="14" s="1"/>
  <c r="AS16" i="14"/>
  <c r="U18" i="14"/>
  <c r="Y18" i="14"/>
  <c r="AO17" i="14"/>
  <c r="Z17" i="14"/>
  <c r="T18" i="14"/>
  <c r="V18" i="14"/>
  <c r="AE17" i="14"/>
  <c r="AG17" i="14" s="1"/>
  <c r="AS16" i="16"/>
  <c r="AP16" i="16"/>
  <c r="AT16" i="16" s="1"/>
  <c r="X18" i="16"/>
  <c r="W18" i="16"/>
  <c r="AF18" i="16" s="1"/>
  <c r="AQ17" i="16"/>
  <c r="AR17" i="16" s="1"/>
  <c r="AE17" i="16"/>
  <c r="AG17" i="16" s="1"/>
  <c r="V18" i="16"/>
  <c r="T18" i="16"/>
  <c r="AO17" i="16"/>
  <c r="Y18" i="16"/>
  <c r="U18" i="16"/>
  <c r="Z17" i="16"/>
  <c r="AP17" i="14" l="1"/>
  <c r="AT17" i="14" s="1"/>
  <c r="AS17" i="14"/>
  <c r="W19" i="14"/>
  <c r="AQ18" i="14"/>
  <c r="AR18" i="14" s="1"/>
  <c r="X19" i="14"/>
  <c r="AE18" i="14"/>
  <c r="AG18" i="14" s="1"/>
  <c r="U19" i="14"/>
  <c r="AO18" i="14"/>
  <c r="T19" i="14"/>
  <c r="Y19" i="14"/>
  <c r="G34" i="22" s="1"/>
  <c r="V19" i="14"/>
  <c r="Z18" i="14"/>
  <c r="AQ18" i="16"/>
  <c r="AR18" i="16" s="1"/>
  <c r="W19" i="16"/>
  <c r="X19" i="16"/>
  <c r="AO18" i="16"/>
  <c r="Z18" i="16"/>
  <c r="U19" i="16"/>
  <c r="AE18" i="16"/>
  <c r="AG18" i="16" s="1"/>
  <c r="Y19" i="16"/>
  <c r="G46" i="22" s="1"/>
  <c r="V19" i="16"/>
  <c r="T19" i="16"/>
  <c r="AP17" i="16"/>
  <c r="AT17" i="16" s="1"/>
  <c r="AS17" i="16"/>
  <c r="AS18" i="14" l="1"/>
  <c r="AP18" i="14"/>
  <c r="AT18" i="14" s="1"/>
  <c r="W20" i="14"/>
  <c r="AF20" i="14" s="1"/>
  <c r="AQ19" i="14"/>
  <c r="AR19" i="14" s="1"/>
  <c r="X20" i="14"/>
  <c r="AF19" i="14"/>
  <c r="F34" i="22"/>
  <c r="E34" i="22"/>
  <c r="T20" i="14"/>
  <c r="Y20" i="14"/>
  <c r="Z19" i="14"/>
  <c r="AE19" i="14"/>
  <c r="V20" i="14"/>
  <c r="AO19" i="14"/>
  <c r="U20" i="14"/>
  <c r="AP18" i="16"/>
  <c r="AT18" i="16" s="1"/>
  <c r="AS18" i="16"/>
  <c r="AF19" i="16"/>
  <c r="F46" i="22"/>
  <c r="Y20" i="16"/>
  <c r="AO19" i="16"/>
  <c r="Z19" i="16"/>
  <c r="E46" i="22"/>
  <c r="V20" i="16"/>
  <c r="T20" i="16"/>
  <c r="U20" i="16"/>
  <c r="AE19" i="16"/>
  <c r="AQ19" i="16"/>
  <c r="AR19" i="16" s="1"/>
  <c r="W20" i="16"/>
  <c r="AF20" i="16" s="1"/>
  <c r="X20" i="16"/>
  <c r="AG19" i="16" l="1"/>
  <c r="AG19" i="14"/>
  <c r="AP19" i="14"/>
  <c r="AT19" i="14" s="1"/>
  <c r="AS19" i="14"/>
  <c r="W21" i="14"/>
  <c r="AF21" i="14" s="1"/>
  <c r="AQ20" i="14"/>
  <c r="AR20" i="14" s="1"/>
  <c r="X21" i="14"/>
  <c r="T21" i="14"/>
  <c r="Y21" i="14"/>
  <c r="AO20" i="14"/>
  <c r="V21" i="14"/>
  <c r="Z20" i="14"/>
  <c r="AE20" i="14"/>
  <c r="AG20" i="14" s="1"/>
  <c r="U21" i="14"/>
  <c r="AE20" i="16"/>
  <c r="AG20" i="16" s="1"/>
  <c r="U21" i="16"/>
  <c r="Z20" i="16"/>
  <c r="AO20" i="16"/>
  <c r="Y21" i="16"/>
  <c r="V21" i="16"/>
  <c r="T21" i="16"/>
  <c r="AS19" i="16"/>
  <c r="AP19" i="16"/>
  <c r="AT19" i="16" s="1"/>
  <c r="W21" i="16"/>
  <c r="AF21" i="16" s="1"/>
  <c r="AQ20" i="16"/>
  <c r="AR20" i="16" s="1"/>
  <c r="X21" i="16"/>
  <c r="AP20" i="14" l="1"/>
  <c r="AT20" i="14" s="1"/>
  <c r="AS20" i="14"/>
  <c r="AO21" i="14"/>
  <c r="Y22" i="14"/>
  <c r="T22" i="14"/>
  <c r="V22" i="14"/>
  <c r="U22" i="14"/>
  <c r="Z21" i="14"/>
  <c r="AE21" i="14"/>
  <c r="AG21" i="14" s="1"/>
  <c r="W22" i="14"/>
  <c r="AF22" i="14" s="1"/>
  <c r="X22" i="14"/>
  <c r="AQ21" i="14"/>
  <c r="AR21" i="14" s="1"/>
  <c r="AP20" i="16"/>
  <c r="AT20" i="16" s="1"/>
  <c r="AS20" i="16"/>
  <c r="U22" i="16"/>
  <c r="V22" i="16"/>
  <c r="AE21" i="16"/>
  <c r="AG21" i="16" s="1"/>
  <c r="T22" i="16"/>
  <c r="AO21" i="16"/>
  <c r="Z21" i="16"/>
  <c r="Y22" i="16"/>
  <c r="X22" i="16"/>
  <c r="AQ21" i="16"/>
  <c r="AR21" i="16" s="1"/>
  <c r="W22" i="16"/>
  <c r="AF22" i="16" s="1"/>
  <c r="AS21" i="14" l="1"/>
  <c r="AP21" i="14"/>
  <c r="AT21" i="14" s="1"/>
  <c r="W23" i="14"/>
  <c r="AF23" i="14" s="1"/>
  <c r="AQ22" i="14"/>
  <c r="AR22" i="14" s="1"/>
  <c r="X23" i="14"/>
  <c r="AO22" i="14"/>
  <c r="U23" i="14"/>
  <c r="V23" i="14"/>
  <c r="Y23" i="14"/>
  <c r="T23" i="14"/>
  <c r="Z22" i="14"/>
  <c r="AE22" i="14"/>
  <c r="AG22" i="14" s="1"/>
  <c r="X23" i="16"/>
  <c r="AQ22" i="16"/>
  <c r="AR22" i="16" s="1"/>
  <c r="W23" i="16"/>
  <c r="AF23" i="16" s="1"/>
  <c r="AS21" i="16"/>
  <c r="AP21" i="16"/>
  <c r="AT21" i="16" s="1"/>
  <c r="U23" i="16"/>
  <c r="V23" i="16"/>
  <c r="Z22" i="16"/>
  <c r="AE22" i="16"/>
  <c r="AG22" i="16" s="1"/>
  <c r="T23" i="16"/>
  <c r="Y23" i="16"/>
  <c r="AO22" i="16"/>
  <c r="V24" i="14" l="1"/>
  <c r="T24" i="14"/>
  <c r="Z23" i="14"/>
  <c r="Y24" i="14"/>
  <c r="G35" i="22" s="1"/>
  <c r="AO23" i="14"/>
  <c r="AE23" i="14"/>
  <c r="AG23" i="14" s="1"/>
  <c r="U24" i="14"/>
  <c r="AP22" i="14"/>
  <c r="AT22" i="14" s="1"/>
  <c r="AS22" i="14"/>
  <c r="X24" i="14"/>
  <c r="AQ23" i="14"/>
  <c r="AR23" i="14" s="1"/>
  <c r="W24" i="14"/>
  <c r="AP22" i="16"/>
  <c r="AT22" i="16" s="1"/>
  <c r="AS22" i="16"/>
  <c r="W24" i="16"/>
  <c r="X24" i="16"/>
  <c r="AQ23" i="16"/>
  <c r="AR23" i="16" s="1"/>
  <c r="Y24" i="16"/>
  <c r="G47" i="22" s="1"/>
  <c r="AE23" i="16"/>
  <c r="AG23" i="16" s="1"/>
  <c r="AO23" i="16"/>
  <c r="T24" i="16"/>
  <c r="U24" i="16"/>
  <c r="Z23" i="16"/>
  <c r="V24" i="16"/>
  <c r="F35" i="22" l="1"/>
  <c r="AF24" i="14"/>
  <c r="T25" i="14"/>
  <c r="V25" i="14"/>
  <c r="AO24" i="14"/>
  <c r="U25" i="14"/>
  <c r="Y25" i="14"/>
  <c r="E35" i="22"/>
  <c r="AE24" i="14"/>
  <c r="Z24" i="14"/>
  <c r="AS23" i="14"/>
  <c r="AP23" i="14"/>
  <c r="AT23" i="14" s="1"/>
  <c r="AQ24" i="14"/>
  <c r="AR24" i="14" s="1"/>
  <c r="W25" i="14"/>
  <c r="AF25" i="14" s="1"/>
  <c r="X25" i="14"/>
  <c r="X25" i="16"/>
  <c r="W25" i="16"/>
  <c r="AF25" i="16" s="1"/>
  <c r="AQ24" i="16"/>
  <c r="AR24" i="16" s="1"/>
  <c r="AS23" i="16"/>
  <c r="AP23" i="16"/>
  <c r="AT23" i="16" s="1"/>
  <c r="F47" i="22"/>
  <c r="AF24" i="16"/>
  <c r="AO24" i="16"/>
  <c r="V25" i="16"/>
  <c r="Z24" i="16"/>
  <c r="Y25" i="16"/>
  <c r="AE24" i="16"/>
  <c r="E47" i="22"/>
  <c r="T25" i="16"/>
  <c r="U25" i="16"/>
  <c r="T26" i="14" l="1"/>
  <c r="AO25" i="14"/>
  <c r="AE25" i="14"/>
  <c r="AG25" i="14" s="1"/>
  <c r="Z25" i="14"/>
  <c r="Y26" i="14"/>
  <c r="V26" i="14"/>
  <c r="U26" i="14"/>
  <c r="W26" i="14"/>
  <c r="AF26" i="14" s="1"/>
  <c r="AQ25" i="14"/>
  <c r="AR25" i="14" s="1"/>
  <c r="X26" i="14"/>
  <c r="AG24" i="14"/>
  <c r="AS24" i="14"/>
  <c r="AP24" i="14"/>
  <c r="AT24" i="14" s="1"/>
  <c r="AG24" i="16"/>
  <c r="AS24" i="16"/>
  <c r="AP24" i="16"/>
  <c r="AT24" i="16" s="1"/>
  <c r="Y26" i="16"/>
  <c r="AO25" i="16"/>
  <c r="V26" i="16"/>
  <c r="AE25" i="16"/>
  <c r="AG25" i="16" s="1"/>
  <c r="T26" i="16"/>
  <c r="U26" i="16"/>
  <c r="Z25" i="16"/>
  <c r="X26" i="16"/>
  <c r="AQ25" i="16"/>
  <c r="AR25" i="16" s="1"/>
  <c r="W26" i="16"/>
  <c r="AF26" i="16" s="1"/>
  <c r="X27" i="14" l="1"/>
  <c r="W27" i="14"/>
  <c r="AF27" i="14" s="1"/>
  <c r="AQ26" i="14"/>
  <c r="AR26" i="14" s="1"/>
  <c r="AS25" i="14"/>
  <c r="AP25" i="14"/>
  <c r="AT25" i="14" s="1"/>
  <c r="AE26" i="14"/>
  <c r="AG26" i="14" s="1"/>
  <c r="Z26" i="14"/>
  <c r="V27" i="14"/>
  <c r="AO26" i="14"/>
  <c r="U27" i="14"/>
  <c r="T27" i="14"/>
  <c r="Y27" i="14"/>
  <c r="AS25" i="16"/>
  <c r="AP25" i="16"/>
  <c r="AT25" i="16" s="1"/>
  <c r="AO26" i="16"/>
  <c r="Y27" i="16"/>
  <c r="V27" i="16"/>
  <c r="Z26" i="16"/>
  <c r="T27" i="16"/>
  <c r="U27" i="16"/>
  <c r="AE26" i="16"/>
  <c r="AG26" i="16" s="1"/>
  <c r="AQ26" i="16"/>
  <c r="AR26" i="16" s="1"/>
  <c r="W27" i="16"/>
  <c r="AF27" i="16" s="1"/>
  <c r="X27" i="16"/>
  <c r="W28" i="14" l="1"/>
  <c r="AF28" i="14" s="1"/>
  <c r="AQ27" i="14"/>
  <c r="AR27" i="14" s="1"/>
  <c r="X28" i="14"/>
  <c r="AO27" i="14"/>
  <c r="T28" i="14"/>
  <c r="Y28" i="14"/>
  <c r="AE27" i="14"/>
  <c r="AG27" i="14" s="1"/>
  <c r="V28" i="14"/>
  <c r="U28" i="14"/>
  <c r="Z27" i="14"/>
  <c r="AP26" i="14"/>
  <c r="AT26" i="14" s="1"/>
  <c r="AS26" i="14"/>
  <c r="AO27" i="16"/>
  <c r="V28" i="16"/>
  <c r="U28" i="16"/>
  <c r="T28" i="16"/>
  <c r="AE27" i="16"/>
  <c r="AG27" i="16" s="1"/>
  <c r="Y28" i="16"/>
  <c r="Z27" i="16"/>
  <c r="AP26" i="16"/>
  <c r="AT26" i="16" s="1"/>
  <c r="AS26" i="16"/>
  <c r="X28" i="16"/>
  <c r="W28" i="16"/>
  <c r="AF28" i="16" s="1"/>
  <c r="AQ27" i="16"/>
  <c r="AR27" i="16" s="1"/>
  <c r="W29" i="14" l="1"/>
  <c r="AQ28" i="14"/>
  <c r="AR28" i="14" s="1"/>
  <c r="X29" i="14"/>
  <c r="AP27" i="14"/>
  <c r="AT27" i="14" s="1"/>
  <c r="AS27" i="14"/>
  <c r="V29" i="14"/>
  <c r="T29" i="14"/>
  <c r="AE28" i="14"/>
  <c r="AG28" i="14" s="1"/>
  <c r="AO28" i="14"/>
  <c r="Z28" i="14"/>
  <c r="U29" i="14"/>
  <c r="Y29" i="14"/>
  <c r="G36" i="22" s="1"/>
  <c r="Y29" i="16"/>
  <c r="G48" i="22" s="1"/>
  <c r="AE28" i="16"/>
  <c r="AG28" i="16" s="1"/>
  <c r="U29" i="16"/>
  <c r="T29" i="16"/>
  <c r="Z28" i="16"/>
  <c r="V29" i="16"/>
  <c r="AO28" i="16"/>
  <c r="W29" i="16"/>
  <c r="X29" i="16"/>
  <c r="AQ28" i="16"/>
  <c r="AR28" i="16" s="1"/>
  <c r="AS27" i="16"/>
  <c r="AP27" i="16"/>
  <c r="AT27" i="16" s="1"/>
  <c r="T30" i="14" l="1"/>
  <c r="V30" i="14"/>
  <c r="AO29" i="14"/>
  <c r="U30" i="14"/>
  <c r="E36" i="22"/>
  <c r="Y30" i="14"/>
  <c r="AE29" i="14"/>
  <c r="Z29" i="14"/>
  <c r="X30" i="14"/>
  <c r="W30" i="14"/>
  <c r="AF30" i="14" s="1"/>
  <c r="AQ29" i="14"/>
  <c r="AR29" i="14" s="1"/>
  <c r="AP28" i="14"/>
  <c r="AT28" i="14" s="1"/>
  <c r="AS28" i="14"/>
  <c r="F36" i="22"/>
  <c r="AF29" i="14"/>
  <c r="F48" i="22"/>
  <c r="AF29" i="16"/>
  <c r="Y30" i="16"/>
  <c r="E48" i="22"/>
  <c r="U30" i="16"/>
  <c r="T30" i="16"/>
  <c r="AO29" i="16"/>
  <c r="Z29" i="16"/>
  <c r="V30" i="16"/>
  <c r="AE29" i="16"/>
  <c r="AP28" i="16"/>
  <c r="AT28" i="16" s="1"/>
  <c r="AS28" i="16"/>
  <c r="X30" i="16"/>
  <c r="AQ29" i="16"/>
  <c r="AR29" i="16" s="1"/>
  <c r="W30" i="16"/>
  <c r="AF30" i="16" s="1"/>
  <c r="AG29" i="16" l="1"/>
  <c r="AG29" i="14"/>
  <c r="AP29" i="14"/>
  <c r="AT29" i="14" s="1"/>
  <c r="AS29" i="14"/>
  <c r="X31" i="14"/>
  <c r="W31" i="14"/>
  <c r="AF31" i="14" s="1"/>
  <c r="AQ30" i="14"/>
  <c r="AR30" i="14" s="1"/>
  <c r="U31" i="14"/>
  <c r="Y31" i="14"/>
  <c r="V31" i="14"/>
  <c r="T31" i="14"/>
  <c r="Z30" i="14"/>
  <c r="AO30" i="14"/>
  <c r="AE30" i="14"/>
  <c r="AG30" i="14" s="1"/>
  <c r="AP29" i="16"/>
  <c r="AT29" i="16" s="1"/>
  <c r="AS29" i="16"/>
  <c r="AO30" i="16"/>
  <c r="AE30" i="16"/>
  <c r="AG30" i="16" s="1"/>
  <c r="U31" i="16"/>
  <c r="V31" i="16"/>
  <c r="Z30" i="16"/>
  <c r="T31" i="16"/>
  <c r="Y31" i="16"/>
  <c r="AQ30" i="16"/>
  <c r="AR30" i="16" s="1"/>
  <c r="W31" i="16"/>
  <c r="AF31" i="16" s="1"/>
  <c r="X31" i="16"/>
  <c r="AP30" i="14" l="1"/>
  <c r="AT30" i="14" s="1"/>
  <c r="AS30" i="14"/>
  <c r="V32" i="14"/>
  <c r="AO31" i="14"/>
  <c r="Z31" i="14"/>
  <c r="AE31" i="14"/>
  <c r="AG31" i="14" s="1"/>
  <c r="T32" i="14"/>
  <c r="U32" i="14"/>
  <c r="Y32" i="14"/>
  <c r="AQ31" i="14"/>
  <c r="AR31" i="14" s="1"/>
  <c r="X32" i="14"/>
  <c r="W32" i="14"/>
  <c r="AF32" i="14" s="1"/>
  <c r="AO31" i="16"/>
  <c r="Y32" i="16"/>
  <c r="U32" i="16"/>
  <c r="V32" i="16"/>
  <c r="AE31" i="16"/>
  <c r="AG31" i="16" s="1"/>
  <c r="T32" i="16"/>
  <c r="Z31" i="16"/>
  <c r="AS30" i="16"/>
  <c r="AP30" i="16"/>
  <c r="AT30" i="16" s="1"/>
  <c r="W32" i="16"/>
  <c r="AF32" i="16" s="1"/>
  <c r="X32" i="16"/>
  <c r="AQ31" i="16"/>
  <c r="AR31" i="16" s="1"/>
  <c r="Y33" i="14" l="1"/>
  <c r="AE32" i="14"/>
  <c r="AG32" i="14" s="1"/>
  <c r="U33" i="14"/>
  <c r="AO32" i="14"/>
  <c r="T33" i="14"/>
  <c r="V33" i="14"/>
  <c r="Z32" i="14"/>
  <c r="AQ32" i="14"/>
  <c r="AR32" i="14" s="1"/>
  <c r="X33" i="14"/>
  <c r="W33" i="14"/>
  <c r="AF33" i="14" s="1"/>
  <c r="AP31" i="14"/>
  <c r="AT31" i="14" s="1"/>
  <c r="AS31" i="14"/>
  <c r="X33" i="16"/>
  <c r="AQ32" i="16"/>
  <c r="AR32" i="16" s="1"/>
  <c r="W33" i="16"/>
  <c r="AF33" i="16" s="1"/>
  <c r="U33" i="16"/>
  <c r="Z32" i="16"/>
  <c r="V33" i="16"/>
  <c r="AO32" i="16"/>
  <c r="T33" i="16"/>
  <c r="AE32" i="16"/>
  <c r="AG32" i="16" s="1"/>
  <c r="Y33" i="16"/>
  <c r="AP31" i="16"/>
  <c r="AT31" i="16" s="1"/>
  <c r="AS31" i="16"/>
  <c r="AP32" i="14" l="1"/>
  <c r="AT32" i="14" s="1"/>
  <c r="AS32" i="14"/>
  <c r="X34" i="14"/>
  <c r="W34" i="14"/>
  <c r="AQ33" i="14"/>
  <c r="AR33" i="14" s="1"/>
  <c r="T34" i="14"/>
  <c r="AO33" i="14"/>
  <c r="AE33" i="14"/>
  <c r="AG33" i="14" s="1"/>
  <c r="U34" i="14"/>
  <c r="Z33" i="14"/>
  <c r="V34" i="14"/>
  <c r="Y34" i="14"/>
  <c r="G37" i="22" s="1"/>
  <c r="AP32" i="16"/>
  <c r="AT32" i="16" s="1"/>
  <c r="AS32" i="16"/>
  <c r="Y34" i="16"/>
  <c r="G49" i="22" s="1"/>
  <c r="V34" i="16"/>
  <c r="Z33" i="16"/>
  <c r="AO33" i="16"/>
  <c r="U34" i="16"/>
  <c r="AE33" i="16"/>
  <c r="AG33" i="16" s="1"/>
  <c r="T34" i="16"/>
  <c r="AQ33" i="16"/>
  <c r="AR33" i="16" s="1"/>
  <c r="X34" i="16"/>
  <c r="W34" i="16"/>
  <c r="W35" i="14" l="1"/>
  <c r="AF35" i="14" s="1"/>
  <c r="AQ34" i="14"/>
  <c r="AR34" i="14" s="1"/>
  <c r="X35" i="14"/>
  <c r="AS33" i="14"/>
  <c r="AP33" i="14"/>
  <c r="AT33" i="14" s="1"/>
  <c r="Z34" i="14"/>
  <c r="E37" i="22"/>
  <c r="T35" i="14"/>
  <c r="U35" i="14"/>
  <c r="V35" i="14"/>
  <c r="AO34" i="14"/>
  <c r="AE34" i="14"/>
  <c r="Y35" i="14"/>
  <c r="AF34" i="14"/>
  <c r="F37" i="22"/>
  <c r="AF34" i="16"/>
  <c r="F49" i="22"/>
  <c r="AQ34" i="16"/>
  <c r="AR34" i="16" s="1"/>
  <c r="X35" i="16"/>
  <c r="W35" i="16"/>
  <c r="AF35" i="16" s="1"/>
  <c r="AS33" i="16"/>
  <c r="AP33" i="16"/>
  <c r="AT33" i="16" s="1"/>
  <c r="U35" i="16"/>
  <c r="Z34" i="16"/>
  <c r="AE34" i="16"/>
  <c r="T35" i="16"/>
  <c r="Y35" i="16"/>
  <c r="E49" i="22"/>
  <c r="AO34" i="16"/>
  <c r="V35" i="16"/>
  <c r="AG34" i="16" l="1"/>
  <c r="AG34" i="14"/>
  <c r="V36" i="14"/>
  <c r="T36" i="14"/>
  <c r="Z35" i="14"/>
  <c r="AE35" i="14"/>
  <c r="AG35" i="14" s="1"/>
  <c r="Y36" i="14"/>
  <c r="AO35" i="14"/>
  <c r="U36" i="14"/>
  <c r="AP34" i="14"/>
  <c r="AT34" i="14" s="1"/>
  <c r="AS34" i="14"/>
  <c r="X36" i="14"/>
  <c r="W36" i="14"/>
  <c r="AF36" i="14" s="1"/>
  <c r="AQ35" i="14"/>
  <c r="AR35" i="14" s="1"/>
  <c r="W36" i="16"/>
  <c r="AF36" i="16" s="1"/>
  <c r="AQ35" i="16"/>
  <c r="AR35" i="16" s="1"/>
  <c r="X36" i="16"/>
  <c r="AO35" i="16"/>
  <c r="U36" i="16"/>
  <c r="Z35" i="16"/>
  <c r="Y36" i="16"/>
  <c r="AE35" i="16"/>
  <c r="AG35" i="16" s="1"/>
  <c r="V36" i="16"/>
  <c r="T36" i="16"/>
  <c r="AP34" i="16"/>
  <c r="AT34" i="16" s="1"/>
  <c r="AS34" i="16"/>
  <c r="AP35" i="14" l="1"/>
  <c r="AT35" i="14" s="1"/>
  <c r="AS35" i="14"/>
  <c r="T37" i="14"/>
  <c r="U37" i="14"/>
  <c r="V37" i="14"/>
  <c r="Y37" i="14"/>
  <c r="AE36" i="14"/>
  <c r="AG36" i="14" s="1"/>
  <c r="AO36" i="14"/>
  <c r="Z36" i="14"/>
  <c r="W37" i="14"/>
  <c r="AF37" i="14" s="1"/>
  <c r="AQ36" i="14"/>
  <c r="AR36" i="14" s="1"/>
  <c r="X37" i="14"/>
  <c r="AS35" i="16"/>
  <c r="AP35" i="16"/>
  <c r="AT35" i="16" s="1"/>
  <c r="AO36" i="16"/>
  <c r="AE36" i="16"/>
  <c r="AG36" i="16" s="1"/>
  <c r="U37" i="16"/>
  <c r="T37" i="16"/>
  <c r="V37" i="16"/>
  <c r="Y37" i="16"/>
  <c r="Z36" i="16"/>
  <c r="X37" i="16"/>
  <c r="W37" i="16"/>
  <c r="AF37" i="16" s="1"/>
  <c r="AQ36" i="16"/>
  <c r="AR36" i="16" s="1"/>
  <c r="AS36" i="14" l="1"/>
  <c r="AP36" i="14"/>
  <c r="AT36" i="14" s="1"/>
  <c r="AE37" i="14"/>
  <c r="AG37" i="14" s="1"/>
  <c r="AO37" i="14"/>
  <c r="T38" i="14"/>
  <c r="V38" i="14"/>
  <c r="U38" i="14"/>
  <c r="Z37" i="14"/>
  <c r="Y38" i="14"/>
  <c r="AQ37" i="14"/>
  <c r="AR37" i="14" s="1"/>
  <c r="W38" i="14"/>
  <c r="AF38" i="14" s="1"/>
  <c r="X38" i="14"/>
  <c r="AQ37" i="16"/>
  <c r="AR37" i="16" s="1"/>
  <c r="X38" i="16"/>
  <c r="W38" i="16"/>
  <c r="AF38" i="16" s="1"/>
  <c r="AP36" i="16"/>
  <c r="AT36" i="16" s="1"/>
  <c r="AS36" i="16"/>
  <c r="Z37" i="16"/>
  <c r="V38" i="16"/>
  <c r="AO37" i="16"/>
  <c r="U38" i="16"/>
  <c r="T38" i="16"/>
  <c r="Y38" i="16"/>
  <c r="AE37" i="16"/>
  <c r="AG37" i="16" s="1"/>
  <c r="AQ38" i="14" l="1"/>
  <c r="AR38" i="14" s="1"/>
  <c r="X39" i="14"/>
  <c r="W39" i="14"/>
  <c r="AS37" i="14"/>
  <c r="AP37" i="14"/>
  <c r="AT37" i="14" s="1"/>
  <c r="AE38" i="14"/>
  <c r="AG38" i="14" s="1"/>
  <c r="V39" i="14"/>
  <c r="AO38" i="14"/>
  <c r="Y39" i="14"/>
  <c r="G38" i="22" s="1"/>
  <c r="U39" i="14"/>
  <c r="T39" i="14"/>
  <c r="Z38" i="14"/>
  <c r="AS37" i="16"/>
  <c r="AP37" i="16"/>
  <c r="AT37" i="16" s="1"/>
  <c r="AQ38" i="16"/>
  <c r="AR38" i="16" s="1"/>
  <c r="X39" i="16"/>
  <c r="W39" i="16"/>
  <c r="Z38" i="16"/>
  <c r="AE38" i="16"/>
  <c r="AG38" i="16" s="1"/>
  <c r="AO38" i="16"/>
  <c r="V39" i="16"/>
  <c r="Y39" i="16"/>
  <c r="G50" i="22" s="1"/>
  <c r="U39" i="16"/>
  <c r="T39" i="16"/>
  <c r="W40" i="14" l="1"/>
  <c r="AF40" i="14" s="1"/>
  <c r="AQ39" i="14"/>
  <c r="AR39" i="14" s="1"/>
  <c r="X40" i="14"/>
  <c r="AP38" i="14"/>
  <c r="AT38" i="14" s="1"/>
  <c r="AS38" i="14"/>
  <c r="F38" i="22"/>
  <c r="AF39" i="14"/>
  <c r="E38" i="22"/>
  <c r="AE39" i="14"/>
  <c r="V40" i="14"/>
  <c r="AO39" i="14"/>
  <c r="T40" i="14"/>
  <c r="Y40" i="14"/>
  <c r="Z39" i="14"/>
  <c r="U40" i="14"/>
  <c r="AQ39" i="16"/>
  <c r="AR39" i="16" s="1"/>
  <c r="W40" i="16"/>
  <c r="AF40" i="16" s="1"/>
  <c r="X40" i="16"/>
  <c r="AF39" i="16"/>
  <c r="F50" i="22"/>
  <c r="AE39" i="16"/>
  <c r="U40" i="16"/>
  <c r="V40" i="16"/>
  <c r="AO39" i="16"/>
  <c r="E50" i="22"/>
  <c r="T40" i="16"/>
  <c r="Y40" i="16"/>
  <c r="Z39" i="16"/>
  <c r="AP38" i="16"/>
  <c r="AT38" i="16" s="1"/>
  <c r="AS38" i="16"/>
  <c r="Z40" i="14" l="1"/>
  <c r="V41" i="14"/>
  <c r="U41" i="14"/>
  <c r="T41" i="14"/>
  <c r="AE40" i="14"/>
  <c r="AG40" i="14" s="1"/>
  <c r="AO40" i="14"/>
  <c r="Y41" i="14"/>
  <c r="AP39" i="14"/>
  <c r="AT39" i="14" s="1"/>
  <c r="AS39" i="14"/>
  <c r="AQ40" i="14"/>
  <c r="AR40" i="14" s="1"/>
  <c r="X41" i="14"/>
  <c r="W41" i="14"/>
  <c r="AF41" i="14" s="1"/>
  <c r="AG39" i="14"/>
  <c r="AG39" i="16"/>
  <c r="W41" i="16"/>
  <c r="AF41" i="16" s="1"/>
  <c r="AQ40" i="16"/>
  <c r="AR40" i="16" s="1"/>
  <c r="X41" i="16"/>
  <c r="AO40" i="16"/>
  <c r="Z40" i="16"/>
  <c r="AE40" i="16"/>
  <c r="AG40" i="16" s="1"/>
  <c r="U41" i="16"/>
  <c r="V41" i="16"/>
  <c r="Y41" i="16"/>
  <c r="T41" i="16"/>
  <c r="AS39" i="16"/>
  <c r="AP39" i="16"/>
  <c r="AT39" i="16" s="1"/>
  <c r="AO41" i="14" l="1"/>
  <c r="T42" i="14"/>
  <c r="Z41" i="14"/>
  <c r="Y42" i="14"/>
  <c r="V42" i="14"/>
  <c r="U42" i="14"/>
  <c r="AE41" i="14"/>
  <c r="AG41" i="14" s="1"/>
  <c r="AP40" i="14"/>
  <c r="AT40" i="14" s="1"/>
  <c r="AS40" i="14"/>
  <c r="X42" i="14"/>
  <c r="AQ41" i="14"/>
  <c r="AR41" i="14" s="1"/>
  <c r="W42" i="14"/>
  <c r="AF42" i="14" s="1"/>
  <c r="AQ41" i="16"/>
  <c r="AR41" i="16" s="1"/>
  <c r="W42" i="16"/>
  <c r="AF42" i="16" s="1"/>
  <c r="X42" i="16"/>
  <c r="U42" i="16"/>
  <c r="T42" i="16"/>
  <c r="AO41" i="16"/>
  <c r="Z41" i="16"/>
  <c r="AE41" i="16"/>
  <c r="AG41" i="16" s="1"/>
  <c r="Y42" i="16"/>
  <c r="V42" i="16"/>
  <c r="AP40" i="16"/>
  <c r="AT40" i="16" s="1"/>
  <c r="AS40" i="16"/>
  <c r="Z42" i="14" l="1"/>
  <c r="AO42" i="14"/>
  <c r="U43" i="14"/>
  <c r="V43" i="14"/>
  <c r="AE42" i="14"/>
  <c r="AG42" i="14" s="1"/>
  <c r="Y43" i="14"/>
  <c r="T43" i="14"/>
  <c r="W43" i="14"/>
  <c r="AF43" i="14" s="1"/>
  <c r="AQ42" i="14"/>
  <c r="AR42" i="14" s="1"/>
  <c r="X43" i="14"/>
  <c r="AS41" i="14"/>
  <c r="AP41" i="14"/>
  <c r="AT41" i="14" s="1"/>
  <c r="AQ42" i="16"/>
  <c r="AR42" i="16" s="1"/>
  <c r="W43" i="16"/>
  <c r="AF43" i="16" s="1"/>
  <c r="X43" i="16"/>
  <c r="AP41" i="16"/>
  <c r="AT41" i="16" s="1"/>
  <c r="AS41" i="16"/>
  <c r="AO42" i="16"/>
  <c r="AE42" i="16"/>
  <c r="AG42" i="16" s="1"/>
  <c r="U43" i="16"/>
  <c r="V43" i="16"/>
  <c r="Y43" i="16"/>
  <c r="Z42" i="16"/>
  <c r="T43" i="16"/>
  <c r="X44" i="14" l="1"/>
  <c r="AQ43" i="14"/>
  <c r="AR43" i="14" s="1"/>
  <c r="W44" i="14"/>
  <c r="AE43" i="14"/>
  <c r="AG43" i="14" s="1"/>
  <c r="AO43" i="14"/>
  <c r="T44" i="14"/>
  <c r="Z43" i="14"/>
  <c r="Y44" i="14"/>
  <c r="G39" i="22" s="1"/>
  <c r="U44" i="14"/>
  <c r="V44" i="14"/>
  <c r="AS42" i="14"/>
  <c r="AP42" i="14"/>
  <c r="AT42" i="14" s="1"/>
  <c r="U44" i="16"/>
  <c r="Z43" i="16"/>
  <c r="AO43" i="16"/>
  <c r="Y44" i="16"/>
  <c r="G51" i="22" s="1"/>
  <c r="V44" i="16"/>
  <c r="T44" i="16"/>
  <c r="AE43" i="16"/>
  <c r="AG43" i="16" s="1"/>
  <c r="AS42" i="16"/>
  <c r="AP42" i="16"/>
  <c r="AT42" i="16" s="1"/>
  <c r="AQ43" i="16"/>
  <c r="AR43" i="16" s="1"/>
  <c r="W44" i="16"/>
  <c r="X44" i="16"/>
  <c r="AF44" i="14" l="1"/>
  <c r="F39" i="22"/>
  <c r="AQ44" i="14"/>
  <c r="AR44" i="14" s="1"/>
  <c r="X45" i="14"/>
  <c r="W45" i="14"/>
  <c r="AF45" i="14" s="1"/>
  <c r="E39" i="22"/>
  <c r="T45" i="14"/>
  <c r="V45" i="14"/>
  <c r="Z44" i="14"/>
  <c r="U45" i="14"/>
  <c r="Y45" i="14"/>
  <c r="AO44" i="14"/>
  <c r="AE44" i="14"/>
  <c r="AS43" i="14"/>
  <c r="AP43" i="14"/>
  <c r="AT43" i="14" s="1"/>
  <c r="F51" i="22"/>
  <c r="AF44" i="16"/>
  <c r="AS43" i="16"/>
  <c r="AP43" i="16"/>
  <c r="AT43" i="16" s="1"/>
  <c r="E51" i="22"/>
  <c r="Y45" i="16"/>
  <c r="V45" i="16"/>
  <c r="U45" i="16"/>
  <c r="T45" i="16"/>
  <c r="AO44" i="16"/>
  <c r="Z44" i="16"/>
  <c r="AE44" i="16"/>
  <c r="AQ44" i="16"/>
  <c r="AR44" i="16" s="1"/>
  <c r="X45" i="16"/>
  <c r="W45" i="16"/>
  <c r="AF45" i="16" s="1"/>
  <c r="AG44" i="14" l="1"/>
  <c r="AS44" i="14"/>
  <c r="AP44" i="14"/>
  <c r="AT44" i="14" s="1"/>
  <c r="X46" i="14"/>
  <c r="W46" i="14"/>
  <c r="AF46" i="14" s="1"/>
  <c r="AQ45" i="14"/>
  <c r="AR45" i="14" s="1"/>
  <c r="AE45" i="14"/>
  <c r="AG45" i="14" s="1"/>
  <c r="U46" i="14"/>
  <c r="AO45" i="14"/>
  <c r="V46" i="14"/>
  <c r="T46" i="14"/>
  <c r="Z45" i="14"/>
  <c r="Y46" i="14"/>
  <c r="AG44" i="16"/>
  <c r="X46" i="16"/>
  <c r="W46" i="16"/>
  <c r="AF46" i="16" s="1"/>
  <c r="AQ45" i="16"/>
  <c r="AR45" i="16" s="1"/>
  <c r="AS44" i="16"/>
  <c r="AP44" i="16"/>
  <c r="AT44" i="16" s="1"/>
  <c r="AO45" i="16"/>
  <c r="Y46" i="16"/>
  <c r="AE45" i="16"/>
  <c r="AG45" i="16" s="1"/>
  <c r="V46" i="16"/>
  <c r="Z45" i="16"/>
  <c r="T46" i="16"/>
  <c r="U46" i="16"/>
  <c r="AP45" i="14" l="1"/>
  <c r="AT45" i="14" s="1"/>
  <c r="AS45" i="14"/>
  <c r="V47" i="14"/>
  <c r="AO46" i="14"/>
  <c r="AE46" i="14"/>
  <c r="AG46" i="14" s="1"/>
  <c r="Y47" i="14"/>
  <c r="U47" i="14"/>
  <c r="T47" i="14"/>
  <c r="Z46" i="14"/>
  <c r="X47" i="14"/>
  <c r="W47" i="14"/>
  <c r="AF47" i="14" s="1"/>
  <c r="AQ46" i="14"/>
  <c r="AR46" i="14" s="1"/>
  <c r="Y47" i="16"/>
  <c r="AE46" i="16"/>
  <c r="AG46" i="16" s="1"/>
  <c r="Z46" i="16"/>
  <c r="U47" i="16"/>
  <c r="V47" i="16"/>
  <c r="AO46" i="16"/>
  <c r="T47" i="16"/>
  <c r="AS45" i="16"/>
  <c r="AP45" i="16"/>
  <c r="AT45" i="16" s="1"/>
  <c r="X47" i="16"/>
  <c r="AQ46" i="16"/>
  <c r="AR46" i="16" s="1"/>
  <c r="W47" i="16"/>
  <c r="AF47" i="16" s="1"/>
  <c r="AE47" i="14" l="1"/>
  <c r="AG47" i="14" s="1"/>
  <c r="Y48" i="14"/>
  <c r="U48" i="14"/>
  <c r="Z47" i="14"/>
  <c r="V48" i="14"/>
  <c r="AO47" i="14"/>
  <c r="T48" i="14"/>
  <c r="AP46" i="14"/>
  <c r="AT46" i="14" s="1"/>
  <c r="AS46" i="14"/>
  <c r="W48" i="14"/>
  <c r="AF48" i="14" s="1"/>
  <c r="X48" i="14"/>
  <c r="AQ47" i="14"/>
  <c r="AR47" i="14" s="1"/>
  <c r="Y48" i="16"/>
  <c r="AE47" i="16"/>
  <c r="AG47" i="16" s="1"/>
  <c r="Z47" i="16"/>
  <c r="V48" i="16"/>
  <c r="T48" i="16"/>
  <c r="AO47" i="16"/>
  <c r="U48" i="16"/>
  <c r="AS46" i="16"/>
  <c r="AP46" i="16"/>
  <c r="AT46" i="16" s="1"/>
  <c r="AQ47" i="16"/>
  <c r="AR47" i="16" s="1"/>
  <c r="X48" i="16"/>
  <c r="W48" i="16"/>
  <c r="AF48" i="16" s="1"/>
  <c r="Y49" i="14" l="1"/>
  <c r="G40" i="22" s="1"/>
  <c r="AO48" i="14"/>
  <c r="AE48" i="14"/>
  <c r="AG48" i="14" s="1"/>
  <c r="Z48" i="14"/>
  <c r="V49" i="14"/>
  <c r="T49" i="14"/>
  <c r="U49" i="14"/>
  <c r="AS47" i="14"/>
  <c r="AP47" i="14"/>
  <c r="AT47" i="14" s="1"/>
  <c r="X49" i="14"/>
  <c r="W49" i="14"/>
  <c r="AQ48" i="14"/>
  <c r="AR48" i="14" s="1"/>
  <c r="X49" i="16"/>
  <c r="W49" i="16"/>
  <c r="AQ48" i="16"/>
  <c r="AR48" i="16" s="1"/>
  <c r="AP47" i="16"/>
  <c r="AT47" i="16" s="1"/>
  <c r="AS47" i="16"/>
  <c r="U49" i="16"/>
  <c r="Z48" i="16"/>
  <c r="AO48" i="16"/>
  <c r="T49" i="16"/>
  <c r="Y49" i="16"/>
  <c r="G52" i="22" s="1"/>
  <c r="V49" i="16"/>
  <c r="AE48" i="16"/>
  <c r="AG48" i="16" s="1"/>
  <c r="F40" i="22" l="1"/>
  <c r="AF49" i="14"/>
  <c r="E40" i="22"/>
  <c r="Y50" i="14"/>
  <c r="AO49" i="14"/>
  <c r="V50" i="14"/>
  <c r="AE49" i="14"/>
  <c r="U50" i="14"/>
  <c r="T50" i="14"/>
  <c r="Z49" i="14"/>
  <c r="AP48" i="14"/>
  <c r="AT48" i="14" s="1"/>
  <c r="AS48" i="14"/>
  <c r="X50" i="14"/>
  <c r="AQ49" i="14"/>
  <c r="AR49" i="14" s="1"/>
  <c r="W50" i="14"/>
  <c r="AF50" i="14" s="1"/>
  <c r="AS48" i="16"/>
  <c r="AP48" i="16"/>
  <c r="AT48" i="16" s="1"/>
  <c r="W50" i="16"/>
  <c r="AF50" i="16" s="1"/>
  <c r="X50" i="16"/>
  <c r="AQ49" i="16"/>
  <c r="AR49" i="16" s="1"/>
  <c r="AF49" i="16"/>
  <c r="F52" i="22"/>
  <c r="Y50" i="16"/>
  <c r="V50" i="16"/>
  <c r="AE49" i="16"/>
  <c r="U50" i="16"/>
  <c r="E52" i="22"/>
  <c r="Z49" i="16"/>
  <c r="AO49" i="16"/>
  <c r="T50" i="16"/>
  <c r="AG49" i="16" l="1"/>
  <c r="AG49" i="14"/>
  <c r="AQ50" i="14"/>
  <c r="AR50" i="14" s="1"/>
  <c r="W51" i="14"/>
  <c r="AF51" i="14" s="1"/>
  <c r="X51" i="14"/>
  <c r="Z50" i="14"/>
  <c r="U51" i="14"/>
  <c r="AO50" i="14"/>
  <c r="T51" i="14"/>
  <c r="AE50" i="14"/>
  <c r="AG50" i="14" s="1"/>
  <c r="Y51" i="14"/>
  <c r="V51" i="14"/>
  <c r="AS49" i="14"/>
  <c r="AP49" i="14"/>
  <c r="AT49" i="14" s="1"/>
  <c r="U51" i="16"/>
  <c r="V51" i="16"/>
  <c r="AE50" i="16"/>
  <c r="AG50" i="16" s="1"/>
  <c r="Z50" i="16"/>
  <c r="Y51" i="16"/>
  <c r="AO50" i="16"/>
  <c r="T51" i="16"/>
  <c r="AP49" i="16"/>
  <c r="AT49" i="16" s="1"/>
  <c r="AS49" i="16"/>
  <c r="AQ50" i="16"/>
  <c r="AR50" i="16" s="1"/>
  <c r="X51" i="16"/>
  <c r="W51" i="16"/>
  <c r="AF51" i="16" s="1"/>
  <c r="U52" i="14" l="1"/>
  <c r="Z51" i="14"/>
  <c r="V52" i="14"/>
  <c r="AE51" i="14"/>
  <c r="AG51" i="14" s="1"/>
  <c r="Y52" i="14"/>
  <c r="T52" i="14"/>
  <c r="AO51" i="14"/>
  <c r="AQ51" i="14"/>
  <c r="AR51" i="14" s="1"/>
  <c r="X52" i="14"/>
  <c r="W52" i="14"/>
  <c r="AF52" i="14" s="1"/>
  <c r="AP50" i="14"/>
  <c r="AT50" i="14" s="1"/>
  <c r="AS50" i="14"/>
  <c r="U52" i="16"/>
  <c r="T52" i="16"/>
  <c r="AO51" i="16"/>
  <c r="Z51" i="16"/>
  <c r="Y52" i="16"/>
  <c r="AE51" i="16"/>
  <c r="AG51" i="16" s="1"/>
  <c r="V52" i="16"/>
  <c r="AP50" i="16"/>
  <c r="AT50" i="16" s="1"/>
  <c r="AS50" i="16"/>
  <c r="X52" i="16"/>
  <c r="AQ51" i="16"/>
  <c r="AR51" i="16" s="1"/>
  <c r="W52" i="16"/>
  <c r="AF52" i="16" s="1"/>
  <c r="AS51" i="14" l="1"/>
  <c r="AP51" i="14"/>
  <c r="AT51" i="14" s="1"/>
  <c r="W53" i="14"/>
  <c r="AF53" i="14" s="1"/>
  <c r="X53" i="14"/>
  <c r="AQ52" i="14"/>
  <c r="AR52" i="14" s="1"/>
  <c r="AO52" i="14"/>
  <c r="V53" i="14"/>
  <c r="AE52" i="14"/>
  <c r="AG52" i="14" s="1"/>
  <c r="U53" i="14"/>
  <c r="Y53" i="14"/>
  <c r="T53" i="14"/>
  <c r="Z52" i="14"/>
  <c r="X53" i="16"/>
  <c r="AQ52" i="16"/>
  <c r="AR52" i="16" s="1"/>
  <c r="W53" i="16"/>
  <c r="AF53" i="16" s="1"/>
  <c r="AP51" i="16"/>
  <c r="AT51" i="16" s="1"/>
  <c r="AS51" i="16"/>
  <c r="AE52" i="16"/>
  <c r="AG52" i="16" s="1"/>
  <c r="V53" i="16"/>
  <c r="Y53" i="16"/>
  <c r="U53" i="16"/>
  <c r="T53" i="16"/>
  <c r="Z52" i="16"/>
  <c r="AO52" i="16"/>
  <c r="T54" i="14" l="1"/>
  <c r="V54" i="14"/>
  <c r="Z53" i="14"/>
  <c r="AO53" i="14"/>
  <c r="Y54" i="14"/>
  <c r="AE53" i="14"/>
  <c r="AG53" i="14" s="1"/>
  <c r="U54" i="14"/>
  <c r="W54" i="14"/>
  <c r="AF54" i="14" s="1"/>
  <c r="X54" i="14"/>
  <c r="AQ53" i="14"/>
  <c r="AR53" i="14" s="1"/>
  <c r="AP52" i="14"/>
  <c r="AT52" i="14" s="1"/>
  <c r="AS52" i="14"/>
  <c r="AS52" i="16"/>
  <c r="AP52" i="16"/>
  <c r="AT52" i="16" s="1"/>
  <c r="AQ53" i="16"/>
  <c r="AR53" i="16" s="1"/>
  <c r="W54" i="16"/>
  <c r="AF54" i="16" s="1"/>
  <c r="X54" i="16"/>
  <c r="Z53" i="16"/>
  <c r="AE53" i="16"/>
  <c r="AG53" i="16" s="1"/>
  <c r="T54" i="16"/>
  <c r="Y54" i="16"/>
  <c r="AO53" i="16"/>
  <c r="V54" i="16"/>
  <c r="U54" i="16"/>
  <c r="AP53" i="14" l="1"/>
  <c r="AT53" i="14" s="1"/>
  <c r="AS53" i="14"/>
  <c r="W55" i="14"/>
  <c r="AF55" i="14" s="1"/>
  <c r="X55" i="14"/>
  <c r="AQ54" i="14"/>
  <c r="AR54" i="14" s="1"/>
  <c r="AE54" i="14"/>
  <c r="AG54" i="14" s="1"/>
  <c r="Z54" i="14"/>
  <c r="U55" i="14"/>
  <c r="Y55" i="14"/>
  <c r="V55" i="14"/>
  <c r="T55" i="14"/>
  <c r="AO54" i="14"/>
  <c r="AE54" i="16"/>
  <c r="AG54" i="16" s="1"/>
  <c r="T55" i="16"/>
  <c r="AO54" i="16"/>
  <c r="U55" i="16"/>
  <c r="Y55" i="16"/>
  <c r="Z54" i="16"/>
  <c r="V55" i="16"/>
  <c r="W55" i="16"/>
  <c r="AF55" i="16" s="1"/>
  <c r="X55" i="16"/>
  <c r="AQ54" i="16"/>
  <c r="AR54" i="16" s="1"/>
  <c r="AP53" i="16"/>
  <c r="AT53" i="16" s="1"/>
  <c r="AS53" i="16"/>
  <c r="Y56" i="14" l="1"/>
  <c r="AE55" i="14"/>
  <c r="AG55" i="14" s="1"/>
  <c r="Z55" i="14"/>
  <c r="AO55" i="14"/>
  <c r="U56" i="14"/>
  <c r="V56" i="14"/>
  <c r="T56" i="14"/>
  <c r="AQ55" i="14"/>
  <c r="AR55" i="14" s="1"/>
  <c r="W56" i="14"/>
  <c r="AF56" i="14" s="1"/>
  <c r="X56" i="14"/>
  <c r="AS54" i="14"/>
  <c r="AP54" i="14"/>
  <c r="AT54" i="14" s="1"/>
  <c r="X56" i="16"/>
  <c r="AQ55" i="16"/>
  <c r="AR55" i="16" s="1"/>
  <c r="W56" i="16"/>
  <c r="AF56" i="16" s="1"/>
  <c r="AS54" i="16"/>
  <c r="AP54" i="16"/>
  <c r="AT54" i="16" s="1"/>
  <c r="Y56" i="16"/>
  <c r="AE55" i="16"/>
  <c r="AG55" i="16" s="1"/>
  <c r="T56" i="16"/>
  <c r="AO55" i="16"/>
  <c r="V56" i="16"/>
  <c r="Z55" i="16"/>
  <c r="U56" i="16"/>
  <c r="AS55" i="14" l="1"/>
  <c r="AP55" i="14"/>
  <c r="AT55" i="14" s="1"/>
  <c r="T57" i="14"/>
  <c r="V57" i="14"/>
  <c r="U57" i="14"/>
  <c r="AE56" i="14"/>
  <c r="AG56" i="14" s="1"/>
  <c r="Z56" i="14"/>
  <c r="AO56" i="14"/>
  <c r="Y57" i="14"/>
  <c r="AQ56" i="14"/>
  <c r="AR56" i="14" s="1"/>
  <c r="X57" i="14"/>
  <c r="W57" i="14"/>
  <c r="AF57" i="14" s="1"/>
  <c r="AE56" i="16"/>
  <c r="AG56" i="16" s="1"/>
  <c r="U57" i="16"/>
  <c r="T57" i="16"/>
  <c r="V57" i="16"/>
  <c r="AO56" i="16"/>
  <c r="Z56" i="16"/>
  <c r="Y57" i="16"/>
  <c r="AQ56" i="16"/>
  <c r="AR56" i="16" s="1"/>
  <c r="W57" i="16"/>
  <c r="AF57" i="16" s="1"/>
  <c r="X57" i="16"/>
  <c r="AS55" i="16"/>
  <c r="AP55" i="16"/>
  <c r="AT55" i="16" s="1"/>
  <c r="X58" i="14" l="1"/>
  <c r="W58" i="14"/>
  <c r="AF58" i="14" s="1"/>
  <c r="AQ57" i="14"/>
  <c r="AR57" i="14" s="1"/>
  <c r="U58" i="14"/>
  <c r="Y58" i="14"/>
  <c r="AE57" i="14"/>
  <c r="AG57" i="14" s="1"/>
  <c r="AO57" i="14"/>
  <c r="V58" i="14"/>
  <c r="T58" i="14"/>
  <c r="Z57" i="14"/>
  <c r="AP56" i="14"/>
  <c r="AT56" i="14" s="1"/>
  <c r="AS56" i="14"/>
  <c r="AO57" i="16"/>
  <c r="Y58" i="16"/>
  <c r="AE57" i="16"/>
  <c r="AG57" i="16" s="1"/>
  <c r="T58" i="16"/>
  <c r="U58" i="16"/>
  <c r="V58" i="16"/>
  <c r="Z57" i="16"/>
  <c r="AQ57" i="16"/>
  <c r="AR57" i="16" s="1"/>
  <c r="W58" i="16"/>
  <c r="AF58" i="16" s="1"/>
  <c r="X58" i="16"/>
  <c r="AS56" i="16"/>
  <c r="AP56" i="16"/>
  <c r="AT56" i="16" s="1"/>
  <c r="AQ58" i="14" l="1"/>
  <c r="AR58" i="14" s="1"/>
  <c r="X59" i="14"/>
  <c r="W59" i="14"/>
  <c r="AF59" i="14" s="1"/>
  <c r="AP57" i="14"/>
  <c r="AT57" i="14" s="1"/>
  <c r="AS57" i="14"/>
  <c r="U59" i="14"/>
  <c r="AE58" i="14"/>
  <c r="AG58" i="14" s="1"/>
  <c r="Z58" i="14"/>
  <c r="Y59" i="14"/>
  <c r="V59" i="14"/>
  <c r="AO58" i="14"/>
  <c r="T59" i="14"/>
  <c r="Z58" i="16"/>
  <c r="U59" i="16"/>
  <c r="Y59" i="16"/>
  <c r="V59" i="16"/>
  <c r="T59" i="16"/>
  <c r="AE58" i="16"/>
  <c r="AG58" i="16" s="1"/>
  <c r="AO58" i="16"/>
  <c r="AQ58" i="16"/>
  <c r="AR58" i="16" s="1"/>
  <c r="W59" i="16"/>
  <c r="AF59" i="16" s="1"/>
  <c r="X59" i="16"/>
  <c r="AS57" i="16"/>
  <c r="AP57" i="16"/>
  <c r="AT57" i="16" s="1"/>
  <c r="AS58" i="14" l="1"/>
  <c r="AP58" i="14"/>
  <c r="AT58" i="14" s="1"/>
  <c r="AQ59" i="14"/>
  <c r="AR59" i="14" s="1"/>
  <c r="X60" i="14"/>
  <c r="W60" i="14"/>
  <c r="AF60" i="14" s="1"/>
  <c r="Y60" i="14"/>
  <c r="AO59" i="14"/>
  <c r="V60" i="14"/>
  <c r="T60" i="14"/>
  <c r="Z59" i="14"/>
  <c r="AE59" i="14"/>
  <c r="AG59" i="14" s="1"/>
  <c r="U60" i="14"/>
  <c r="W60" i="16"/>
  <c r="AF60" i="16" s="1"/>
  <c r="X60" i="16"/>
  <c r="AQ59" i="16"/>
  <c r="AR59" i="16" s="1"/>
  <c r="AS58" i="16"/>
  <c r="AP58" i="16"/>
  <c r="AT58" i="16" s="1"/>
  <c r="Z59" i="16"/>
  <c r="V60" i="16"/>
  <c r="AO59" i="16"/>
  <c r="T60" i="16"/>
  <c r="U60" i="16"/>
  <c r="Y60" i="16"/>
  <c r="AE59" i="16"/>
  <c r="AG59" i="16" s="1"/>
  <c r="W61" i="14" l="1"/>
  <c r="AF61" i="14" s="1"/>
  <c r="AQ60" i="14"/>
  <c r="AR60" i="14" s="1"/>
  <c r="X61" i="14"/>
  <c r="AS59" i="14"/>
  <c r="AP59" i="14"/>
  <c r="AT59" i="14" s="1"/>
  <c r="AO60" i="14"/>
  <c r="U61" i="14"/>
  <c r="T61" i="14"/>
  <c r="Y61" i="14"/>
  <c r="AE60" i="14"/>
  <c r="AG60" i="14" s="1"/>
  <c r="V61" i="14"/>
  <c r="Z60" i="14"/>
  <c r="AS59" i="16"/>
  <c r="AP59" i="16"/>
  <c r="AT59" i="16" s="1"/>
  <c r="AQ60" i="16"/>
  <c r="AR60" i="16" s="1"/>
  <c r="W61" i="16"/>
  <c r="AF61" i="16" s="1"/>
  <c r="X61" i="16"/>
  <c r="AO60" i="16"/>
  <c r="Y61" i="16"/>
  <c r="U61" i="16"/>
  <c r="T61" i="16"/>
  <c r="AE60" i="16"/>
  <c r="AG60" i="16" s="1"/>
  <c r="Z60" i="16"/>
  <c r="V61" i="16"/>
  <c r="T62" i="14" l="1"/>
  <c r="V62" i="14"/>
  <c r="Y62" i="14"/>
  <c r="AO61" i="14"/>
  <c r="Z61" i="14"/>
  <c r="AE61" i="14"/>
  <c r="AG61" i="14" s="1"/>
  <c r="U62" i="14"/>
  <c r="AQ61" i="14"/>
  <c r="AR61" i="14" s="1"/>
  <c r="X62" i="14"/>
  <c r="W62" i="14"/>
  <c r="AF62" i="14" s="1"/>
  <c r="AP60" i="14"/>
  <c r="AT60" i="14" s="1"/>
  <c r="AS60" i="14"/>
  <c r="AQ61" i="16"/>
  <c r="AR61" i="16" s="1"/>
  <c r="X62" i="16"/>
  <c r="W62" i="16"/>
  <c r="AF62" i="16" s="1"/>
  <c r="AP60" i="16"/>
  <c r="AT60" i="16" s="1"/>
  <c r="AS60" i="16"/>
  <c r="AO61" i="16"/>
  <c r="V62" i="16"/>
  <c r="T62" i="16"/>
  <c r="Z61" i="16"/>
  <c r="Y62" i="16"/>
  <c r="AE61" i="16"/>
  <c r="AG61" i="16" s="1"/>
  <c r="U62" i="16"/>
  <c r="AP61" i="14" l="1"/>
  <c r="AT61" i="14" s="1"/>
  <c r="AS61" i="14"/>
  <c r="X63" i="14"/>
  <c r="W63" i="14"/>
  <c r="AF63" i="14" s="1"/>
  <c r="AQ62" i="14"/>
  <c r="AR62" i="14" s="1"/>
  <c r="V63" i="14"/>
  <c r="AE62" i="14"/>
  <c r="AG62" i="14" s="1"/>
  <c r="Z62" i="14"/>
  <c r="T63" i="14"/>
  <c r="Y63" i="14"/>
  <c r="AO62" i="14"/>
  <c r="U63" i="14"/>
  <c r="Z62" i="16"/>
  <c r="Y63" i="16"/>
  <c r="V63" i="16"/>
  <c r="U63" i="16"/>
  <c r="AE62" i="16"/>
  <c r="AG62" i="16" s="1"/>
  <c r="AO62" i="16"/>
  <c r="T63" i="16"/>
  <c r="X63" i="16"/>
  <c r="W63" i="16"/>
  <c r="AF63" i="16" s="1"/>
  <c r="AQ62" i="16"/>
  <c r="AR62" i="16" s="1"/>
  <c r="AP61" i="16"/>
  <c r="AT61" i="16" s="1"/>
  <c r="AS61" i="16"/>
  <c r="AS62" i="14" l="1"/>
  <c r="AP62" i="14"/>
  <c r="AT62" i="14" s="1"/>
  <c r="W64" i="14"/>
  <c r="AF64" i="14" s="1"/>
  <c r="AQ63" i="14"/>
  <c r="AR63" i="14" s="1"/>
  <c r="X64" i="14"/>
  <c r="U64" i="14"/>
  <c r="AE63" i="14"/>
  <c r="AG63" i="14" s="1"/>
  <c r="Z63" i="14"/>
  <c r="AO63" i="14"/>
  <c r="Y64" i="14"/>
  <c r="V64" i="14"/>
  <c r="T64" i="14"/>
  <c r="Z63" i="16"/>
  <c r="V64" i="16"/>
  <c r="U64" i="16"/>
  <c r="AE63" i="16"/>
  <c r="AG63" i="16" s="1"/>
  <c r="AO63" i="16"/>
  <c r="Y64" i="16"/>
  <c r="T64" i="16"/>
  <c r="W64" i="16"/>
  <c r="AF64" i="16" s="1"/>
  <c r="AQ63" i="16"/>
  <c r="AR63" i="16" s="1"/>
  <c r="X64" i="16"/>
  <c r="AS62" i="16"/>
  <c r="AP62" i="16"/>
  <c r="AT62" i="16" s="1"/>
  <c r="T65" i="14" l="1"/>
  <c r="V65" i="14"/>
  <c r="Y65" i="14"/>
  <c r="AO64" i="14"/>
  <c r="AE64" i="14"/>
  <c r="AG64" i="14" s="1"/>
  <c r="U65" i="14"/>
  <c r="Z64" i="14"/>
  <c r="AQ64" i="14"/>
  <c r="AR64" i="14" s="1"/>
  <c r="X65" i="14"/>
  <c r="W65" i="14"/>
  <c r="AF65" i="14" s="1"/>
  <c r="AP63" i="14"/>
  <c r="AT63" i="14" s="1"/>
  <c r="AS63" i="14"/>
  <c r="AE64" i="16"/>
  <c r="AG64" i="16" s="1"/>
  <c r="Y65" i="16"/>
  <c r="AO64" i="16"/>
  <c r="U65" i="16"/>
  <c r="T65" i="16"/>
  <c r="V65" i="16"/>
  <c r="Z64" i="16"/>
  <c r="X65" i="16"/>
  <c r="W65" i="16"/>
  <c r="AF65" i="16" s="1"/>
  <c r="AQ64" i="16"/>
  <c r="AR64" i="16" s="1"/>
  <c r="AP63" i="16"/>
  <c r="AT63" i="16" s="1"/>
  <c r="AS63" i="16"/>
  <c r="AS64" i="14" l="1"/>
  <c r="AP64" i="14"/>
  <c r="AT64" i="14" s="1"/>
  <c r="X66" i="14"/>
  <c r="W66" i="14"/>
  <c r="AF66" i="14" s="1"/>
  <c r="AQ65" i="14"/>
  <c r="AR65" i="14" s="1"/>
  <c r="Y66" i="14"/>
  <c r="T66" i="14"/>
  <c r="U66" i="14"/>
  <c r="V66" i="14"/>
  <c r="AE65" i="14"/>
  <c r="AG65" i="14" s="1"/>
  <c r="AO65" i="14"/>
  <c r="Z65" i="14"/>
  <c r="AS64" i="16"/>
  <c r="AP64" i="16"/>
  <c r="AT64" i="16" s="1"/>
  <c r="AQ65" i="16"/>
  <c r="AR65" i="16" s="1"/>
  <c r="W66" i="16"/>
  <c r="AF66" i="16" s="1"/>
  <c r="X66" i="16"/>
  <c r="AO65" i="16"/>
  <c r="AE65" i="16"/>
  <c r="AG65" i="16" s="1"/>
  <c r="T66" i="16"/>
  <c r="Z65" i="16"/>
  <c r="U66" i="16"/>
  <c r="V66" i="16"/>
  <c r="Y66" i="16"/>
  <c r="AP65" i="14" l="1"/>
  <c r="AT65" i="14" s="1"/>
  <c r="AS65" i="14"/>
  <c r="V67" i="14"/>
  <c r="AO66" i="14"/>
  <c r="T67" i="14"/>
  <c r="AE66" i="14"/>
  <c r="AG66" i="14" s="1"/>
  <c r="Y67" i="14"/>
  <c r="Z66" i="14"/>
  <c r="U67" i="14"/>
  <c r="X67" i="14"/>
  <c r="AQ66" i="14"/>
  <c r="AR66" i="14" s="1"/>
  <c r="W67" i="14"/>
  <c r="AF67" i="14" s="1"/>
  <c r="X67" i="16"/>
  <c r="AQ66" i="16"/>
  <c r="AR66" i="16" s="1"/>
  <c r="W67" i="16"/>
  <c r="AF67" i="16" s="1"/>
  <c r="AS65" i="16"/>
  <c r="AP65" i="16"/>
  <c r="AT65" i="16" s="1"/>
  <c r="AE66" i="16"/>
  <c r="AG66" i="16" s="1"/>
  <c r="Y67" i="16"/>
  <c r="T67" i="16"/>
  <c r="AO66" i="16"/>
  <c r="U67" i="16"/>
  <c r="Z66" i="16"/>
  <c r="V67" i="16"/>
  <c r="AS66" i="14" l="1"/>
  <c r="AP66" i="14"/>
  <c r="AT66" i="14" s="1"/>
  <c r="W68" i="14"/>
  <c r="AF68" i="14" s="1"/>
  <c r="AQ67" i="14"/>
  <c r="AR67" i="14" s="1"/>
  <c r="X68" i="14"/>
  <c r="Z67" i="14"/>
  <c r="V68" i="14"/>
  <c r="U68" i="14"/>
  <c r="Y68" i="14"/>
  <c r="AE67" i="14"/>
  <c r="AG67" i="14" s="1"/>
  <c r="AO67" i="14"/>
  <c r="T68" i="14"/>
  <c r="W68" i="16"/>
  <c r="AF68" i="16" s="1"/>
  <c r="X68" i="16"/>
  <c r="AQ67" i="16"/>
  <c r="AR67" i="16" s="1"/>
  <c r="U68" i="16"/>
  <c r="Y68" i="16"/>
  <c r="AE67" i="16"/>
  <c r="AG67" i="16" s="1"/>
  <c r="V68" i="16"/>
  <c r="T68" i="16"/>
  <c r="AO67" i="16"/>
  <c r="Z67" i="16"/>
  <c r="AP66" i="16"/>
  <c r="AT66" i="16" s="1"/>
  <c r="AS66" i="16"/>
  <c r="T69" i="14" l="1"/>
  <c r="U69" i="14"/>
  <c r="AE68" i="14"/>
  <c r="AG68" i="14" s="1"/>
  <c r="V69" i="14"/>
  <c r="Y69" i="14"/>
  <c r="AO68" i="14"/>
  <c r="Z68" i="14"/>
  <c r="AP67" i="14"/>
  <c r="AT67" i="14" s="1"/>
  <c r="AS67" i="14"/>
  <c r="AQ68" i="14"/>
  <c r="AR68" i="14" s="1"/>
  <c r="W69" i="14"/>
  <c r="AF69" i="14" s="1"/>
  <c r="X69" i="14"/>
  <c r="U69" i="16"/>
  <c r="T69" i="16"/>
  <c r="AO68" i="16"/>
  <c r="V69" i="16"/>
  <c r="Y69" i="16"/>
  <c r="Z68" i="16"/>
  <c r="AE68" i="16"/>
  <c r="AG68" i="16" s="1"/>
  <c r="X69" i="16"/>
  <c r="AQ68" i="16"/>
  <c r="AR68" i="16" s="1"/>
  <c r="W69" i="16"/>
  <c r="AF69" i="16" s="1"/>
  <c r="AS67" i="16"/>
  <c r="AP67" i="16"/>
  <c r="AT67" i="16" s="1"/>
  <c r="AQ69" i="14" l="1"/>
  <c r="AR69" i="14" s="1"/>
  <c r="W70" i="14"/>
  <c r="AF70" i="14" s="1"/>
  <c r="X70" i="14"/>
  <c r="AP68" i="14"/>
  <c r="AT68" i="14" s="1"/>
  <c r="AS68" i="14"/>
  <c r="Y70" i="14"/>
  <c r="Z69" i="14"/>
  <c r="U70" i="14"/>
  <c r="T70" i="14"/>
  <c r="AO69" i="14"/>
  <c r="AE69" i="14"/>
  <c r="AG69" i="14" s="1"/>
  <c r="V70" i="14"/>
  <c r="W70" i="16"/>
  <c r="AF70" i="16" s="1"/>
  <c r="X70" i="16"/>
  <c r="AQ69" i="16"/>
  <c r="AR69" i="16" s="1"/>
  <c r="AP68" i="16"/>
  <c r="AT68" i="16" s="1"/>
  <c r="AS68" i="16"/>
  <c r="AO69" i="16"/>
  <c r="V70" i="16"/>
  <c r="Z69" i="16"/>
  <c r="AE69" i="16"/>
  <c r="AG69" i="16" s="1"/>
  <c r="T70" i="16"/>
  <c r="Y70" i="16"/>
  <c r="U70" i="16"/>
  <c r="AQ70" i="14" l="1"/>
  <c r="AR70" i="14" s="1"/>
  <c r="X71" i="14"/>
  <c r="W71" i="14"/>
  <c r="AF71" i="14" s="1"/>
  <c r="AP69" i="14"/>
  <c r="AT69" i="14" s="1"/>
  <c r="AS69" i="14"/>
  <c r="Y71" i="14"/>
  <c r="T71" i="14"/>
  <c r="V71" i="14"/>
  <c r="Z70" i="14"/>
  <c r="AE70" i="14"/>
  <c r="AG70" i="14" s="1"/>
  <c r="AO70" i="14"/>
  <c r="U71" i="14"/>
  <c r="X71" i="16"/>
  <c r="W71" i="16"/>
  <c r="AF71" i="16" s="1"/>
  <c r="AQ70" i="16"/>
  <c r="AR70" i="16" s="1"/>
  <c r="Z70" i="16"/>
  <c r="T71" i="16"/>
  <c r="AO70" i="16"/>
  <c r="U71" i="16"/>
  <c r="Y71" i="16"/>
  <c r="AE70" i="16"/>
  <c r="AG70" i="16" s="1"/>
  <c r="V71" i="16"/>
  <c r="AP69" i="16"/>
  <c r="AT69" i="16" s="1"/>
  <c r="AS69" i="16"/>
  <c r="AQ71" i="14" l="1"/>
  <c r="AR71" i="14" s="1"/>
  <c r="X72" i="14"/>
  <c r="W72" i="14"/>
  <c r="AF72" i="14" s="1"/>
  <c r="AP70" i="14"/>
  <c r="AT70" i="14" s="1"/>
  <c r="AS70" i="14"/>
  <c r="T72" i="14"/>
  <c r="AO71" i="14"/>
  <c r="Y72" i="14"/>
  <c r="V72" i="14"/>
  <c r="Z71" i="14"/>
  <c r="U72" i="14"/>
  <c r="AE71" i="14"/>
  <c r="AG71" i="14" s="1"/>
  <c r="X72" i="16"/>
  <c r="AQ71" i="16"/>
  <c r="AR71" i="16" s="1"/>
  <c r="W72" i="16"/>
  <c r="AF72" i="16" s="1"/>
  <c r="AS70" i="16"/>
  <c r="AP70" i="16"/>
  <c r="AT70" i="16" s="1"/>
  <c r="U72" i="16"/>
  <c r="Y72" i="16"/>
  <c r="AE71" i="16"/>
  <c r="AG71" i="16" s="1"/>
  <c r="Z71" i="16"/>
  <c r="T72" i="16"/>
  <c r="AO71" i="16"/>
  <c r="V72" i="16"/>
  <c r="AP71" i="14" l="1"/>
  <c r="AT71" i="14" s="1"/>
  <c r="AS71" i="14"/>
  <c r="U73" i="14"/>
  <c r="Z72" i="14"/>
  <c r="Y73" i="14"/>
  <c r="V73" i="14"/>
  <c r="AO72" i="14"/>
  <c r="T73" i="14"/>
  <c r="AE72" i="14"/>
  <c r="AG72" i="14" s="1"/>
  <c r="W73" i="14"/>
  <c r="AF73" i="14" s="1"/>
  <c r="AQ72" i="14"/>
  <c r="AR72" i="14" s="1"/>
  <c r="X73" i="14"/>
  <c r="X73" i="16"/>
  <c r="AQ72" i="16"/>
  <c r="AR72" i="16" s="1"/>
  <c r="W73" i="16"/>
  <c r="AF73" i="16" s="1"/>
  <c r="AP71" i="16"/>
  <c r="AT71" i="16" s="1"/>
  <c r="AS71" i="16"/>
  <c r="Z72" i="16"/>
  <c r="AE72" i="16"/>
  <c r="AG72" i="16" s="1"/>
  <c r="AO72" i="16"/>
  <c r="V73" i="16"/>
  <c r="U73" i="16"/>
  <c r="T73" i="16"/>
  <c r="Y73" i="16"/>
  <c r="V74" i="14" l="1"/>
  <c r="U74" i="14"/>
  <c r="AE73" i="14"/>
  <c r="AG73" i="14" s="1"/>
  <c r="Y74" i="14"/>
  <c r="AO73" i="14"/>
  <c r="T74" i="14"/>
  <c r="Z73" i="14"/>
  <c r="AS72" i="14"/>
  <c r="AP72" i="14"/>
  <c r="AT72" i="14" s="1"/>
  <c r="W74" i="14"/>
  <c r="AF74" i="14" s="1"/>
  <c r="X74" i="14"/>
  <c r="AQ73" i="14"/>
  <c r="AR73" i="14" s="1"/>
  <c r="AE73" i="16"/>
  <c r="AG73" i="16" s="1"/>
  <c r="V74" i="16"/>
  <c r="Y74" i="16"/>
  <c r="T74" i="16"/>
  <c r="U74" i="16"/>
  <c r="Z73" i="16"/>
  <c r="AO73" i="16"/>
  <c r="AP72" i="16"/>
  <c r="AT72" i="16" s="1"/>
  <c r="AS72" i="16"/>
  <c r="X74" i="16"/>
  <c r="W74" i="16"/>
  <c r="AF74" i="16" s="1"/>
  <c r="AQ73" i="16"/>
  <c r="AR73" i="16" s="1"/>
  <c r="T75" i="14" l="1"/>
  <c r="U75" i="14"/>
  <c r="V75" i="14"/>
  <c r="AO74" i="14"/>
  <c r="AE74" i="14"/>
  <c r="AG74" i="14" s="1"/>
  <c r="Z74" i="14"/>
  <c r="Y75" i="14"/>
  <c r="AS73" i="14"/>
  <c r="AP73" i="14"/>
  <c r="AT73" i="14" s="1"/>
  <c r="W75" i="14"/>
  <c r="AF75" i="14" s="1"/>
  <c r="AQ74" i="14"/>
  <c r="AR74" i="14" s="1"/>
  <c r="X75" i="14"/>
  <c r="AP73" i="16"/>
  <c r="AT73" i="16" s="1"/>
  <c r="AS73" i="16"/>
  <c r="Z74" i="16"/>
  <c r="V75" i="16"/>
  <c r="U75" i="16"/>
  <c r="AE74" i="16"/>
  <c r="AG74" i="16" s="1"/>
  <c r="T75" i="16"/>
  <c r="Y75" i="16"/>
  <c r="AO74" i="16"/>
  <c r="AQ74" i="16"/>
  <c r="AR74" i="16" s="1"/>
  <c r="W75" i="16"/>
  <c r="AF75" i="16" s="1"/>
  <c r="X75" i="16"/>
  <c r="AS74" i="14" l="1"/>
  <c r="AP74" i="14"/>
  <c r="AT74" i="14" s="1"/>
  <c r="X76" i="14"/>
  <c r="W76" i="14"/>
  <c r="AF76" i="14" s="1"/>
  <c r="AQ75" i="14"/>
  <c r="AR75" i="14" s="1"/>
  <c r="Y76" i="14"/>
  <c r="Z75" i="14"/>
  <c r="T76" i="14"/>
  <c r="V76" i="14"/>
  <c r="AE75" i="14"/>
  <c r="AG75" i="14" s="1"/>
  <c r="AO75" i="14"/>
  <c r="U76" i="14"/>
  <c r="AP74" i="16"/>
  <c r="AT74" i="16" s="1"/>
  <c r="AS74" i="16"/>
  <c r="W76" i="16"/>
  <c r="AF76" i="16" s="1"/>
  <c r="AQ75" i="16"/>
  <c r="AR75" i="16" s="1"/>
  <c r="X76" i="16"/>
  <c r="AE75" i="16"/>
  <c r="AG75" i="16" s="1"/>
  <c r="T76" i="16"/>
  <c r="U76" i="16"/>
  <c r="V76" i="16"/>
  <c r="Z75" i="16"/>
  <c r="Y76" i="16"/>
  <c r="AO75" i="16"/>
  <c r="AO76" i="14" l="1"/>
  <c r="T77" i="14"/>
  <c r="Y77" i="14"/>
  <c r="U77" i="14"/>
  <c r="Z76" i="14"/>
  <c r="V77" i="14"/>
  <c r="AE76" i="14"/>
  <c r="AG76" i="14" s="1"/>
  <c r="AP75" i="14"/>
  <c r="AT75" i="14" s="1"/>
  <c r="AS75" i="14"/>
  <c r="X77" i="14"/>
  <c r="AQ76" i="14"/>
  <c r="AR76" i="14" s="1"/>
  <c r="W77" i="14"/>
  <c r="AF77" i="14" s="1"/>
  <c r="AP75" i="16"/>
  <c r="AT75" i="16" s="1"/>
  <c r="AS75" i="16"/>
  <c r="Z76" i="16"/>
  <c r="U77" i="16"/>
  <c r="AE76" i="16"/>
  <c r="AG76" i="16" s="1"/>
  <c r="T77" i="16"/>
  <c r="Y77" i="16"/>
  <c r="V77" i="16"/>
  <c r="AO76" i="16"/>
  <c r="AQ76" i="16"/>
  <c r="AR76" i="16" s="1"/>
  <c r="X77" i="16"/>
  <c r="W77" i="16"/>
  <c r="AF77" i="16" s="1"/>
  <c r="AQ77" i="14" l="1"/>
  <c r="AR77" i="14" s="1"/>
  <c r="X78" i="14"/>
  <c r="W78" i="14"/>
  <c r="AF78" i="14" s="1"/>
  <c r="Z77" i="14"/>
  <c r="U78" i="14"/>
  <c r="T78" i="14"/>
  <c r="V78" i="14"/>
  <c r="Y78" i="14"/>
  <c r="AE77" i="14"/>
  <c r="AG77" i="14" s="1"/>
  <c r="AO77" i="14"/>
  <c r="AP76" i="14"/>
  <c r="AT76" i="14" s="1"/>
  <c r="AS76" i="14"/>
  <c r="AQ77" i="16"/>
  <c r="AR77" i="16" s="1"/>
  <c r="X78" i="16"/>
  <c r="W78" i="16"/>
  <c r="AF78" i="16" s="1"/>
  <c r="AE77" i="16"/>
  <c r="AG77" i="16" s="1"/>
  <c r="V78" i="16"/>
  <c r="Y78" i="16"/>
  <c r="AO77" i="16"/>
  <c r="T78" i="16"/>
  <c r="U78" i="16"/>
  <c r="Z77" i="16"/>
  <c r="AP76" i="16"/>
  <c r="AT76" i="16" s="1"/>
  <c r="AS76" i="16"/>
  <c r="W79" i="14" l="1"/>
  <c r="AF79" i="14" s="1"/>
  <c r="AQ78" i="14"/>
  <c r="AR78" i="14" s="1"/>
  <c r="X79" i="14"/>
  <c r="AP77" i="14"/>
  <c r="AT77" i="14" s="1"/>
  <c r="AS77" i="14"/>
  <c r="V79" i="14"/>
  <c r="U79" i="14"/>
  <c r="Y79" i="14"/>
  <c r="AO78" i="14"/>
  <c r="T79" i="14"/>
  <c r="Z78" i="14"/>
  <c r="AE78" i="14"/>
  <c r="AG78" i="14" s="1"/>
  <c r="U79" i="16"/>
  <c r="T79" i="16"/>
  <c r="AE78" i="16"/>
  <c r="AG78" i="16" s="1"/>
  <c r="Y79" i="16"/>
  <c r="Z78" i="16"/>
  <c r="AO78" i="16"/>
  <c r="V79" i="16"/>
  <c r="AP77" i="16"/>
  <c r="AT77" i="16" s="1"/>
  <c r="AS77" i="16"/>
  <c r="AQ78" i="16"/>
  <c r="AR78" i="16" s="1"/>
  <c r="W79" i="16"/>
  <c r="AF79" i="16" s="1"/>
  <c r="X79" i="16"/>
  <c r="AO79" i="14" l="1"/>
  <c r="T80" i="14"/>
  <c r="V80" i="14"/>
  <c r="Y80" i="14"/>
  <c r="U80" i="14"/>
  <c r="Z79" i="14"/>
  <c r="AE79" i="14"/>
  <c r="AG79" i="14" s="1"/>
  <c r="W80" i="14"/>
  <c r="AF80" i="14" s="1"/>
  <c r="AQ79" i="14"/>
  <c r="AR79" i="14" s="1"/>
  <c r="X80" i="14"/>
  <c r="AP78" i="14"/>
  <c r="AT78" i="14" s="1"/>
  <c r="AS78" i="14"/>
  <c r="AQ79" i="16"/>
  <c r="AR79" i="16" s="1"/>
  <c r="X80" i="16"/>
  <c r="W80" i="16"/>
  <c r="AF80" i="16" s="1"/>
  <c r="AP78" i="16"/>
  <c r="AT78" i="16" s="1"/>
  <c r="AS78" i="16"/>
  <c r="U80" i="16"/>
  <c r="T80" i="16"/>
  <c r="Z79" i="16"/>
  <c r="AO79" i="16"/>
  <c r="AE79" i="16"/>
  <c r="AG79" i="16" s="1"/>
  <c r="V80" i="16"/>
  <c r="Y80" i="16"/>
  <c r="X81" i="14" l="1"/>
  <c r="W81" i="14"/>
  <c r="AF81" i="14" s="1"/>
  <c r="AQ80" i="14"/>
  <c r="AR80" i="14" s="1"/>
  <c r="AO80" i="14"/>
  <c r="T81" i="14"/>
  <c r="AE80" i="14"/>
  <c r="AG80" i="14" s="1"/>
  <c r="Y81" i="14"/>
  <c r="U81" i="14"/>
  <c r="V81" i="14"/>
  <c r="Z80" i="14"/>
  <c r="AS79" i="14"/>
  <c r="AP79" i="14"/>
  <c r="AT79" i="14" s="1"/>
  <c r="AQ80" i="16"/>
  <c r="AR80" i="16" s="1"/>
  <c r="X81" i="16"/>
  <c r="W81" i="16"/>
  <c r="AF81" i="16" s="1"/>
  <c r="Y81" i="16"/>
  <c r="AO80" i="16"/>
  <c r="U81" i="16"/>
  <c r="V81" i="16"/>
  <c r="Z80" i="16"/>
  <c r="T81" i="16"/>
  <c r="AE80" i="16"/>
  <c r="AG80" i="16" s="1"/>
  <c r="AS79" i="16"/>
  <c r="AP79" i="16"/>
  <c r="AT79" i="16" s="1"/>
  <c r="AS80" i="14" l="1"/>
  <c r="AP80" i="14"/>
  <c r="AT80" i="14" s="1"/>
  <c r="AQ81" i="14"/>
  <c r="AR81" i="14" s="1"/>
  <c r="X82" i="14"/>
  <c r="W82" i="14"/>
  <c r="AF82" i="14" s="1"/>
  <c r="T82" i="14"/>
  <c r="Z81" i="14"/>
  <c r="AO81" i="14"/>
  <c r="U82" i="14"/>
  <c r="AE81" i="14"/>
  <c r="AG81" i="14" s="1"/>
  <c r="Y82" i="14"/>
  <c r="V82" i="14"/>
  <c r="AQ81" i="16"/>
  <c r="AR81" i="16" s="1"/>
  <c r="X82" i="16"/>
  <c r="W82" i="16"/>
  <c r="AF82" i="16" s="1"/>
  <c r="U82" i="16"/>
  <c r="V82" i="16"/>
  <c r="AO81" i="16"/>
  <c r="Y82" i="16"/>
  <c r="AE81" i="16"/>
  <c r="AG81" i="16" s="1"/>
  <c r="Z81" i="16"/>
  <c r="T82" i="16"/>
  <c r="AP80" i="16"/>
  <c r="AT80" i="16" s="1"/>
  <c r="AS80" i="16"/>
  <c r="W83" i="14" l="1"/>
  <c r="AF83" i="14" s="1"/>
  <c r="AQ82" i="14"/>
  <c r="AR82" i="14" s="1"/>
  <c r="X83" i="14"/>
  <c r="AS81" i="14"/>
  <c r="AP81" i="14"/>
  <c r="AT81" i="14" s="1"/>
  <c r="V83" i="14"/>
  <c r="Z82" i="14"/>
  <c r="U83" i="14"/>
  <c r="Y83" i="14"/>
  <c r="T83" i="14"/>
  <c r="AO82" i="14"/>
  <c r="AE82" i="14"/>
  <c r="AG82" i="14" s="1"/>
  <c r="Y83" i="16"/>
  <c r="V83" i="16"/>
  <c r="Z82" i="16"/>
  <c r="AO82" i="16"/>
  <c r="U83" i="16"/>
  <c r="AE82" i="16"/>
  <c r="AG82" i="16" s="1"/>
  <c r="T83" i="16"/>
  <c r="AS81" i="16"/>
  <c r="AP81" i="16"/>
  <c r="AT81" i="16" s="1"/>
  <c r="AQ82" i="16"/>
  <c r="AR82" i="16" s="1"/>
  <c r="W83" i="16"/>
  <c r="AF83" i="16" s="1"/>
  <c r="X83" i="16"/>
  <c r="AP82" i="14" l="1"/>
  <c r="AT82" i="14" s="1"/>
  <c r="AS82" i="14"/>
  <c r="AO83" i="14"/>
  <c r="V84" i="14"/>
  <c r="Z83" i="14"/>
  <c r="AE83" i="14"/>
  <c r="AG83" i="14" s="1"/>
  <c r="Y84" i="14"/>
  <c r="T84" i="14"/>
  <c r="U84" i="14"/>
  <c r="X84" i="14"/>
  <c r="W84" i="14"/>
  <c r="AF84" i="14" s="1"/>
  <c r="AQ83" i="14"/>
  <c r="AR83" i="14" s="1"/>
  <c r="AS82" i="16"/>
  <c r="AP82" i="16"/>
  <c r="AT82" i="16" s="1"/>
  <c r="U84" i="16"/>
  <c r="AE83" i="16"/>
  <c r="AG83" i="16" s="1"/>
  <c r="Y84" i="16"/>
  <c r="Z83" i="16"/>
  <c r="T84" i="16"/>
  <c r="AO83" i="16"/>
  <c r="V84" i="16"/>
  <c r="X84" i="16"/>
  <c r="AQ83" i="16"/>
  <c r="AR83" i="16" s="1"/>
  <c r="W84" i="16"/>
  <c r="AF84" i="16" s="1"/>
  <c r="AQ84" i="14" l="1"/>
  <c r="AR84" i="14" s="1"/>
  <c r="X85" i="14"/>
  <c r="W85" i="14"/>
  <c r="AF85" i="14" s="1"/>
  <c r="AP83" i="14"/>
  <c r="AT83" i="14" s="1"/>
  <c r="AS83" i="14"/>
  <c r="U85" i="14"/>
  <c r="AO84" i="14"/>
  <c r="T85" i="14"/>
  <c r="V85" i="14"/>
  <c r="AE84" i="14"/>
  <c r="AG84" i="14" s="1"/>
  <c r="Z84" i="14"/>
  <c r="Y85" i="14"/>
  <c r="AE84" i="16"/>
  <c r="AG84" i="16" s="1"/>
  <c r="T85" i="16"/>
  <c r="V85" i="16"/>
  <c r="Z84" i="16"/>
  <c r="AO84" i="16"/>
  <c r="U85" i="16"/>
  <c r="Y85" i="16"/>
  <c r="AS83" i="16"/>
  <c r="AP83" i="16"/>
  <c r="AT83" i="16" s="1"/>
  <c r="AQ84" i="16"/>
  <c r="AR84" i="16" s="1"/>
  <c r="X85" i="16"/>
  <c r="W85" i="16"/>
  <c r="AF85" i="16" s="1"/>
  <c r="T86" i="14" l="1"/>
  <c r="Z85" i="14"/>
  <c r="Y86" i="14"/>
  <c r="V86" i="14"/>
  <c r="AE85" i="14"/>
  <c r="AG85" i="14" s="1"/>
  <c r="U86" i="14"/>
  <c r="AO85" i="14"/>
  <c r="AP84" i="14"/>
  <c r="AT84" i="14" s="1"/>
  <c r="AS84" i="14"/>
  <c r="W86" i="14"/>
  <c r="AF86" i="14" s="1"/>
  <c r="X86" i="14"/>
  <c r="AQ85" i="14"/>
  <c r="AR85" i="14" s="1"/>
  <c r="X86" i="16"/>
  <c r="W86" i="16"/>
  <c r="AF86" i="16" s="1"/>
  <c r="AQ85" i="16"/>
  <c r="AR85" i="16" s="1"/>
  <c r="AE85" i="16"/>
  <c r="AG85" i="16" s="1"/>
  <c r="V86" i="16"/>
  <c r="Y86" i="16"/>
  <c r="AO85" i="16"/>
  <c r="U86" i="16"/>
  <c r="T86" i="16"/>
  <c r="Z85" i="16"/>
  <c r="AS84" i="16"/>
  <c r="AP84" i="16"/>
  <c r="AT84" i="16" s="1"/>
  <c r="W87" i="14" l="1"/>
  <c r="AF87" i="14" s="1"/>
  <c r="X87" i="14"/>
  <c r="AQ86" i="14"/>
  <c r="AR86" i="14" s="1"/>
  <c r="AP85" i="14"/>
  <c r="AT85" i="14" s="1"/>
  <c r="AS85" i="14"/>
  <c r="Y87" i="14"/>
  <c r="T87" i="14"/>
  <c r="U87" i="14"/>
  <c r="AE86" i="14"/>
  <c r="AG86" i="14" s="1"/>
  <c r="V87" i="14"/>
  <c r="Z86" i="14"/>
  <c r="AO86" i="14"/>
  <c r="AS85" i="16"/>
  <c r="AP85" i="16"/>
  <c r="AT85" i="16" s="1"/>
  <c r="AO86" i="16"/>
  <c r="Z86" i="16"/>
  <c r="AE86" i="16"/>
  <c r="AG86" i="16" s="1"/>
  <c r="V87" i="16"/>
  <c r="Y87" i="16"/>
  <c r="T87" i="16"/>
  <c r="U87" i="16"/>
  <c r="W87" i="16"/>
  <c r="AF87" i="16" s="1"/>
  <c r="AQ86" i="16"/>
  <c r="AR86" i="16" s="1"/>
  <c r="X87" i="16"/>
  <c r="AP86" i="14" l="1"/>
  <c r="AT86" i="14" s="1"/>
  <c r="AS86" i="14"/>
  <c r="AE87" i="14"/>
  <c r="AG87" i="14" s="1"/>
  <c r="V88" i="14"/>
  <c r="Z87" i="14"/>
  <c r="U88" i="14"/>
  <c r="T88" i="14"/>
  <c r="Y88" i="14"/>
  <c r="AO87" i="14"/>
  <c r="AQ87" i="14"/>
  <c r="AR87" i="14" s="1"/>
  <c r="W88" i="14"/>
  <c r="AF88" i="14" s="1"/>
  <c r="X88" i="14"/>
  <c r="AP86" i="16"/>
  <c r="AT86" i="16" s="1"/>
  <c r="AS86" i="16"/>
  <c r="AO87" i="16"/>
  <c r="T88" i="16"/>
  <c r="AE87" i="16"/>
  <c r="AG87" i="16" s="1"/>
  <c r="Z87" i="16"/>
  <c r="V88" i="16"/>
  <c r="U88" i="16"/>
  <c r="Y88" i="16"/>
  <c r="X88" i="16"/>
  <c r="W88" i="16"/>
  <c r="AF88" i="16" s="1"/>
  <c r="AQ87" i="16"/>
  <c r="AR87" i="16" s="1"/>
  <c r="T89" i="14" l="1"/>
  <c r="AO88" i="14"/>
  <c r="Z88" i="14"/>
  <c r="Y89" i="14"/>
  <c r="AE88" i="14"/>
  <c r="AG88" i="14" s="1"/>
  <c r="V89" i="14"/>
  <c r="U89" i="14"/>
  <c r="AQ88" i="14"/>
  <c r="AR88" i="14" s="1"/>
  <c r="W89" i="14"/>
  <c r="AF89" i="14" s="1"/>
  <c r="X89" i="14"/>
  <c r="AS87" i="14"/>
  <c r="AP87" i="14"/>
  <c r="AT87" i="14" s="1"/>
  <c r="U89" i="16"/>
  <c r="AE88" i="16"/>
  <c r="AG88" i="16" s="1"/>
  <c r="V89" i="16"/>
  <c r="Y89" i="16"/>
  <c r="Z88" i="16"/>
  <c r="T89" i="16"/>
  <c r="AO88" i="16"/>
  <c r="AQ88" i="16"/>
  <c r="AR88" i="16" s="1"/>
  <c r="X89" i="16"/>
  <c r="W89" i="16"/>
  <c r="AF89" i="16" s="1"/>
  <c r="AP87" i="16"/>
  <c r="AT87" i="16" s="1"/>
  <c r="AS87" i="16"/>
  <c r="X90" i="14" l="1"/>
  <c r="W90" i="14"/>
  <c r="AF90" i="14" s="1"/>
  <c r="AQ89" i="14"/>
  <c r="AR89" i="14" s="1"/>
  <c r="AS88" i="14"/>
  <c r="AP88" i="14"/>
  <c r="AT88" i="14" s="1"/>
  <c r="AE89" i="14"/>
  <c r="AG89" i="14" s="1"/>
  <c r="T90" i="14"/>
  <c r="V90" i="14"/>
  <c r="AO89" i="14"/>
  <c r="Z89" i="14"/>
  <c r="Y90" i="14"/>
  <c r="U90" i="14"/>
  <c r="AS88" i="16"/>
  <c r="AP88" i="16"/>
  <c r="AT88" i="16" s="1"/>
  <c r="X90" i="16"/>
  <c r="AQ89" i="16"/>
  <c r="AR89" i="16" s="1"/>
  <c r="W90" i="16"/>
  <c r="AF90" i="16" s="1"/>
  <c r="AE89" i="16"/>
  <c r="AG89" i="16" s="1"/>
  <c r="V90" i="16"/>
  <c r="Z89" i="16"/>
  <c r="T90" i="16"/>
  <c r="U90" i="16"/>
  <c r="AO89" i="16"/>
  <c r="Y90" i="16"/>
  <c r="X91" i="14" l="1"/>
  <c r="W91" i="14"/>
  <c r="AF91" i="14" s="1"/>
  <c r="AQ90" i="14"/>
  <c r="AR90" i="14" s="1"/>
  <c r="T91" i="14"/>
  <c r="V91" i="14"/>
  <c r="Z90" i="14"/>
  <c r="U91" i="14"/>
  <c r="AE90" i="14"/>
  <c r="AG90" i="14" s="1"/>
  <c r="AO90" i="14"/>
  <c r="Y91" i="14"/>
  <c r="AP89" i="14"/>
  <c r="AT89" i="14" s="1"/>
  <c r="AS89" i="14"/>
  <c r="AS89" i="16"/>
  <c r="AP89" i="16"/>
  <c r="AT89" i="16" s="1"/>
  <c r="X91" i="16"/>
  <c r="W91" i="16"/>
  <c r="AF91" i="16" s="1"/>
  <c r="AQ90" i="16"/>
  <c r="AR90" i="16" s="1"/>
  <c r="Z90" i="16"/>
  <c r="U91" i="16"/>
  <c r="AO90" i="16"/>
  <c r="V91" i="16"/>
  <c r="AE90" i="16"/>
  <c r="AG90" i="16" s="1"/>
  <c r="T91" i="16"/>
  <c r="Y91" i="16"/>
  <c r="T92" i="14" l="1"/>
  <c r="U92" i="14"/>
  <c r="AE91" i="14"/>
  <c r="AG91" i="14" s="1"/>
  <c r="V92" i="14"/>
  <c r="AO91" i="14"/>
  <c r="Y92" i="14"/>
  <c r="Z91" i="14"/>
  <c r="AS90" i="14"/>
  <c r="AP90" i="14"/>
  <c r="AT90" i="14" s="1"/>
  <c r="W92" i="14"/>
  <c r="AF92" i="14" s="1"/>
  <c r="AQ91" i="14"/>
  <c r="AR91" i="14" s="1"/>
  <c r="X92" i="14"/>
  <c r="AS90" i="16"/>
  <c r="AP90" i="16"/>
  <c r="AT90" i="16" s="1"/>
  <c r="Z91" i="16"/>
  <c r="U92" i="16"/>
  <c r="Y92" i="16"/>
  <c r="V92" i="16"/>
  <c r="AO91" i="16"/>
  <c r="T92" i="16"/>
  <c r="AE91" i="16"/>
  <c r="AG91" i="16" s="1"/>
  <c r="X92" i="16"/>
  <c r="AQ91" i="16"/>
  <c r="AR91" i="16" s="1"/>
  <c r="W92" i="16"/>
  <c r="AF92" i="16" s="1"/>
  <c r="AQ92" i="14" l="1"/>
  <c r="AR92" i="14" s="1"/>
  <c r="X93" i="14"/>
  <c r="W93" i="14"/>
  <c r="AF93" i="14" s="1"/>
  <c r="AP91" i="14"/>
  <c r="AT91" i="14" s="1"/>
  <c r="AS91" i="14"/>
  <c r="AO92" i="14"/>
  <c r="T93" i="14"/>
  <c r="Y93" i="14"/>
  <c r="U93" i="14"/>
  <c r="V93" i="14"/>
  <c r="AE92" i="14"/>
  <c r="AG92" i="14" s="1"/>
  <c r="Z92" i="14"/>
  <c r="AE92" i="16"/>
  <c r="AG92" i="16" s="1"/>
  <c r="T93" i="16"/>
  <c r="Z92" i="16"/>
  <c r="U93" i="16"/>
  <c r="Y93" i="16"/>
  <c r="V93" i="16"/>
  <c r="AO92" i="16"/>
  <c r="AP91" i="16"/>
  <c r="AT91" i="16" s="1"/>
  <c r="AS91" i="16"/>
  <c r="W93" i="16"/>
  <c r="AF93" i="16" s="1"/>
  <c r="X93" i="16"/>
  <c r="AQ92" i="16"/>
  <c r="AR92" i="16" s="1"/>
  <c r="Y94" i="14" l="1"/>
  <c r="Z93" i="14"/>
  <c r="U94" i="14"/>
  <c r="V94" i="14"/>
  <c r="T94" i="14"/>
  <c r="AO93" i="14"/>
  <c r="AE93" i="14"/>
  <c r="AG93" i="14" s="1"/>
  <c r="AQ93" i="14"/>
  <c r="AR93" i="14" s="1"/>
  <c r="W94" i="14"/>
  <c r="AF94" i="14" s="1"/>
  <c r="X94" i="14"/>
  <c r="AS92" i="14"/>
  <c r="AP92" i="14"/>
  <c r="AT92" i="14" s="1"/>
  <c r="AP92" i="16"/>
  <c r="AT92" i="16" s="1"/>
  <c r="AS92" i="16"/>
  <c r="AO93" i="16"/>
  <c r="Y94" i="16"/>
  <c r="AE93" i="16"/>
  <c r="AG93" i="16" s="1"/>
  <c r="Z93" i="16"/>
  <c r="V94" i="16"/>
  <c r="T94" i="16"/>
  <c r="U94" i="16"/>
  <c r="AQ93" i="16"/>
  <c r="AR93" i="16" s="1"/>
  <c r="X94" i="16"/>
  <c r="W94" i="16"/>
  <c r="AF94" i="16" s="1"/>
  <c r="X95" i="14" l="1"/>
  <c r="W95" i="14"/>
  <c r="AF95" i="14" s="1"/>
  <c r="AQ94" i="14"/>
  <c r="AR94" i="14" s="1"/>
  <c r="AS93" i="14"/>
  <c r="AP93" i="14"/>
  <c r="AT93" i="14" s="1"/>
  <c r="Z94" i="14"/>
  <c r="Y95" i="14"/>
  <c r="T95" i="14"/>
  <c r="U95" i="14"/>
  <c r="AO94" i="14"/>
  <c r="V95" i="14"/>
  <c r="AE94" i="14"/>
  <c r="AG94" i="14" s="1"/>
  <c r="Y95" i="16"/>
  <c r="U95" i="16"/>
  <c r="AO94" i="16"/>
  <c r="AE94" i="16"/>
  <c r="AG94" i="16" s="1"/>
  <c r="Z94" i="16"/>
  <c r="V95" i="16"/>
  <c r="T95" i="16"/>
  <c r="AP93" i="16"/>
  <c r="AT93" i="16" s="1"/>
  <c r="AS93" i="16"/>
  <c r="X95" i="16"/>
  <c r="AQ94" i="16"/>
  <c r="AR94" i="16" s="1"/>
  <c r="W95" i="16"/>
  <c r="AF95" i="16" s="1"/>
  <c r="Y96" i="14" l="1"/>
  <c r="T96" i="14"/>
  <c r="AO95" i="14"/>
  <c r="U96" i="14"/>
  <c r="Z95" i="14"/>
  <c r="V96" i="14"/>
  <c r="AE95" i="14"/>
  <c r="AG95" i="14" s="1"/>
  <c r="AQ95" i="14"/>
  <c r="AR95" i="14" s="1"/>
  <c r="X96" i="14"/>
  <c r="W96" i="14"/>
  <c r="AF96" i="14" s="1"/>
  <c r="AP94" i="14"/>
  <c r="AT94" i="14" s="1"/>
  <c r="AS94" i="14"/>
  <c r="Z95" i="16"/>
  <c r="Y96" i="16"/>
  <c r="AE95" i="16"/>
  <c r="AG95" i="16" s="1"/>
  <c r="V96" i="16"/>
  <c r="U96" i="16"/>
  <c r="T96" i="16"/>
  <c r="AO95" i="16"/>
  <c r="AS94" i="16"/>
  <c r="AP94" i="16"/>
  <c r="AT94" i="16" s="1"/>
  <c r="AQ95" i="16"/>
  <c r="AR95" i="16" s="1"/>
  <c r="X96" i="16"/>
  <c r="W96" i="16"/>
  <c r="AF96" i="16" s="1"/>
  <c r="AS95" i="14" l="1"/>
  <c r="AP95" i="14"/>
  <c r="AT95" i="14" s="1"/>
  <c r="AQ96" i="14"/>
  <c r="AR96" i="14" s="1"/>
  <c r="W97" i="14"/>
  <c r="AF97" i="14" s="1"/>
  <c r="X97" i="14"/>
  <c r="T97" i="14"/>
  <c r="Z96" i="14"/>
  <c r="V97" i="14"/>
  <c r="AO96" i="14"/>
  <c r="Y97" i="14"/>
  <c r="U97" i="14"/>
  <c r="AE96" i="14"/>
  <c r="AG96" i="14" s="1"/>
  <c r="AQ96" i="16"/>
  <c r="AR96" i="16" s="1"/>
  <c r="X97" i="16"/>
  <c r="W97" i="16"/>
  <c r="AF97" i="16" s="1"/>
  <c r="AP95" i="16"/>
  <c r="AT95" i="16" s="1"/>
  <c r="AS95" i="16"/>
  <c r="U97" i="16"/>
  <c r="AE96" i="16"/>
  <c r="AG96" i="16" s="1"/>
  <c r="T97" i="16"/>
  <c r="AO96" i="16"/>
  <c r="Y97" i="16"/>
  <c r="V97" i="16"/>
  <c r="Z96" i="16"/>
  <c r="W98" i="14" l="1"/>
  <c r="AF98" i="14" s="1"/>
  <c r="AQ97" i="14"/>
  <c r="AR97" i="14" s="1"/>
  <c r="X98" i="14"/>
  <c r="AE97" i="14"/>
  <c r="AG97" i="14" s="1"/>
  <c r="Z97" i="14"/>
  <c r="V98" i="14"/>
  <c r="AO97" i="14"/>
  <c r="Y98" i="14"/>
  <c r="T98" i="14"/>
  <c r="U98" i="14"/>
  <c r="AP96" i="14"/>
  <c r="AT96" i="14" s="1"/>
  <c r="AS96" i="14"/>
  <c r="Y98" i="16"/>
  <c r="AE97" i="16"/>
  <c r="AG97" i="16" s="1"/>
  <c r="AO97" i="16"/>
  <c r="U98" i="16"/>
  <c r="T98" i="16"/>
  <c r="Z97" i="16"/>
  <c r="V98" i="16"/>
  <c r="AQ97" i="16"/>
  <c r="AR97" i="16" s="1"/>
  <c r="X98" i="16"/>
  <c r="W98" i="16"/>
  <c r="AF98" i="16" s="1"/>
  <c r="AP96" i="16"/>
  <c r="AT96" i="16" s="1"/>
  <c r="AS96" i="16"/>
  <c r="AS97" i="14" l="1"/>
  <c r="AP97" i="14"/>
  <c r="AT97" i="14" s="1"/>
  <c r="W99" i="14"/>
  <c r="AF99" i="14" s="1"/>
  <c r="AQ98" i="14"/>
  <c r="AR98" i="14" s="1"/>
  <c r="X99" i="14"/>
  <c r="V99" i="14"/>
  <c r="AE98" i="14"/>
  <c r="AG98" i="14" s="1"/>
  <c r="Y99" i="14"/>
  <c r="Z98" i="14"/>
  <c r="T99" i="14"/>
  <c r="AO98" i="14"/>
  <c r="U99" i="14"/>
  <c r="X99" i="16"/>
  <c r="W99" i="16"/>
  <c r="AF99" i="16" s="1"/>
  <c r="AQ98" i="16"/>
  <c r="AR98" i="16" s="1"/>
  <c r="AP97" i="16"/>
  <c r="AT97" i="16" s="1"/>
  <c r="AS97" i="16"/>
  <c r="AE98" i="16"/>
  <c r="AG98" i="16" s="1"/>
  <c r="U99" i="16"/>
  <c r="AO98" i="16"/>
  <c r="V99" i="16"/>
  <c r="Z98" i="16"/>
  <c r="T99" i="16"/>
  <c r="Y99" i="16"/>
  <c r="AS98" i="14" l="1"/>
  <c r="AP98" i="14"/>
  <c r="AT98" i="14" s="1"/>
  <c r="W100" i="14"/>
  <c r="AF100" i="14" s="1"/>
  <c r="X100" i="14"/>
  <c r="AQ99" i="14"/>
  <c r="AR99" i="14" s="1"/>
  <c r="Z99" i="14"/>
  <c r="V100" i="14"/>
  <c r="T100" i="14"/>
  <c r="AO99" i="14"/>
  <c r="U100" i="14"/>
  <c r="AE99" i="14"/>
  <c r="AG99" i="14" s="1"/>
  <c r="Y100" i="14"/>
  <c r="AP98" i="16"/>
  <c r="AT98" i="16" s="1"/>
  <c r="AS98" i="16"/>
  <c r="U100" i="16"/>
  <c r="T100" i="16"/>
  <c r="Y100" i="16"/>
  <c r="AO99" i="16"/>
  <c r="AE99" i="16"/>
  <c r="AG99" i="16" s="1"/>
  <c r="Z99" i="16"/>
  <c r="V100" i="16"/>
  <c r="W100" i="16"/>
  <c r="AF100" i="16" s="1"/>
  <c r="X100" i="16"/>
  <c r="AQ99" i="16"/>
  <c r="AR99" i="16" s="1"/>
  <c r="AO100" i="14" l="1"/>
  <c r="AE100" i="14"/>
  <c r="AG100" i="14" s="1"/>
  <c r="U101" i="14"/>
  <c r="T101" i="14"/>
  <c r="V101" i="14"/>
  <c r="Z100" i="14"/>
  <c r="Y101" i="14"/>
  <c r="W101" i="14"/>
  <c r="AF101" i="14" s="1"/>
  <c r="X101" i="14"/>
  <c r="AQ100" i="14"/>
  <c r="AR100" i="14" s="1"/>
  <c r="AP99" i="14"/>
  <c r="AT99" i="14" s="1"/>
  <c r="AS99" i="14"/>
  <c r="Y101" i="16"/>
  <c r="AO100" i="16"/>
  <c r="Z100" i="16"/>
  <c r="T101" i="16"/>
  <c r="U101" i="16"/>
  <c r="V101" i="16"/>
  <c r="AE100" i="16"/>
  <c r="AG100" i="16" s="1"/>
  <c r="AP99" i="16"/>
  <c r="AT99" i="16" s="1"/>
  <c r="AS99" i="16"/>
  <c r="W101" i="16"/>
  <c r="AF101" i="16" s="1"/>
  <c r="X101" i="16"/>
  <c r="AQ100" i="16"/>
  <c r="AR100" i="16" s="1"/>
  <c r="U102" i="14" l="1"/>
  <c r="Y102" i="14"/>
  <c r="V102" i="14"/>
  <c r="Z101" i="14"/>
  <c r="T102" i="14"/>
  <c r="AO101" i="14"/>
  <c r="AE101" i="14"/>
  <c r="AG101" i="14" s="1"/>
  <c r="AQ101" i="14"/>
  <c r="AR101" i="14" s="1"/>
  <c r="W102" i="14"/>
  <c r="AF102" i="14" s="1"/>
  <c r="X102" i="14"/>
  <c r="AP100" i="14"/>
  <c r="AT100" i="14" s="1"/>
  <c r="AS100" i="14"/>
  <c r="AS100" i="16"/>
  <c r="AP100" i="16"/>
  <c r="AT100" i="16" s="1"/>
  <c r="AE101" i="16"/>
  <c r="AG101" i="16" s="1"/>
  <c r="AO101" i="16"/>
  <c r="U102" i="16"/>
  <c r="Y102" i="16"/>
  <c r="T102" i="16"/>
  <c r="V102" i="16"/>
  <c r="Z101" i="16"/>
  <c r="AQ101" i="16"/>
  <c r="AR101" i="16" s="1"/>
  <c r="X102" i="16"/>
  <c r="W102" i="16"/>
  <c r="AF102" i="16" s="1"/>
  <c r="AQ102" i="14" l="1"/>
  <c r="AR102" i="14" s="1"/>
  <c r="X103" i="14"/>
  <c r="X105" i="14" s="1"/>
  <c r="W103" i="14"/>
  <c r="AS101" i="14"/>
  <c r="AP101" i="14"/>
  <c r="AT101" i="14" s="1"/>
  <c r="T103" i="14"/>
  <c r="AO102" i="14"/>
  <c r="V103" i="14"/>
  <c r="AE102" i="14"/>
  <c r="AG102" i="14" s="1"/>
  <c r="U103" i="14"/>
  <c r="U105" i="14" s="1"/>
  <c r="Y103" i="14"/>
  <c r="Z102" i="14"/>
  <c r="Y103" i="16"/>
  <c r="W103" i="16"/>
  <c r="X103" i="16"/>
  <c r="X105" i="16" s="1"/>
  <c r="AQ102" i="16"/>
  <c r="AR102" i="16" s="1"/>
  <c r="AS101" i="16"/>
  <c r="AP101" i="16"/>
  <c r="AT101" i="16" s="1"/>
  <c r="AE102" i="16"/>
  <c r="AG102" i="16" s="1"/>
  <c r="AO102" i="16"/>
  <c r="T103" i="16"/>
  <c r="Z102" i="16"/>
  <c r="U103" i="16"/>
  <c r="U105" i="16" s="1"/>
  <c r="V103" i="16"/>
  <c r="AQ103" i="14" l="1"/>
  <c r="AR103" i="14" s="1"/>
  <c r="V105" i="14"/>
  <c r="AS102" i="14"/>
  <c r="AP102" i="14"/>
  <c r="AT102" i="14" s="1"/>
  <c r="AF103" i="14"/>
  <c r="AF105" i="14" s="1"/>
  <c r="C23" i="30" s="1"/>
  <c r="W105" i="14"/>
  <c r="AO103" i="14"/>
  <c r="T105" i="14"/>
  <c r="AE103" i="14"/>
  <c r="Z103" i="14"/>
  <c r="Z103" i="16"/>
  <c r="AO103" i="16"/>
  <c r="AE103" i="16"/>
  <c r="T105" i="16"/>
  <c r="AQ103" i="16"/>
  <c r="AR103" i="16" s="1"/>
  <c r="V105" i="16"/>
  <c r="AP102" i="16"/>
  <c r="AT102" i="16" s="1"/>
  <c r="AS102" i="16"/>
  <c r="AF103" i="16"/>
  <c r="AF105" i="16" s="1"/>
  <c r="D23" i="30" s="1"/>
  <c r="W105" i="16"/>
  <c r="T107" i="14" l="1"/>
  <c r="Y105" i="14"/>
  <c r="AS103" i="14"/>
  <c r="AT107" i="14" s="1"/>
  <c r="AX5" i="18" s="1"/>
  <c r="AP103" i="14"/>
  <c r="AT103" i="14" s="1"/>
  <c r="AT105" i="14" s="1"/>
  <c r="W107" i="14"/>
  <c r="C15" i="30" s="1"/>
  <c r="AG103" i="14"/>
  <c r="AG105" i="14" s="1"/>
  <c r="AY5" i="18" s="1"/>
  <c r="AE105" i="14"/>
  <c r="C22" i="30" s="1"/>
  <c r="AG103" i="16"/>
  <c r="AG105" i="16" s="1"/>
  <c r="W107" i="16"/>
  <c r="AP103" i="16"/>
  <c r="AT103" i="16" s="1"/>
  <c r="AT105" i="16" s="1"/>
  <c r="AS103" i="16"/>
  <c r="AT107" i="16" s="1"/>
  <c r="BA5" i="18" s="1"/>
  <c r="T107" i="16"/>
  <c r="Y105" i="16"/>
  <c r="AE105" i="16"/>
  <c r="D22" i="30" s="1"/>
  <c r="C5" i="17" l="1"/>
  <c r="BB5" i="18"/>
  <c r="AW5" i="18"/>
  <c r="C12" i="17"/>
  <c r="D125" i="2" s="1"/>
  <c r="W109" i="14"/>
  <c r="Q109" i="14"/>
  <c r="K109" i="14"/>
  <c r="N109" i="14"/>
  <c r="C14" i="30"/>
  <c r="T109" i="14"/>
  <c r="Q109" i="16"/>
  <c r="K109" i="16"/>
  <c r="N109" i="16"/>
  <c r="AZ5" i="18"/>
  <c r="C11" i="17"/>
  <c r="C7" i="17"/>
  <c r="T109" i="16"/>
  <c r="D14" i="30"/>
  <c r="D15" i="30"/>
  <c r="W109" i="16"/>
  <c r="C9" i="17" l="1"/>
  <c r="C125" i="2"/>
  <c r="E125" i="2" s="1"/>
  <c r="G11" i="17"/>
  <c r="X31" i="2" l="1"/>
  <c r="X39" i="2"/>
  <c r="X47" i="2"/>
  <c r="X55" i="2"/>
  <c r="X63" i="2"/>
  <c r="X71" i="2"/>
  <c r="X79" i="2"/>
  <c r="X87" i="2"/>
  <c r="X95" i="2"/>
  <c r="X103" i="2"/>
  <c r="X111" i="2"/>
  <c r="X119" i="2"/>
  <c r="W33" i="2"/>
  <c r="W41" i="2"/>
  <c r="W49" i="2"/>
  <c r="W57" i="2"/>
  <c r="W65" i="2"/>
  <c r="W73" i="2"/>
  <c r="W81" i="2"/>
  <c r="W89" i="2"/>
  <c r="W97" i="2"/>
  <c r="W105" i="2"/>
  <c r="W113" i="2"/>
  <c r="W26" i="2"/>
  <c r="X36" i="2"/>
  <c r="W62" i="2"/>
  <c r="W110" i="2"/>
  <c r="X32" i="2"/>
  <c r="X40" i="2"/>
  <c r="X48" i="2"/>
  <c r="X56" i="2"/>
  <c r="X64" i="2"/>
  <c r="X72" i="2"/>
  <c r="X80" i="2"/>
  <c r="X88" i="2"/>
  <c r="X96" i="2"/>
  <c r="X104" i="2"/>
  <c r="X112" i="2"/>
  <c r="X120" i="2"/>
  <c r="W34" i="2"/>
  <c r="W42" i="2"/>
  <c r="W50" i="2"/>
  <c r="W58" i="2"/>
  <c r="W66" i="2"/>
  <c r="W74" i="2"/>
  <c r="W82" i="2"/>
  <c r="W90" i="2"/>
  <c r="W98" i="2"/>
  <c r="W106" i="2"/>
  <c r="W114" i="2"/>
  <c r="X27" i="2"/>
  <c r="X51" i="2"/>
  <c r="X67" i="2"/>
  <c r="X75" i="2"/>
  <c r="X99" i="2"/>
  <c r="X115" i="2"/>
  <c r="W37" i="2"/>
  <c r="W61" i="2"/>
  <c r="W85" i="2"/>
  <c r="W109" i="2"/>
  <c r="W117" i="2"/>
  <c r="X28" i="2"/>
  <c r="X68" i="2"/>
  <c r="X84" i="2"/>
  <c r="X100" i="2"/>
  <c r="X116" i="2"/>
  <c r="W54" i="2"/>
  <c r="W94" i="2"/>
  <c r="X33" i="2"/>
  <c r="X41" i="2"/>
  <c r="X49" i="2"/>
  <c r="X57" i="2"/>
  <c r="X65" i="2"/>
  <c r="X73" i="2"/>
  <c r="X81" i="2"/>
  <c r="X89" i="2"/>
  <c r="X97" i="2"/>
  <c r="X105" i="2"/>
  <c r="X113" i="2"/>
  <c r="W27" i="2"/>
  <c r="W35" i="2"/>
  <c r="W43" i="2"/>
  <c r="W51" i="2"/>
  <c r="W59" i="2"/>
  <c r="W67" i="2"/>
  <c r="W75" i="2"/>
  <c r="W83" i="2"/>
  <c r="W91" i="2"/>
  <c r="W99" i="2"/>
  <c r="W107" i="2"/>
  <c r="W115" i="2"/>
  <c r="X35" i="2"/>
  <c r="X59" i="2"/>
  <c r="X83" i="2"/>
  <c r="X107" i="2"/>
  <c r="W45" i="2"/>
  <c r="W69" i="2"/>
  <c r="W93" i="2"/>
  <c r="X52" i="2"/>
  <c r="W30" i="2"/>
  <c r="W86" i="2"/>
  <c r="X26" i="2"/>
  <c r="X34" i="2"/>
  <c r="X42" i="2"/>
  <c r="X50" i="2"/>
  <c r="X58" i="2"/>
  <c r="X66" i="2"/>
  <c r="X74" i="2"/>
  <c r="X82" i="2"/>
  <c r="X90" i="2"/>
  <c r="X98" i="2"/>
  <c r="X106" i="2"/>
  <c r="X114" i="2"/>
  <c r="W28" i="2"/>
  <c r="W36" i="2"/>
  <c r="W44" i="2"/>
  <c r="W52" i="2"/>
  <c r="W60" i="2"/>
  <c r="W68" i="2"/>
  <c r="W76" i="2"/>
  <c r="W84" i="2"/>
  <c r="W92" i="2"/>
  <c r="W100" i="2"/>
  <c r="W108" i="2"/>
  <c r="W116" i="2"/>
  <c r="X43" i="2"/>
  <c r="X91" i="2"/>
  <c r="W29" i="2"/>
  <c r="W53" i="2"/>
  <c r="W77" i="2"/>
  <c r="W101" i="2"/>
  <c r="X44" i="2"/>
  <c r="X60" i="2"/>
  <c r="X76" i="2"/>
  <c r="X92" i="2"/>
  <c r="X108" i="2"/>
  <c r="W46" i="2"/>
  <c r="W78" i="2"/>
  <c r="W118" i="2"/>
  <c r="X29" i="2"/>
  <c r="X37" i="2"/>
  <c r="X45" i="2"/>
  <c r="X53" i="2"/>
  <c r="X61" i="2"/>
  <c r="X69" i="2"/>
  <c r="X77" i="2"/>
  <c r="X85" i="2"/>
  <c r="X93" i="2"/>
  <c r="X101" i="2"/>
  <c r="X109" i="2"/>
  <c r="X117" i="2"/>
  <c r="W31" i="2"/>
  <c r="W39" i="2"/>
  <c r="W47" i="2"/>
  <c r="W55" i="2"/>
  <c r="W63" i="2"/>
  <c r="W71" i="2"/>
  <c r="W79" i="2"/>
  <c r="W87" i="2"/>
  <c r="W95" i="2"/>
  <c r="W103" i="2"/>
  <c r="W111" i="2"/>
  <c r="W119" i="2"/>
  <c r="X30" i="2"/>
  <c r="X38" i="2"/>
  <c r="X46" i="2"/>
  <c r="X54" i="2"/>
  <c r="X62" i="2"/>
  <c r="X70" i="2"/>
  <c r="X78" i="2"/>
  <c r="X86" i="2"/>
  <c r="X94" i="2"/>
  <c r="X102" i="2"/>
  <c r="X110" i="2"/>
  <c r="X118" i="2"/>
  <c r="W32" i="2"/>
  <c r="W40" i="2"/>
  <c r="W48" i="2"/>
  <c r="W56" i="2"/>
  <c r="W64" i="2"/>
  <c r="W72" i="2"/>
  <c r="W80" i="2"/>
  <c r="W88" i="2"/>
  <c r="W96" i="2"/>
  <c r="W104" i="2"/>
  <c r="W112" i="2"/>
  <c r="W120" i="2"/>
  <c r="W38" i="2"/>
  <c r="W70" i="2"/>
  <c r="W102" i="2"/>
  <c r="G9" i="17"/>
  <c r="D33" i="49"/>
  <c r="D37" i="49"/>
  <c r="D11" i="49"/>
  <c r="D25" i="49"/>
  <c r="D30" i="49"/>
  <c r="D3" i="49"/>
  <c r="D2" i="49"/>
  <c r="D10" i="49"/>
  <c r="D20" i="49"/>
  <c r="D23" i="49"/>
  <c r="D24" i="49"/>
  <c r="D34" i="49"/>
  <c r="D7" i="49"/>
  <c r="D6" i="49"/>
  <c r="D21" i="49"/>
  <c r="D16" i="49"/>
  <c r="D39" i="49"/>
  <c r="D12" i="49"/>
  <c r="E18" i="49"/>
  <c r="E33" i="49"/>
  <c r="E25" i="49"/>
  <c r="E30" i="49"/>
  <c r="E3" i="49"/>
  <c r="E2" i="49"/>
  <c r="E20" i="49"/>
  <c r="E23" i="49"/>
  <c r="E34" i="49"/>
  <c r="E21" i="49"/>
  <c r="E12" i="49"/>
  <c r="D29" i="49"/>
  <c r="D26" i="49"/>
  <c r="D14" i="49"/>
  <c r="D38" i="49"/>
  <c r="D31" i="49"/>
  <c r="D17" i="49"/>
  <c r="D9" i="49"/>
  <c r="D13" i="49"/>
  <c r="D27" i="49"/>
  <c r="D28" i="49"/>
  <c r="D35" i="49"/>
  <c r="D32" i="49"/>
  <c r="D8" i="49"/>
  <c r="D36" i="49"/>
  <c r="D22" i="49"/>
  <c r="D15" i="49"/>
  <c r="D19" i="49"/>
  <c r="D5" i="49"/>
  <c r="D4" i="49"/>
  <c r="E37" i="49"/>
  <c r="E10" i="49"/>
  <c r="E24" i="49"/>
  <c r="E7" i="49"/>
  <c r="E16" i="49"/>
  <c r="D18" i="49"/>
  <c r="E29" i="49"/>
  <c r="E26" i="49"/>
  <c r="E14" i="49"/>
  <c r="E38" i="49"/>
  <c r="E31" i="49"/>
  <c r="E17" i="49"/>
  <c r="E9" i="49"/>
  <c r="E13" i="49"/>
  <c r="E27" i="49"/>
  <c r="E28" i="49"/>
  <c r="E35" i="49"/>
  <c r="E32" i="49"/>
  <c r="E8" i="49"/>
  <c r="E36" i="49"/>
  <c r="E22" i="49"/>
  <c r="E15" i="49"/>
  <c r="E19" i="49"/>
  <c r="E5" i="49"/>
  <c r="E4" i="49"/>
  <c r="E11" i="49"/>
  <c r="E6" i="49"/>
  <c r="E39" i="49"/>
  <c r="R27" i="2"/>
  <c r="Q78" i="2"/>
  <c r="Q81" i="2"/>
  <c r="Q85" i="2"/>
  <c r="Q89" i="2"/>
  <c r="Q93" i="2"/>
  <c r="Q97" i="2"/>
  <c r="Q99" i="2"/>
  <c r="Q101" i="2"/>
  <c r="R26" i="2"/>
  <c r="R78" i="2"/>
  <c r="R81" i="2"/>
  <c r="R85" i="2"/>
  <c r="R89" i="2"/>
  <c r="R93" i="2"/>
  <c r="R97" i="2"/>
  <c r="R99" i="2"/>
  <c r="R101" i="2"/>
  <c r="R105" i="2"/>
  <c r="R107" i="2"/>
  <c r="R109" i="2"/>
  <c r="R113" i="2"/>
  <c r="R117" i="2"/>
  <c r="R120" i="2"/>
  <c r="R84" i="2"/>
  <c r="R88" i="2"/>
  <c r="R92" i="2"/>
  <c r="R96" i="2"/>
  <c r="R98" i="2"/>
  <c r="R100" i="2"/>
  <c r="R104" i="2"/>
  <c r="R106" i="2"/>
  <c r="R108" i="2"/>
  <c r="R112" i="2"/>
  <c r="R114" i="2"/>
  <c r="R118" i="2"/>
  <c r="Q105" i="2"/>
  <c r="Q107" i="2"/>
  <c r="Q109" i="2"/>
  <c r="Q113" i="2"/>
  <c r="Q117" i="2"/>
  <c r="Q120" i="2"/>
  <c r="Q77" i="2"/>
  <c r="Q80" i="2"/>
  <c r="Q84" i="2"/>
  <c r="Q88" i="2"/>
  <c r="Q92" i="2"/>
  <c r="Q96" i="2"/>
  <c r="Q98" i="2"/>
  <c r="Q100" i="2"/>
  <c r="Q104" i="2"/>
  <c r="Q106" i="2"/>
  <c r="Q108" i="2"/>
  <c r="Q112" i="2"/>
  <c r="Q114" i="2"/>
  <c r="Q118" i="2"/>
  <c r="R77" i="2"/>
  <c r="R80" i="2"/>
  <c r="R34" i="2"/>
  <c r="R36" i="2"/>
  <c r="R40" i="2"/>
  <c r="R42" i="2"/>
  <c r="R44" i="2"/>
  <c r="R46" i="2"/>
  <c r="R48" i="2"/>
  <c r="R50" i="2"/>
  <c r="R52" i="2"/>
  <c r="R54" i="2"/>
  <c r="R56" i="2"/>
  <c r="R58" i="2"/>
  <c r="R60" i="2"/>
  <c r="R62" i="2"/>
  <c r="R64" i="2"/>
  <c r="R68" i="2"/>
  <c r="R70" i="2"/>
  <c r="R37" i="2"/>
  <c r="R43" i="2"/>
  <c r="R47" i="2"/>
  <c r="R49" i="2"/>
  <c r="R53" i="2"/>
  <c r="R57" i="2"/>
  <c r="R61" i="2"/>
  <c r="R67" i="2"/>
  <c r="Q46" i="2"/>
  <c r="Q54" i="2"/>
  <c r="Q62" i="2"/>
  <c r="Q37" i="2"/>
  <c r="Q39" i="2"/>
  <c r="Q43" i="2"/>
  <c r="Q45" i="2"/>
  <c r="Q47" i="2"/>
  <c r="Q49" i="2"/>
  <c r="Q51" i="2"/>
  <c r="Q53" i="2"/>
  <c r="Q55" i="2"/>
  <c r="Q57" i="2"/>
  <c r="Q59" i="2"/>
  <c r="Q61" i="2"/>
  <c r="Q63" i="2"/>
  <c r="Q67" i="2"/>
  <c r="Q69" i="2"/>
  <c r="R45" i="2"/>
  <c r="R51" i="2"/>
  <c r="R55" i="2"/>
  <c r="R59" i="2"/>
  <c r="R63" i="2"/>
  <c r="R69" i="2"/>
  <c r="Q40" i="2"/>
  <c r="Q48" i="2"/>
  <c r="Q56" i="2"/>
  <c r="Q64" i="2"/>
  <c r="R39" i="2"/>
  <c r="Q50" i="2"/>
  <c r="Q60" i="2"/>
  <c r="Q70" i="2"/>
  <c r="Q34" i="2"/>
  <c r="Q36" i="2"/>
  <c r="Q42" i="2"/>
  <c r="Q44" i="2"/>
  <c r="Q52" i="2"/>
  <c r="Q58" i="2"/>
  <c r="Q68" i="2"/>
  <c r="B125" i="2"/>
  <c r="R33" i="2"/>
  <c r="Q26" i="2"/>
  <c r="Q33" i="2"/>
  <c r="Q2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Molly Paffett</author>
  </authors>
  <commentList>
    <comment ref="A3" authorId="0" shapeId="0" xr:uid="{414781CA-95C4-034B-B5E7-261EC43A6419}">
      <text>
        <r>
          <rPr>
            <b/>
            <sz val="10"/>
            <color rgb="FF000000"/>
            <rFont val="Tahoma"/>
            <family val="2"/>
          </rPr>
          <t>Molly Paffett:</t>
        </r>
        <r>
          <rPr>
            <sz val="10"/>
            <color rgb="FF000000"/>
            <rFont val="Tahoma"/>
            <family val="2"/>
          </rPr>
          <t xml:space="preserve">
</t>
        </r>
        <r>
          <rPr>
            <sz val="10"/>
            <color rgb="FF000000"/>
            <rFont val="Tahoma"/>
            <family val="2"/>
          </rPr>
          <t>Insert data here from data sets and will automatically calculate the transitional probs for both treatment and control groups; for both DSA and PSA</t>
        </r>
      </text>
    </comment>
    <comment ref="J3" authorId="0" shapeId="0" xr:uid="{7FE2792F-332B-8F42-A35D-7FE8727F751D}">
      <text>
        <r>
          <rPr>
            <b/>
            <sz val="10"/>
            <color rgb="FF000000"/>
            <rFont val="Tahoma"/>
            <family val="2"/>
          </rPr>
          <t>Molly Paffett:</t>
        </r>
        <r>
          <rPr>
            <sz val="10"/>
            <color rgb="FF000000"/>
            <rFont val="Tahoma"/>
            <family val="2"/>
          </rPr>
          <t xml:space="preserve">
</t>
        </r>
        <r>
          <rPr>
            <sz val="10"/>
            <color rgb="FF000000"/>
            <rFont val="Tahoma"/>
            <family val="2"/>
          </rPr>
          <t>Insert data here from data sets and will automatically calculate the transitional probs for both treatment and control groups; for both DSA and PSA</t>
        </r>
      </text>
    </comment>
    <comment ref="E8" authorId="0" shapeId="0" xr:uid="{111E8C71-B899-FE4D-88F4-5A5DB1E1492F}">
      <text>
        <r>
          <rPr>
            <b/>
            <sz val="10"/>
            <color rgb="FF000000"/>
            <rFont val="Tahoma"/>
            <family val="2"/>
          </rPr>
          <t>Molly Paffett:</t>
        </r>
        <r>
          <rPr>
            <sz val="10"/>
            <color rgb="FF000000"/>
            <rFont val="Tahoma"/>
            <family val="2"/>
          </rPr>
          <t xml:space="preserve">
</t>
        </r>
        <r>
          <rPr>
            <sz val="10"/>
            <color rgb="FF000000"/>
            <rFont val="Tahoma"/>
            <family val="2"/>
          </rPr>
          <t>Of 100 patients in stage 5, only 13 will remain in stage 5 after accounting for those who will recieve dialysis and those who will die</t>
        </r>
      </text>
    </comment>
    <comment ref="F8" authorId="0" shapeId="0" xr:uid="{0318CCFF-5CE2-D143-993E-95344DC19BA0}">
      <text>
        <r>
          <rPr>
            <b/>
            <sz val="10"/>
            <color rgb="FF000000"/>
            <rFont val="Tahoma"/>
            <family val="2"/>
          </rPr>
          <t>Molly Paffett:</t>
        </r>
        <r>
          <rPr>
            <sz val="10"/>
            <color rgb="FF000000"/>
            <rFont val="Tahoma"/>
            <family val="2"/>
          </rPr>
          <t xml:space="preserve">
</t>
        </r>
        <r>
          <rPr>
            <sz val="10"/>
            <color rgb="FF000000"/>
            <rFont val="Tahoma"/>
            <family val="2"/>
          </rPr>
          <t xml:space="preserve">50% of those in stage 5 will recieve dialysis
</t>
        </r>
        <r>
          <rPr>
            <sz val="10"/>
            <color rgb="FF000000"/>
            <rFont val="Tahoma"/>
            <family val="2"/>
          </rPr>
          <t xml:space="preserve">
</t>
        </r>
        <r>
          <rPr>
            <sz val="10"/>
            <color rgb="FF000000"/>
            <rFont val="Tahoma"/>
            <family val="2"/>
          </rPr>
          <t>Uncertainty accounted for in analysis within parameter sheet</t>
        </r>
      </text>
    </comment>
    <comment ref="G8" authorId="0" shapeId="0" xr:uid="{363420AA-4493-D44C-9E29-00EBA24F61AE}">
      <text>
        <r>
          <rPr>
            <b/>
            <sz val="10"/>
            <color rgb="FF000000"/>
            <rFont val="Tahoma"/>
            <family val="2"/>
          </rPr>
          <t>Molly Paffett:</t>
        </r>
        <r>
          <rPr>
            <sz val="10"/>
            <color rgb="FF000000"/>
            <rFont val="Tahoma"/>
            <family val="2"/>
          </rPr>
          <t xml:space="preserve">
</t>
        </r>
        <r>
          <rPr>
            <sz val="10"/>
            <color rgb="FF000000"/>
            <rFont val="Tahoma"/>
            <family val="2"/>
          </rPr>
          <t>75% who do not have dialysis die</t>
        </r>
      </text>
    </comment>
    <comment ref="A20" authorId="0" shapeId="0" xr:uid="{0183A127-1399-F34E-86A7-2E855520D754}">
      <text>
        <r>
          <rPr>
            <b/>
            <sz val="10"/>
            <color rgb="FF000000"/>
            <rFont val="Tahoma"/>
            <family val="2"/>
          </rPr>
          <t>Molly Paffett:</t>
        </r>
        <r>
          <rPr>
            <sz val="10"/>
            <color rgb="FF000000"/>
            <rFont val="Tahoma"/>
            <family val="2"/>
          </rPr>
          <t xml:space="preserve">
</t>
        </r>
        <r>
          <rPr>
            <sz val="10"/>
            <color rgb="FF000000"/>
            <rFont val="Tahoma"/>
            <family val="2"/>
          </rPr>
          <t xml:space="preserve">= control/treatment
</t>
        </r>
        <r>
          <rPr>
            <sz val="10"/>
            <color rgb="FF000000"/>
            <rFont val="Tahoma"/>
            <family val="2"/>
          </rPr>
          <t xml:space="preserve">
</t>
        </r>
      </text>
    </comment>
    <comment ref="B23" authorId="0" shapeId="0" xr:uid="{7ECA607A-81F4-D44C-A3A4-E05A244D3B82}">
      <text>
        <r>
          <rPr>
            <b/>
            <sz val="10"/>
            <color rgb="FF000000"/>
            <rFont val="Tahoma"/>
            <family val="2"/>
          </rPr>
          <t>Molly Paffett:</t>
        </r>
        <r>
          <rPr>
            <sz val="10"/>
            <color rgb="FF000000"/>
            <rFont val="Tahoma"/>
            <family val="2"/>
          </rPr>
          <t xml:space="preserve">
</t>
        </r>
        <r>
          <rPr>
            <sz val="10"/>
            <color rgb="FF000000"/>
            <rFont val="Tahoma"/>
            <family val="2"/>
          </rPr>
          <t>Force this to be 1 with SE = 0; to make the analysis more conservative and less reliant on large assumptions based on predicted data</t>
        </r>
      </text>
    </comment>
    <comment ref="G30" authorId="0" shapeId="0" xr:uid="{80BFA6D2-9266-6744-BECA-EBBA75CEB035}">
      <text>
        <r>
          <rPr>
            <b/>
            <sz val="10"/>
            <color rgb="FF000000"/>
            <rFont val="Tahoma"/>
            <family val="2"/>
          </rPr>
          <t>Molly Paffett:</t>
        </r>
        <r>
          <rPr>
            <sz val="10"/>
            <color rgb="FF000000"/>
            <rFont val="Tahoma"/>
            <family val="2"/>
          </rPr>
          <t xml:space="preserve">
</t>
        </r>
        <r>
          <rPr>
            <b/>
            <sz val="10"/>
            <color rgb="FF000000"/>
            <rFont val="Tahoma"/>
            <family val="34"/>
          </rPr>
          <t>Molly Paffett:</t>
        </r>
        <r>
          <rPr>
            <sz val="10"/>
            <color rgb="FF000000"/>
            <rFont val="Calibri"/>
            <family val="2"/>
          </rPr>
          <t xml:space="preserve">
</t>
        </r>
        <r>
          <rPr>
            <sz val="10"/>
            <color rgb="FF000000"/>
            <rFont val="Tahoma"/>
            <family val="34"/>
          </rPr>
          <t>= Those who had already previously died in other cycles + those who have died in the previous cycle (ie. those who have progressed to the death healthstate from their CKD stage) + those who have died from other causes (ie. due to baseline mortality)</t>
        </r>
        <r>
          <rPr>
            <sz val="10"/>
            <color rgb="FF000000"/>
            <rFont val="Calibri"/>
            <family val="2"/>
          </rPr>
          <t xml:space="preserve">
</t>
        </r>
      </text>
    </comment>
    <comment ref="G42" authorId="0" shapeId="0" xr:uid="{47C2CFED-18D2-E24B-B0E6-C5DEDC7B6BFC}">
      <text>
        <r>
          <rPr>
            <b/>
            <sz val="10"/>
            <color rgb="FF000000"/>
            <rFont val="Tahoma"/>
            <family val="2"/>
          </rPr>
          <t>Molly Paffett:</t>
        </r>
        <r>
          <rPr>
            <sz val="10"/>
            <color rgb="FF000000"/>
            <rFont val="Tahoma"/>
            <family val="2"/>
          </rPr>
          <t xml:space="preserve">
</t>
        </r>
        <r>
          <rPr>
            <sz val="10"/>
            <color rgb="FF000000"/>
            <rFont val="Tahoma"/>
            <family val="2"/>
          </rPr>
          <t>= Those who had already previously died in other cycles + those who have died in the previous cycle (ie. those who have progressed to the death healthstate from their CKD stage) + those who have died from other causes (ie. due to baseline mortality)</t>
        </r>
      </text>
    </comment>
    <comment ref="A43" authorId="0" shapeId="0" xr:uid="{1E9FA5D3-8329-AA49-B149-20F2B9166370}">
      <text>
        <r>
          <rPr>
            <b/>
            <sz val="10"/>
            <color rgb="FF000000"/>
            <rFont val="Tahoma"/>
            <family val="2"/>
          </rPr>
          <t>Molly Paffett:</t>
        </r>
        <r>
          <rPr>
            <sz val="10"/>
            <color rgb="FF000000"/>
            <rFont val="Tahoma"/>
            <family val="2"/>
          </rPr>
          <t xml:space="preserve">
</t>
        </r>
        <r>
          <rPr>
            <sz val="10"/>
            <color rgb="FF000000"/>
            <rFont val="Tahoma"/>
            <family val="2"/>
          </rPr>
          <t>In this row under 'proportion of patients in each health state, the number can be adjusted - ie.not all patients have to start in the same stage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Molly Paffett</author>
  </authors>
  <commentList>
    <comment ref="J1" authorId="0" shapeId="0" xr:uid="{91CFE5F0-F9F8-7542-A75A-964E67269BCB}">
      <text>
        <r>
          <rPr>
            <b/>
            <sz val="10"/>
            <color rgb="FF000000"/>
            <rFont val="Tahoma"/>
            <family val="2"/>
          </rPr>
          <t>Molly Paffett:</t>
        </r>
        <r>
          <rPr>
            <sz val="10"/>
            <color rgb="FF000000"/>
            <rFont val="Tahoma"/>
            <family val="2"/>
          </rPr>
          <t xml:space="preserve">
</t>
        </r>
        <r>
          <rPr>
            <sz val="10"/>
            <color rgb="FF000000"/>
            <rFont val="Tahoma"/>
            <family val="2"/>
          </rPr>
          <t>This is all automatically generated when you change the values in the observedcuont for the ICP group</t>
        </r>
      </text>
    </comment>
    <comment ref="A3" authorId="0" shapeId="0" xr:uid="{F1232BF8-7096-F24B-8FE2-FAE3929E2316}">
      <text>
        <r>
          <rPr>
            <b/>
            <sz val="10"/>
            <color rgb="FF000000"/>
            <rFont val="Tahoma"/>
            <family val="2"/>
          </rPr>
          <t>Molly Paffett:</t>
        </r>
        <r>
          <rPr>
            <sz val="10"/>
            <color rgb="FF000000"/>
            <rFont val="Tahoma"/>
            <family val="2"/>
          </rPr>
          <t xml:space="preserve">
</t>
        </r>
        <r>
          <rPr>
            <sz val="10"/>
            <color rgb="FF000000"/>
            <rFont val="Tahoma"/>
            <family val="2"/>
          </rPr>
          <t>Multiplying the observed count by 1146 - ie. the number of uinque IDs in the full data set, as teh transitionali probabilities are found using only 1 participants data (as the predicted eGFR is the same in every period for all participants)</t>
        </r>
      </text>
    </comment>
    <comment ref="L14" authorId="0" shapeId="0" xr:uid="{ECF9D650-EEEF-8D4F-A2FB-A3E678F46C28}">
      <text>
        <r>
          <rPr>
            <b/>
            <sz val="10"/>
            <color rgb="FF000000"/>
            <rFont val="Tahoma"/>
            <family val="2"/>
          </rPr>
          <t>Molly Paffett:</t>
        </r>
        <r>
          <rPr>
            <sz val="10"/>
            <color rgb="FF000000"/>
            <rFont val="Tahoma"/>
            <family val="2"/>
          </rPr>
          <t xml:space="preserve">
</t>
        </r>
        <r>
          <rPr>
            <sz val="10"/>
            <color rgb="FF000000"/>
            <rFont val="Tahoma"/>
            <family val="2"/>
          </rPr>
          <t>= treatment * RR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Andrew Briggs</author>
  </authors>
  <commentList>
    <comment ref="B55" authorId="0" shapeId="0" xr:uid="{3E7783F5-AA3D-1B4D-9383-58F9B9F7263F}">
      <text>
        <r>
          <rPr>
            <b/>
            <sz val="8"/>
            <color indexed="81"/>
            <rFont val="Tahoma"/>
            <family val="2"/>
          </rPr>
          <t>Key to Cholesky decomposition matrix:</t>
        </r>
        <r>
          <rPr>
            <sz val="8"/>
            <color indexed="81"/>
            <rFont val="Tahoma"/>
            <family val="2"/>
          </rPr>
          <t xml:space="preserve">
Cells in the matrix are named:
</t>
        </r>
        <r>
          <rPr>
            <sz val="8"/>
            <color indexed="81"/>
            <rFont val="Courier"/>
            <family val="3"/>
          </rPr>
          <t xml:space="preserve">a
b  c_
d  e  f
g  h  i  j
k  l  m  n  o
p  q  r_ s  t  u
</t>
        </r>
        <r>
          <rPr>
            <sz val="8"/>
            <color indexed="81"/>
            <rFont val="Tahoma"/>
            <family val="2"/>
          </rPr>
          <t>(Note the underscores for c_ and r_ since 
Excel reserves c and r as system variables!)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Molly Paffett</author>
    <author>tc={C2D44FA7-15C6-4242-B0D7-D05B40998A38}</author>
    <author>tc={52F950DB-09C4-4C41-B5C5-F9D154767ED2}</author>
    <author>tc={068A8EAC-AD19-492E-96BC-B36AF54BAA9D}</author>
    <author>Microsoft Office User</author>
    <author>tc={240CC355-DAC2-4336-84E6-024E69BBA6DB}</author>
  </authors>
  <commentList>
    <comment ref="B1" authorId="0" shapeId="0" xr:uid="{A53DD21F-1026-5E4C-AC48-BC41C280AF1A}">
      <text>
        <r>
          <rPr>
            <b/>
            <sz val="10"/>
            <color rgb="FF000000"/>
            <rFont val="Tahoma"/>
            <family val="2"/>
          </rPr>
          <t>Molly Paffett:</t>
        </r>
        <r>
          <rPr>
            <sz val="10"/>
            <color rgb="FF000000"/>
            <rFont val="Tahoma"/>
            <family val="2"/>
          </rPr>
          <t xml:space="preserve">
</t>
        </r>
        <r>
          <rPr>
            <sz val="10"/>
            <color rgb="FF000000"/>
            <rFont val="Tahoma"/>
            <family val="2"/>
          </rPr>
          <t xml:space="preserve">When = 0 --&gt; Probablistic analysis
</t>
        </r>
        <r>
          <rPr>
            <sz val="10"/>
            <color rgb="FF000000"/>
            <rFont val="Tahoma"/>
            <family val="2"/>
          </rPr>
          <t>When ≠ 0 --&gt; Deterministic analysis</t>
        </r>
      </text>
    </comment>
    <comment ref="H1" authorId="0" shapeId="0" xr:uid="{7FB069D1-4819-C04E-AF8F-6C033FD4596E}">
      <text>
        <r>
          <rPr>
            <b/>
            <sz val="10"/>
            <color rgb="FF000000"/>
            <rFont val="Tahoma"/>
            <family val="2"/>
          </rPr>
          <t>Molly Paffett:</t>
        </r>
        <r>
          <rPr>
            <sz val="10"/>
            <color rgb="FF000000"/>
            <rFont val="Tahoma"/>
            <family val="2"/>
          </rPr>
          <t xml:space="preserve">
</t>
        </r>
        <r>
          <rPr>
            <sz val="10"/>
            <color rgb="FF000000"/>
            <rFont val="Tahoma"/>
            <family val="2"/>
          </rPr>
          <t xml:space="preserve">1= societal perspective
</t>
        </r>
        <r>
          <rPr>
            <sz val="10"/>
            <color rgb="FF000000"/>
            <rFont val="Tahoma"/>
            <family val="2"/>
          </rPr>
          <t>0 = UCS perspective (ie. payers)</t>
        </r>
      </text>
    </comment>
    <comment ref="K1" authorId="0" shapeId="0" xr:uid="{77AAE5C4-A006-F046-8228-A5285B7A6607}">
      <text>
        <r>
          <rPr>
            <b/>
            <sz val="10"/>
            <color rgb="FF000000"/>
            <rFont val="Tahoma"/>
            <family val="2"/>
          </rPr>
          <t>Molly Paffett:</t>
        </r>
        <r>
          <rPr>
            <sz val="10"/>
            <color rgb="FF000000"/>
            <rFont val="Tahoma"/>
            <family val="2"/>
          </rPr>
          <t xml:space="preserve">
</t>
        </r>
        <r>
          <rPr>
            <sz val="10"/>
            <color rgb="FF000000"/>
            <rFont val="Tahoma"/>
            <family val="2"/>
          </rPr>
          <t xml:space="preserve">1 = RR4 = 1
</t>
        </r>
        <r>
          <rPr>
            <sz val="10"/>
            <color rgb="FF000000"/>
            <rFont val="Tahoma"/>
            <family val="2"/>
          </rPr>
          <t>0 = RR4 = 3 (ie. as per ESCORT data)</t>
        </r>
      </text>
    </comment>
    <comment ref="I3" authorId="1" shapeId="0" xr:uid="{C2D44FA7-15C6-4242-B0D7-D05B40998A38}">
      <text>
        <t>[Threaded comment]
Your version of Excel allows you to read this threaded comment; however, any edits to it will get removed if the file is opened in a newer version of Excel. Learn more: https://go.microsoft.com/fwlink/?linkid=870924
Comment:
    Are these columns needed when using Dirichlet for probabilistic analysis?</t>
      </text>
    </comment>
    <comment ref="F10" authorId="0" shapeId="0" xr:uid="{9B7153F1-95BE-4847-B965-EE780AF1B3C5}">
      <text>
        <r>
          <rPr>
            <b/>
            <sz val="10"/>
            <color rgb="FF000000"/>
            <rFont val="Tahoma"/>
            <family val="2"/>
          </rPr>
          <t>Molly Paffett:</t>
        </r>
        <r>
          <rPr>
            <sz val="10"/>
            <color rgb="FF000000"/>
            <rFont val="Tahoma"/>
            <family val="2"/>
          </rPr>
          <t xml:space="preserve">
</t>
        </r>
        <r>
          <rPr>
            <sz val="10"/>
            <color rgb="FF000000"/>
            <rFont val="Tahoma"/>
            <family val="2"/>
          </rPr>
          <t>Highlighted calculated as 1 minus the relevant other transitional probabilties</t>
        </r>
      </text>
    </comment>
    <comment ref="G10" authorId="0" shapeId="0" xr:uid="{3FD70E3F-388E-C74D-B352-84ECB5EBCFEB}">
      <text>
        <r>
          <rPr>
            <b/>
            <sz val="10"/>
            <color rgb="FF000000"/>
            <rFont val="Tahoma"/>
            <family val="2"/>
          </rPr>
          <t>Molly Paffett:</t>
        </r>
        <r>
          <rPr>
            <sz val="10"/>
            <color rgb="FF000000"/>
            <rFont val="Tahoma"/>
            <family val="2"/>
          </rPr>
          <t xml:space="preserve">
</t>
        </r>
        <r>
          <rPr>
            <sz val="10"/>
            <color rgb="FF000000"/>
            <rFont val="Tahoma"/>
            <family val="2"/>
          </rPr>
          <t>Values derived using observed stage counts in ESCORT 1 and 2; see Transitional probabilities sheet; relative risks are applied to the ICP transitional probabilties below</t>
        </r>
      </text>
    </comment>
    <comment ref="J10" authorId="0" shapeId="0" xr:uid="{2E31CC6E-458B-8048-8449-6E9F5E02FF94}">
      <text>
        <r>
          <rPr>
            <b/>
            <sz val="10"/>
            <color rgb="FF000000"/>
            <rFont val="Tahoma"/>
            <family val="2"/>
          </rPr>
          <t>Molly Paffett:</t>
        </r>
        <r>
          <rPr>
            <sz val="10"/>
            <color rgb="FF000000"/>
            <rFont val="Tahoma"/>
            <family val="2"/>
          </rPr>
          <t xml:space="preserve">
</t>
        </r>
        <r>
          <rPr>
            <sz val="10"/>
            <color rgb="FF000000"/>
            <rFont val="Tahoma"/>
            <family val="2"/>
          </rPr>
          <t xml:space="preserve">Not relevant for these parameters as they are calculated as the ICP transitional probs * RR parameters
</t>
        </r>
      </text>
    </comment>
    <comment ref="F12" authorId="0" shapeId="0" xr:uid="{2E9D9250-DAF0-1348-8939-64EF95A8C164}">
      <text>
        <r>
          <rPr>
            <b/>
            <sz val="10"/>
            <color rgb="FF000000"/>
            <rFont val="Tahoma"/>
            <family val="2"/>
          </rPr>
          <t>Molly Paffett:</t>
        </r>
        <r>
          <rPr>
            <sz val="10"/>
            <color rgb="FF000000"/>
            <rFont val="Tahoma"/>
            <family val="2"/>
          </rPr>
          <t xml:space="preserve">
</t>
        </r>
        <r>
          <rPr>
            <sz val="10"/>
            <color rgb="FF000000"/>
            <rFont val="Tahoma"/>
            <family val="2"/>
          </rPr>
          <t>Fixed at 0 - no uncertainty: same for p3bDeath and p4Death</t>
        </r>
      </text>
    </comment>
    <comment ref="F17" authorId="0" shapeId="0" xr:uid="{8FAD26F3-E6AA-134D-AEFB-87DAB1C3E7F6}">
      <text>
        <r>
          <rPr>
            <b/>
            <sz val="10"/>
            <color rgb="FF000000"/>
            <rFont val="Tahoma"/>
            <family val="2"/>
          </rPr>
          <t>Molly Paffett:</t>
        </r>
        <r>
          <rPr>
            <sz val="10"/>
            <color rgb="FF000000"/>
            <rFont val="Tahoma"/>
            <family val="2"/>
          </rPr>
          <t xml:space="preserve">
</t>
        </r>
        <r>
          <rPr>
            <sz val="10"/>
            <color rgb="FF000000"/>
            <rFont val="Calibri"/>
            <family val="2"/>
          </rPr>
          <t xml:space="preserve">Due to large SE for RR parameters causing very large probabilistic values, assuming that the probability can only be a maximum of 1
</t>
        </r>
      </text>
    </comment>
    <comment ref="A25" authorId="2" shapeId="0" xr:uid="{52F950DB-09C4-4C41-B5C5-F9D154767ED2}">
      <text>
        <t>[Threaded comment]
Your version of Excel allows you to read this threaded comment; however, any edits to it will get removed if the file is opened in a newer version of Excel. Learn more: https://go.microsoft.com/fwlink/?linkid=870924
Comment:
    Do you consider using RR to determine treatment effect rather than using absolute prob?</t>
      </text>
    </comment>
    <comment ref="B26" authorId="0" shapeId="0" xr:uid="{CC4B194D-3AFA-DD47-BD3C-7681061B19A8}">
      <text>
        <r>
          <rPr>
            <b/>
            <sz val="10"/>
            <color rgb="FF000000"/>
            <rFont val="Tahoma"/>
            <family val="2"/>
          </rPr>
          <t>Molly Paffett:</t>
        </r>
        <r>
          <rPr>
            <sz val="10"/>
            <color rgb="FF000000"/>
            <rFont val="Tahoma"/>
            <family val="2"/>
          </rPr>
          <t xml:space="preserve">
</t>
        </r>
        <r>
          <rPr>
            <sz val="10"/>
            <color rgb="FF000000"/>
            <rFont val="Tahoma"/>
            <family val="2"/>
          </rPr>
          <t>=EXP(LN(RR)) = RR</t>
        </r>
      </text>
    </comment>
    <comment ref="G26" authorId="0" shapeId="0" xr:uid="{9F2F321C-E15D-4D47-B3F0-BE45D42464C4}">
      <text>
        <r>
          <rPr>
            <b/>
            <sz val="10"/>
            <color rgb="FF000000"/>
            <rFont val="Tahoma"/>
            <family val="2"/>
          </rPr>
          <t>Molly Paffett:</t>
        </r>
        <r>
          <rPr>
            <sz val="10"/>
            <color rgb="FF000000"/>
            <rFont val="Tahoma"/>
            <family val="2"/>
          </rPr>
          <t xml:space="preserve">
</t>
        </r>
        <r>
          <rPr>
            <sz val="10"/>
            <color rgb="FF000000"/>
            <rFont val="Tahoma"/>
            <family val="2"/>
          </rPr>
          <t xml:space="preserve">LN(RR)
</t>
        </r>
      </text>
    </comment>
    <comment ref="H26" authorId="0" shapeId="0" xr:uid="{6D395418-523C-C842-AC32-3BB0DCF59ECD}">
      <text>
        <r>
          <rPr>
            <b/>
            <sz val="10"/>
            <color rgb="FF000000"/>
            <rFont val="Tahoma"/>
            <family val="2"/>
          </rPr>
          <t>Molly Paffett:</t>
        </r>
        <r>
          <rPr>
            <sz val="10"/>
            <color rgb="FF000000"/>
            <rFont val="Tahoma"/>
            <family val="2"/>
          </rPr>
          <t xml:space="preserve">
</t>
        </r>
        <r>
          <rPr>
            <sz val="10"/>
            <color rgb="FF000000"/>
            <rFont val="Tahoma"/>
            <family val="2"/>
          </rPr>
          <t>SE(LN(RR))</t>
        </r>
      </text>
    </comment>
    <comment ref="K26" authorId="0" shapeId="0" xr:uid="{DDB046B7-7B5B-3B4D-B3DE-D7D56255A192}">
      <text>
        <r>
          <rPr>
            <b/>
            <sz val="10"/>
            <color rgb="FF000000"/>
            <rFont val="Tahoma"/>
            <family val="2"/>
          </rPr>
          <t>Molly Paffett:</t>
        </r>
        <r>
          <rPr>
            <sz val="10"/>
            <color rgb="FF000000"/>
            <rFont val="Tahoma"/>
            <family val="2"/>
          </rPr>
          <t xml:space="preserve">
</t>
        </r>
        <r>
          <rPr>
            <sz val="10"/>
            <color rgb="FF000000"/>
            <rFont val="Tahoma"/>
            <family val="2"/>
          </rPr>
          <t xml:space="preserve">CI for RR </t>
        </r>
        <r>
          <rPr>
            <i/>
            <sz val="10"/>
            <color rgb="FF000000"/>
            <rFont val="Tahoma"/>
            <family val="2"/>
          </rPr>
          <t xml:space="preserve">not </t>
        </r>
        <r>
          <rPr>
            <sz val="10"/>
            <color rgb="FF000000"/>
            <rFont val="Tahoma"/>
            <family val="2"/>
          </rPr>
          <t>LN(RR)</t>
        </r>
      </text>
    </comment>
    <comment ref="B29" authorId="3" shapeId="0" xr:uid="{068A8EAC-AD19-492E-96BC-B36AF54BAA9D}">
      <text>
        <t>[Threaded comment]
Your version of Excel allows you to read this threaded comment; however, any edits to it will get removed if the file is opened in a newer version of Excel. Learn more: https://go.microsoft.com/fwlink/?linkid=870924
Comment:
    1. Why was this parameter applied in both markov worksheets i.e. MM conventional and MDCT? 
2. We need to find good justiciation whether this RR can be applied to every step of CKD progression or only particular steps? 
Reply:
    I think that the MM MDCT sheet IF function was allocated the wrong number in C1 - I have now resolved this.
I assumed that it would be applied in each stage when constructing the model, but I can adjust when we know which stages we want to apply it too.</t>
      </text>
    </comment>
    <comment ref="F34" authorId="0" shapeId="0" xr:uid="{7F4D2208-6506-CF4A-AAB8-C483C90B1217}">
      <text>
        <r>
          <rPr>
            <b/>
            <sz val="10"/>
            <color rgb="FF000000"/>
            <rFont val="Tahoma"/>
            <family val="2"/>
          </rPr>
          <t>Molly Paffett:</t>
        </r>
        <r>
          <rPr>
            <sz val="10"/>
            <color rgb="FF000000"/>
            <rFont val="Tahoma"/>
            <family val="2"/>
          </rPr>
          <t xml:space="preserve">
</t>
        </r>
        <r>
          <rPr>
            <sz val="10"/>
            <color rgb="FF000000"/>
            <rFont val="Calibri"/>
            <family val="2"/>
          </rPr>
          <t xml:space="preserve">Fixed at 0 - no uncertainty: same for p3bDeath and p4Death
</t>
        </r>
      </text>
    </comment>
    <comment ref="D38" authorId="4" shapeId="0" xr:uid="{BE253160-86CF-8B47-9C8A-01F0973FE4B2}">
      <text>
        <r>
          <rPr>
            <b/>
            <sz val="10"/>
            <color rgb="FF000000"/>
            <rFont val="Tahoma"/>
            <family val="2"/>
          </rPr>
          <t>Microsoft Office User:</t>
        </r>
        <r>
          <rPr>
            <sz val="10"/>
            <color rgb="FF000000"/>
            <rFont val="Tahoma"/>
            <family val="2"/>
          </rPr>
          <t xml:space="preserve">
</t>
        </r>
        <r>
          <rPr>
            <sz val="10"/>
            <color rgb="FF000000"/>
            <rFont val="Tahoma"/>
            <family val="2"/>
          </rPr>
          <t xml:space="preserve">Grover et al (2019) values for 3/4 taken for afer 1 year
</t>
        </r>
      </text>
    </comment>
    <comment ref="D39" authorId="4" shapeId="0" xr:uid="{026CD526-CEFE-F24F-91D2-E849DE085EAC}">
      <text>
        <r>
          <rPr>
            <b/>
            <sz val="10"/>
            <color rgb="FF000000"/>
            <rFont val="Tahoma"/>
            <family val="2"/>
          </rPr>
          <t>Microsoft Office User:</t>
        </r>
        <r>
          <rPr>
            <sz val="10"/>
            <color rgb="FF000000"/>
            <rFont val="Tahoma"/>
            <family val="2"/>
          </rPr>
          <t xml:space="preserve">
</t>
        </r>
        <r>
          <rPr>
            <sz val="10"/>
            <color rgb="FF000000"/>
            <rFont val="Tahoma"/>
            <family val="2"/>
          </rPr>
          <t xml:space="preserve">Grover et al (2019) values for 3/4 taken for afer 1 year
</t>
        </r>
      </text>
    </comment>
    <comment ref="I49" authorId="5" shapeId="0" xr:uid="{240CC355-DAC2-4336-84E6-024E69BBA6DB}">
      <text>
        <t>[Threaded comment]
Your version of Excel allows you to read this threaded comment; however, any edits to it will get removed if the file is opened in a newer version of Excel. Learn more: https://go.microsoft.com/fwlink/?linkid=870924
Comment:
    The formulation for calculating alpha and beta of the gramma distribution are incorrect. Pls revise them accordingly!
Reply:
    Resolved using Briggs et al 2002</t>
      </text>
    </comment>
    <comment ref="H77" authorId="0" shapeId="0" xr:uid="{F425F030-F742-5847-9F3F-B99E2A4ABB41}">
      <text>
        <r>
          <rPr>
            <b/>
            <sz val="10"/>
            <color rgb="FF000000"/>
            <rFont val="Tahoma"/>
            <family val="2"/>
          </rPr>
          <t>Molly Paffett:</t>
        </r>
        <r>
          <rPr>
            <sz val="10"/>
            <color rgb="FF000000"/>
            <rFont val="Tahoma"/>
            <family val="2"/>
          </rPr>
          <t xml:space="preserve">
</t>
        </r>
        <r>
          <rPr>
            <sz val="10"/>
            <color rgb="FF000000"/>
            <rFont val="Tahoma"/>
            <family val="2"/>
          </rPr>
          <t>The SEs are assumed to be equal to the mean value, as SE information was not available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Molly Paffett</author>
    <author>tc={B30B53F4-87C0-4240-B6A3-89A8B24DCCAF}</author>
    <author>tc={E43EDF50-0575-E84A-8C7F-BBC8570D2963}</author>
    <author>tc={3C3737F9-8C9F-914C-9A70-FDBCAC53D2A8}</author>
  </authors>
  <commentList>
    <comment ref="Y3" authorId="0" shapeId="0" xr:uid="{5D92972B-B312-8743-8E02-EA348DD48832}">
      <text>
        <r>
          <rPr>
            <b/>
            <sz val="10"/>
            <color rgb="FF000000"/>
            <rFont val="Tahoma"/>
            <family val="2"/>
          </rPr>
          <t>Molly Paffett:</t>
        </r>
        <r>
          <rPr>
            <sz val="10"/>
            <color rgb="FF000000"/>
            <rFont val="Tahoma"/>
            <family val="2"/>
          </rPr>
          <t xml:space="preserve">
</t>
        </r>
        <r>
          <rPr>
            <b/>
            <sz val="10"/>
            <color rgb="FF000000"/>
            <rFont val="Tahoma"/>
            <family val="34"/>
          </rPr>
          <t>Molly Paffett:</t>
        </r>
        <r>
          <rPr>
            <sz val="10"/>
            <color rgb="FF000000"/>
            <rFont val="Calibri"/>
            <family val="2"/>
          </rPr>
          <t xml:space="preserve">
</t>
        </r>
        <r>
          <rPr>
            <sz val="10"/>
            <color rgb="FF000000"/>
            <rFont val="Tahoma"/>
            <family val="34"/>
          </rPr>
          <t>= Those who had already previously died in other cycles + those who have died in the previous cycle (ie. those who have progressed to the death healthstate from their CKD stage) + those who have died from other causes (ie. due to baseline mortality)</t>
        </r>
        <r>
          <rPr>
            <sz val="10"/>
            <color rgb="FF000000"/>
            <rFont val="Calibri"/>
            <family val="2"/>
          </rPr>
          <t xml:space="preserve">
</t>
        </r>
      </text>
    </comment>
    <comment ref="AF3" authorId="0" shapeId="0" xr:uid="{37CA1320-D8F4-0B41-BDC0-B65665F15DB8}">
      <text>
        <r>
          <rPr>
            <b/>
            <sz val="10"/>
            <color rgb="FF000000"/>
            <rFont val="Tahoma"/>
            <family val="2"/>
          </rPr>
          <t xml:space="preserve">Molly Paffett:
</t>
        </r>
        <r>
          <rPr>
            <sz val="10"/>
            <color rgb="FF000000"/>
            <rFont val="Tahoma"/>
            <family val="2"/>
          </rPr>
          <t xml:space="preserve">Calculated by:
</t>
        </r>
        <r>
          <rPr>
            <sz val="10"/>
            <color rgb="FF000000"/>
            <rFont val="Tahoma"/>
            <family val="2"/>
          </rPr>
          <t>=((current cycle %patients on dialysis-previous cycle %patients on dialysis)*dialysis costs for 1st year)+(previous cycle %patients on dialysis*dialysis costs for afetr 1st year</t>
        </r>
      </text>
    </comment>
    <comment ref="AJ3" authorId="0" shapeId="0" xr:uid="{543A8636-42A8-6845-B798-66ACF9E48D9B}">
      <text>
        <r>
          <rPr>
            <b/>
            <sz val="10"/>
            <color rgb="FF000000"/>
            <rFont val="Tahoma"/>
            <family val="2"/>
          </rPr>
          <t>Molly Paffett:</t>
        </r>
        <r>
          <rPr>
            <sz val="10"/>
            <color rgb="FF000000"/>
            <rFont val="Tahoma"/>
            <family val="2"/>
          </rPr>
          <t xml:space="preserve">
</t>
        </r>
        <r>
          <rPr>
            <sz val="10"/>
            <color rgb="FF000000"/>
            <rFont val="Tahoma"/>
            <family val="2"/>
          </rPr>
          <t xml:space="preserve">Discounted life-years * utlity for CKD stage 3a
</t>
        </r>
      </text>
    </comment>
    <comment ref="A4" authorId="0" shapeId="0" xr:uid="{BFE86C58-F954-9B43-AAFC-1947D3A96884}">
      <text>
        <r>
          <rPr>
            <b/>
            <sz val="10"/>
            <color rgb="FF000000"/>
            <rFont val="Tahoma"/>
            <family val="2"/>
          </rPr>
          <t>Molly Paffett:</t>
        </r>
        <r>
          <rPr>
            <sz val="10"/>
            <color rgb="FF000000"/>
            <rFont val="Tahoma"/>
            <family val="2"/>
          </rPr>
          <t xml:space="preserve">
</t>
        </r>
        <r>
          <rPr>
            <b/>
            <sz val="10"/>
            <color rgb="FF000000"/>
            <rFont val="Tahoma"/>
            <family val="34"/>
          </rPr>
          <t>Molly Paffett:</t>
        </r>
        <r>
          <rPr>
            <sz val="10"/>
            <color rgb="FF000000"/>
            <rFont val="Calibri"/>
            <family val="2"/>
          </rPr>
          <t xml:space="preserve">
</t>
        </r>
        <r>
          <rPr>
            <sz val="10"/>
            <color rgb="FF000000"/>
            <rFont val="Tahoma"/>
            <family val="34"/>
          </rPr>
          <t>In this row under 'proportion of patients in each health state, the number can be adjusted - ie.not all patients have to start in the same stage</t>
        </r>
        <r>
          <rPr>
            <sz val="10"/>
            <color rgb="FF000000"/>
            <rFont val="Calibri"/>
            <family val="2"/>
          </rPr>
          <t xml:space="preserve">
</t>
        </r>
      </text>
    </comment>
    <comment ref="C4" authorId="0" shapeId="0" xr:uid="{6638C083-94AB-E04E-86BB-F847939B3B66}">
      <text>
        <r>
          <rPr>
            <b/>
            <sz val="10"/>
            <color rgb="FF000000"/>
            <rFont val="Tahoma"/>
            <family val="2"/>
          </rPr>
          <t>Molly Paffett:</t>
        </r>
        <r>
          <rPr>
            <sz val="10"/>
            <color rgb="FF000000"/>
            <rFont val="Tahoma"/>
            <family val="2"/>
          </rPr>
          <t xml:space="preserve">
</t>
        </r>
        <r>
          <rPr>
            <b/>
            <sz val="10"/>
            <color rgb="FF000000"/>
            <rFont val="Tahoma"/>
            <family val="34"/>
          </rPr>
          <t>Molly Paffett:</t>
        </r>
        <r>
          <rPr>
            <sz val="10"/>
            <color rgb="FF000000"/>
            <rFont val="Calibri"/>
            <family val="2"/>
          </rPr>
          <t xml:space="preserve">
</t>
        </r>
        <r>
          <rPr>
            <sz val="10"/>
            <color rgb="FF000000"/>
            <rFont val="Tahoma"/>
            <family val="34"/>
          </rPr>
          <t>Changing this cell value will accordingly adust all future cycle ages and the corresponding baseline mortalities</t>
        </r>
        <r>
          <rPr>
            <sz val="10"/>
            <color rgb="FF000000"/>
            <rFont val="Calibri"/>
            <family val="2"/>
          </rPr>
          <t xml:space="preserve">
</t>
        </r>
      </text>
    </comment>
    <comment ref="E4" authorId="1" shapeId="0" xr:uid="{B30B53F4-87C0-4240-B6A3-89A8B24DCCAF}">
      <text>
        <t xml:space="preserve">[Threaded comment]
Your version of Excel allows you to read this threaded comment; however, any edits to it will get removed if the file is opened in a newer version of Excel. Learn more: https://go.microsoft.com/fwlink/?linkid=870924
Comment:
    Pls down load Thailand's 2014 life table here http://www.gear4health.com/material-and-training/tool/detail/14
And then incorporate the baseline mortality in the B column. Please note that you need to consider the age of starting treatment. You may ask the data team to inform the average age of treatment started from ECORT1 and 2 </t>
      </text>
    </comment>
    <comment ref="K5" authorId="2" shapeId="0" xr:uid="{E43EDF50-0575-E84A-8C7F-BBC8570D2963}">
      <text>
        <t>[Threaded comment]
Your version of Excel allows you to read this threaded comment; however, any edits to it will get removed if the file is opened in a newer version of Excel. Learn more: https://go.microsoft.com/fwlink/?linkid=870924
Comment:
    (SUM*(1-baseline mortality)*dirichlet</t>
      </text>
    </comment>
    <comment ref="K103" authorId="3" shapeId="0" xr:uid="{3C3737F9-8C9F-914C-9A70-FDBCAC53D2A8}">
      <text>
        <t>[Threaded comment]
Your version of Excel allows you to read this threaded comment; however, any edits to it will get removed if the file is opened in a newer version of Excel. Learn more: https://go.microsoft.com/fwlink/?linkid=870924
Comment:
    Yot: Pls fix the last row!</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Molly Paffett</author>
    <author>tc={E0A108C1-1826-A34E-A190-D29B75946C1C}</author>
    <author>tc={D2DDB09D-2E68-6340-B1C1-1F4783F74C02}</author>
    <author>tc={A38EBC71-F44A-6F48-BAED-8A2A6FFA99B2}</author>
  </authors>
  <commentList>
    <comment ref="Y3" authorId="0" shapeId="0" xr:uid="{CE734678-B6A2-074F-B62C-D53F7FC241D0}">
      <text>
        <r>
          <rPr>
            <b/>
            <sz val="10"/>
            <color rgb="FF000000"/>
            <rFont val="Tahoma"/>
            <family val="2"/>
          </rPr>
          <t>Molly Paffett:</t>
        </r>
        <r>
          <rPr>
            <sz val="10"/>
            <color rgb="FF000000"/>
            <rFont val="Tahoma"/>
            <family val="2"/>
          </rPr>
          <t xml:space="preserve">
</t>
        </r>
        <r>
          <rPr>
            <sz val="10"/>
            <color rgb="FF000000"/>
            <rFont val="Tahoma"/>
            <family val="2"/>
          </rPr>
          <t>= Those who had already previously died in other cycles + those who have died in the previous cycle (ie. those who have progressed to the death healthstate from their CKD stage) + those who have died from other causes (ie. due to baseline mortality)</t>
        </r>
      </text>
    </comment>
    <comment ref="AF3" authorId="0" shapeId="0" xr:uid="{6FB5E842-5441-D641-AFEB-D357984DB2D7}">
      <text>
        <r>
          <rPr>
            <b/>
            <sz val="10"/>
            <color rgb="FF000000"/>
            <rFont val="Tahoma"/>
            <family val="2"/>
          </rPr>
          <t xml:space="preserve">Molly Paffett:
</t>
        </r>
        <r>
          <rPr>
            <sz val="10"/>
            <color rgb="FF000000"/>
            <rFont val="Tahoma"/>
            <family val="2"/>
          </rPr>
          <t xml:space="preserve">Calculated by:
</t>
        </r>
        <r>
          <rPr>
            <sz val="10"/>
            <color rgb="FF000000"/>
            <rFont val="Tahoma"/>
            <family val="2"/>
          </rPr>
          <t xml:space="preserve">=((current cycle %patients on dialysis-previous cycle %patients on dialysis)*dialysis costs for 1st year)+(previous cycle %patients on dialysis*dialysis costs for afetr 1st year
</t>
        </r>
        <r>
          <rPr>
            <sz val="10"/>
            <color rgb="FF000000"/>
            <rFont val="Tahoma"/>
            <family val="2"/>
          </rPr>
          <t xml:space="preserve">
</t>
        </r>
        <r>
          <rPr>
            <b/>
            <sz val="10"/>
            <color rgb="FF000000"/>
            <rFont val="Tahoma"/>
            <family val="2"/>
          </rPr>
          <t>Assumes that do not recieve ICP anymore</t>
        </r>
      </text>
    </comment>
    <comment ref="AJ3" authorId="0" shapeId="0" xr:uid="{8212B55C-6986-784B-AE4C-03D81BB0CE71}">
      <text>
        <r>
          <rPr>
            <b/>
            <sz val="10"/>
            <color rgb="FF000000"/>
            <rFont val="Tahoma"/>
            <family val="2"/>
          </rPr>
          <t>Molly Paffett:</t>
        </r>
        <r>
          <rPr>
            <sz val="10"/>
            <color rgb="FF000000"/>
            <rFont val="Tahoma"/>
            <family val="2"/>
          </rPr>
          <t xml:space="preserve">
</t>
        </r>
        <r>
          <rPr>
            <sz val="10"/>
            <color rgb="FF000000"/>
            <rFont val="Tahoma"/>
            <family val="2"/>
          </rPr>
          <t xml:space="preserve">Discounted life-years * utlity for CKD stage 3a
</t>
        </r>
      </text>
    </comment>
    <comment ref="A4" authorId="0" shapeId="0" xr:uid="{D0A831DC-9295-FD46-BBE2-E68B76CDC44E}">
      <text>
        <r>
          <rPr>
            <b/>
            <sz val="10"/>
            <color rgb="FF000000"/>
            <rFont val="Tahoma"/>
            <family val="2"/>
          </rPr>
          <t>Molly Paffett:</t>
        </r>
        <r>
          <rPr>
            <sz val="10"/>
            <color rgb="FF000000"/>
            <rFont val="Tahoma"/>
            <family val="2"/>
          </rPr>
          <t xml:space="preserve">
</t>
        </r>
        <r>
          <rPr>
            <sz val="10"/>
            <color rgb="FF000000"/>
            <rFont val="Tahoma"/>
            <family val="2"/>
          </rPr>
          <t>In this row under 'proportion of patients in each health state, the number can be adjusted - ie.not all patients have to start in the same stage</t>
        </r>
      </text>
    </comment>
    <comment ref="C4" authorId="0" shapeId="0" xr:uid="{19DCF106-4905-244F-9E89-CB4779601EAC}">
      <text>
        <r>
          <rPr>
            <b/>
            <sz val="10"/>
            <color rgb="FF000000"/>
            <rFont val="Tahoma"/>
            <family val="2"/>
          </rPr>
          <t>Molly Paffett:</t>
        </r>
        <r>
          <rPr>
            <sz val="10"/>
            <color rgb="FF000000"/>
            <rFont val="Tahoma"/>
            <family val="2"/>
          </rPr>
          <t xml:space="preserve">
</t>
        </r>
        <r>
          <rPr>
            <sz val="10"/>
            <color rgb="FF000000"/>
            <rFont val="Tahoma"/>
            <family val="2"/>
          </rPr>
          <t>Changing this cell value will accordingly adust all future cycle ages and the corresponding baseline mortalities</t>
        </r>
      </text>
    </comment>
    <comment ref="E4" authorId="1" shapeId="0" xr:uid="{E0A108C1-1826-A34E-A190-D29B75946C1C}">
      <text>
        <t xml:space="preserve">[Threaded comment]
Your version of Excel allows you to read this threaded comment; however, any edits to it will get removed if the file is opened in a newer version of Excel. Learn more: https://go.microsoft.com/fwlink/?linkid=870924
Comment:
    Pls down load Thailand's 2014 life table here http://www.gear4health.com/material-and-training/tool/detail/14
And then incorporate the baseline mortality in the B column. Please note that you need to consider the age of starting treatment. You may ask the data team to inform the average age of treatment started from ECORT1 and 2 </t>
      </text>
    </comment>
    <comment ref="AB4" authorId="0" shapeId="0" xr:uid="{7243B114-EEDE-E243-A0EF-19D72F2AB92B}">
      <text>
        <r>
          <rPr>
            <b/>
            <sz val="10"/>
            <color rgb="FF000000"/>
            <rFont val="Tahoma"/>
            <family val="2"/>
          </rPr>
          <t>Molly Paffett:</t>
        </r>
        <r>
          <rPr>
            <sz val="10"/>
            <color rgb="FF000000"/>
            <rFont val="Tahoma"/>
            <family val="2"/>
          </rPr>
          <t xml:space="preserve">
</t>
        </r>
        <r>
          <rPr>
            <sz val="10"/>
            <color rgb="FF000000"/>
            <rFont val="Tahoma"/>
            <family val="2"/>
          </rPr>
          <t>The costs of the treatment intervention have been applied to the highlighted cells (ie. the first 3 years as per the research proposal)</t>
        </r>
      </text>
    </comment>
    <comment ref="K5" authorId="2" shapeId="0" xr:uid="{D2DDB09D-2E68-6340-B1C1-1F4783F74C02}">
      <text>
        <t>[Threaded comment]
Your version of Excel allows you to read this threaded comment; however, any edits to it will get removed if the file is opened in a newer version of Excel. Learn more: https://go.microsoft.com/fwlink/?linkid=870924
Comment:
    (SUM*(1-baseline mortality)*dirichlet</t>
      </text>
    </comment>
    <comment ref="K103" authorId="3" shapeId="0" xr:uid="{A38EBC71-F44A-6F48-BAED-8A2A6FFA99B2}">
      <text>
        <t>[Threaded comment]
Your version of Excel allows you to read this threaded comment; however, any edits to it will get removed if the file is opened in a newer version of Excel. Learn more: https://go.microsoft.com/fwlink/?linkid=870924
Comment:
    Yot: You need to check whether these negative figures are resulted from the use of norminv in dirichlet worksheet or not. If not, then you may need to understand why these happened and fix the problems.
Reply:
    Have now corrected the use of NORMINV to GAMMAINV in the Dirichelt worksheet but the numbers have remained negative
Reply:
    Realised the bottom row was referencing a different spreadsheet - now resolved and no longer negative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Molly Paffett</author>
    <author>tc={B565E06E-6DD5-EC48-A608-5048CE4124F2}</author>
  </authors>
  <commentList>
    <comment ref="BF5" authorId="0" shapeId="0" xr:uid="{1AF53F4E-016F-6049-93D9-921C10064C98}">
      <text>
        <r>
          <rPr>
            <b/>
            <sz val="10"/>
            <color rgb="FF000000"/>
            <rFont val="Tahoma"/>
            <family val="2"/>
          </rPr>
          <t>Molly Paffett:</t>
        </r>
        <r>
          <rPr>
            <sz val="10"/>
            <color rgb="FF000000"/>
            <rFont val="Tahoma"/>
            <family val="2"/>
          </rPr>
          <t xml:space="preserve">
</t>
        </r>
        <r>
          <rPr>
            <sz val="10"/>
            <color rgb="FF000000"/>
            <rFont val="Tahoma"/>
            <family val="2"/>
          </rPr>
          <t>Have to make sure change row numbers when conducting parital EPVI</t>
        </r>
      </text>
    </comment>
    <comment ref="BF7" authorId="1" shapeId="0" xr:uid="{B565E06E-6DD5-EC48-A608-5048CE4124F2}">
      <text>
        <t>[Threaded comment]
Your version of Excel allows you to read this threaded comment; however, any edits to it will get removed if the file is opened in a newer version of Excel. Learn more: https://go.microsoft.com/fwlink/?linkid=870924
Comment:
    Is there a way in VBA to check that these cells do not return an error, and to repeat the copy/paste process of row 5 into the respective row until they do not?
Reply:
    Namely the #DIV/0! Error
Reply:
    RESOLVED within the code, but is this okay or cheating as never allows for the possibility of the transitional probs to be equal to 0?</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Molly Paffett</author>
  </authors>
  <commentList>
    <comment ref="B8" authorId="0" shapeId="0" xr:uid="{AE2F8A96-44B3-7141-AD69-7EDCEF26C152}">
      <text>
        <r>
          <rPr>
            <b/>
            <sz val="10"/>
            <color rgb="FF000000"/>
            <rFont val="Tahoma"/>
            <family val="2"/>
          </rPr>
          <t>Molly Paffett:</t>
        </r>
        <r>
          <rPr>
            <sz val="10"/>
            <color rgb="FF000000"/>
            <rFont val="Tahoma"/>
            <family val="2"/>
          </rPr>
          <t xml:space="preserve">
</t>
        </r>
        <r>
          <rPr>
            <sz val="10"/>
            <color rgb="FF000000"/>
            <rFont val="Tahoma"/>
            <family val="2"/>
          </rPr>
          <t>Assuming 100% of UCS patients can access</t>
        </r>
      </text>
    </comment>
    <comment ref="B22" authorId="0" shapeId="0" xr:uid="{D944687C-C2C0-9540-9049-9EBEDCBB2861}">
      <text>
        <r>
          <rPr>
            <b/>
            <sz val="10"/>
            <color rgb="FF000000"/>
            <rFont val="Tahoma"/>
            <family val="2"/>
          </rPr>
          <t>Molly Paffett:</t>
        </r>
        <r>
          <rPr>
            <sz val="10"/>
            <color rgb="FF000000"/>
            <rFont val="Tahoma"/>
            <family val="2"/>
          </rPr>
          <t xml:space="preserve">
</t>
        </r>
        <r>
          <rPr>
            <sz val="10"/>
            <color rgb="FF000000"/>
            <rFont val="Tahoma"/>
            <family val="2"/>
          </rPr>
          <t>Assume that 50% of those in 3 are in 3a and 50% are in 3b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Molly Paffett</author>
  </authors>
  <commentList>
    <comment ref="B13" authorId="0" shapeId="0" xr:uid="{02A56FAE-86D6-1B41-8C22-799A473A107E}">
      <text>
        <r>
          <rPr>
            <b/>
            <sz val="10"/>
            <color rgb="FF000000"/>
            <rFont val="Tahoma"/>
            <family val="2"/>
          </rPr>
          <t>Molly Paffett:</t>
        </r>
        <r>
          <rPr>
            <sz val="10"/>
            <color rgb="FF000000"/>
            <rFont val="Tahoma"/>
            <family val="2"/>
          </rPr>
          <t xml:space="preserve">
</t>
        </r>
        <r>
          <rPr>
            <sz val="10"/>
            <color rgb="FF000000"/>
            <rFont val="Tahoma"/>
            <family val="2"/>
          </rPr>
          <t>Assuming 100% of UCS patients can access</t>
        </r>
      </text>
    </comment>
    <comment ref="B32" authorId="0" shapeId="0" xr:uid="{0A86F47E-C28B-6148-8770-A4F1BED26350}">
      <text>
        <r>
          <rPr>
            <b/>
            <sz val="10"/>
            <color rgb="FF000000"/>
            <rFont val="Tahoma"/>
            <family val="2"/>
          </rPr>
          <t>Molly Paffett:</t>
        </r>
        <r>
          <rPr>
            <sz val="10"/>
            <color rgb="FF000000"/>
            <rFont val="Tahoma"/>
            <family val="2"/>
          </rPr>
          <t xml:space="preserve">
</t>
        </r>
        <r>
          <rPr>
            <sz val="10"/>
            <color rgb="FF000000"/>
            <rFont val="Tahoma"/>
            <family val="2"/>
          </rPr>
          <t>Assume that 50% of those in 3 are in 3a and 50% are in 3b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<sst xmlns="http://schemas.openxmlformats.org/spreadsheetml/2006/main" count="1315" uniqueCount="523">
  <si>
    <t>Conventional Treatment</t>
  </si>
  <si>
    <t>Observed stage counts</t>
  </si>
  <si>
    <t>3a</t>
  </si>
  <si>
    <t>3b</t>
  </si>
  <si>
    <t>Diaysis</t>
  </si>
  <si>
    <t>Death</t>
  </si>
  <si>
    <t>Totals</t>
  </si>
  <si>
    <t>Dialysis</t>
  </si>
  <si>
    <t>Transitional probability matrix: Conventional treatment</t>
  </si>
  <si>
    <t>Probabalistic/Deterministic</t>
  </si>
  <si>
    <t>Name</t>
  </si>
  <si>
    <t>Value</t>
  </si>
  <si>
    <t>Parameter description</t>
  </si>
  <si>
    <t>Reference</t>
  </si>
  <si>
    <t>Distribution</t>
  </si>
  <si>
    <t>Probabilistic (using Dirichlet distribution)</t>
  </si>
  <si>
    <t>Mean</t>
  </si>
  <si>
    <t>SE</t>
  </si>
  <si>
    <t>Alpha</t>
  </si>
  <si>
    <t>Beta</t>
  </si>
  <si>
    <t>Discounting rates (%)</t>
  </si>
  <si>
    <t>cDC</t>
  </si>
  <si>
    <t>Discounting rate for costs</t>
  </si>
  <si>
    <t>-</t>
  </si>
  <si>
    <t>cDO</t>
  </si>
  <si>
    <t>Discounting rate for outcomes</t>
  </si>
  <si>
    <t>p3a/3a</t>
  </si>
  <si>
    <t>Probability of remaining in CKD stage 3a for 1 year</t>
  </si>
  <si>
    <t>ESCORT1 and ESCORT2</t>
  </si>
  <si>
    <t>p3a/3b</t>
  </si>
  <si>
    <t>Probabiity of moving from CKD stage 3a to CKD stage 3b in a year</t>
  </si>
  <si>
    <t>p3a/Death</t>
  </si>
  <si>
    <t>Probabiity dying when in CKD stage 3a for 1 year</t>
  </si>
  <si>
    <t>p3b/3b</t>
  </si>
  <si>
    <t>Probability of remaining in CKD stage 3b for 1 year</t>
  </si>
  <si>
    <t>p3b/4</t>
  </si>
  <si>
    <t>Probabiity of moving from CKD stage 3b to CKD stage 4 in a year</t>
  </si>
  <si>
    <t>p3b/Death</t>
  </si>
  <si>
    <t>Probabiity dying when in CKD stage 3b for 1 year</t>
  </si>
  <si>
    <t>p4/4</t>
  </si>
  <si>
    <t>Probability of remaining in CKD stage 4 for 1 year</t>
  </si>
  <si>
    <t>p4/5</t>
  </si>
  <si>
    <t>Probabiity of moving from CKD stage 4 to CKD stage 5 in a year</t>
  </si>
  <si>
    <t>p4/Death</t>
  </si>
  <si>
    <t>Probabiity dying when in CKD stage 4 for a year</t>
  </si>
  <si>
    <t>p5/5</t>
  </si>
  <si>
    <t>Probability of remaining in CKD stage 5 for a year</t>
  </si>
  <si>
    <t>p5/Dialysis</t>
  </si>
  <si>
    <t>Probabiity of having dialysis when in CKD stage 5 in a year</t>
  </si>
  <si>
    <t>p5/Death</t>
  </si>
  <si>
    <t>Probabiity of dying when in CKD stage 5 without dialysis for a year</t>
  </si>
  <si>
    <t>pDialysis/Dialysis</t>
  </si>
  <si>
    <t>Probability of remaining on dialysis when in CKD stage 5 for a year</t>
  </si>
  <si>
    <t>pDialysis/Death</t>
  </si>
  <si>
    <t>Probabiity of dying when having dialysis when in CKD stage 5 for a year</t>
  </si>
  <si>
    <t>RR3a</t>
  </si>
  <si>
    <t>The relative risk of moving from CKD stage 3a to 3b under the ICP</t>
  </si>
  <si>
    <t>RR3b</t>
  </si>
  <si>
    <t>The relative risk of moving from CKD stage 3b to 4 under the ICP</t>
  </si>
  <si>
    <t>RR4</t>
  </si>
  <si>
    <t>The relative risk of moving from CKD stage 4 to 5 under the ICP</t>
  </si>
  <si>
    <t>RR5</t>
  </si>
  <si>
    <t>The relative risk of moving from CKD stage 5 to Dialysis under the ICP</t>
  </si>
  <si>
    <t>Probability of remaining in CKD stage 3a for 1 year when receiving the ICP</t>
  </si>
  <si>
    <t>Probabiity of moving from CKD stage 3a to CKD stage 3b in a year when receiving the ICP</t>
  </si>
  <si>
    <t>Probabiity dying when in CKD stage 3a for 1 year when receiving the ICP</t>
  </si>
  <si>
    <t>Probability of remaining in CKD stage 3b for 1 year when receiving the ICP</t>
  </si>
  <si>
    <t>Probabiity of moving from CKD stage 3b to CKD stage 4 in a year when receiving the ICP</t>
  </si>
  <si>
    <t>Probabiity dying when in CKD stage 3b for 1 year when receiving the ICP</t>
  </si>
  <si>
    <t>Probability of remaining in CKD stage 4 for 1 year when receiving the ICP</t>
  </si>
  <si>
    <t>Probabiity of moving from CKD stage 4 to CKD stage 5 in a year when receiving the ICP</t>
  </si>
  <si>
    <t>Probabiity dying when in CKD stage 4 for a year when receiving the ICP</t>
  </si>
  <si>
    <t>Probability of remaining in CKD stage 5 for a year when receiving the ICP</t>
  </si>
  <si>
    <t>Probabiity of having dialysis when in CKD stage 5 in a year when receiving the ICP</t>
  </si>
  <si>
    <t>Probabiity of dying when in CKD stage 5 without dialysis for a year when receiving the ICP</t>
  </si>
  <si>
    <t>Probability of remaining on dialysis when in CKD stage 5 for a year when receiving the ICP</t>
  </si>
  <si>
    <t>Probabiity of dying when having dialysis when in CKD stage 5 for a year when receiving the ICP</t>
  </si>
  <si>
    <t>Medical costs (THB)</t>
  </si>
  <si>
    <t>cM3a</t>
  </si>
  <si>
    <t>Gamma</t>
  </si>
  <si>
    <t>cM3b</t>
  </si>
  <si>
    <t>cM4</t>
  </si>
  <si>
    <t>cM5</t>
  </si>
  <si>
    <t>cMDialysis0</t>
  </si>
  <si>
    <t>cMDialysis1</t>
  </si>
  <si>
    <t>Non-medical costs (THB)</t>
  </si>
  <si>
    <t>cNM3a</t>
  </si>
  <si>
    <t>cNM3b</t>
  </si>
  <si>
    <t>cNM4</t>
  </si>
  <si>
    <t>cNM5</t>
  </si>
  <si>
    <t>cNMDialysis</t>
  </si>
  <si>
    <t>ICP costs</t>
  </si>
  <si>
    <t>cMDCT</t>
  </si>
  <si>
    <t>Conventional treatment</t>
  </si>
  <si>
    <t>u3aCT</t>
  </si>
  <si>
    <t>u3bCT</t>
  </si>
  <si>
    <t>u4CT</t>
  </si>
  <si>
    <t>u5CT</t>
  </si>
  <si>
    <t>uDialysisCT</t>
  </si>
  <si>
    <t>u3aMDCT</t>
  </si>
  <si>
    <t>u3bMDCT</t>
  </si>
  <si>
    <t>u4MDCT</t>
  </si>
  <si>
    <t>u5MDCT</t>
  </si>
  <si>
    <t>uDialysisMDCT</t>
  </si>
  <si>
    <t>TH</t>
  </si>
  <si>
    <t>ตารางชีพย่อ ชาย พ.ศ. 2557</t>
  </si>
  <si>
    <t>ตารางชีพย่อ หญิง พ.ศ. 2557</t>
  </si>
  <si>
    <t>ตารางชีพย่อ รวมเพศ พ.ศ. 2557</t>
  </si>
  <si>
    <t>Age interval</t>
  </si>
  <si>
    <t>n</t>
  </si>
  <si>
    <r>
      <rPr>
        <b/>
        <vertAlign val="subscript"/>
        <sz val="10"/>
        <color indexed="8"/>
        <rFont val="Arial"/>
        <family val="2"/>
      </rPr>
      <t>n</t>
    </r>
    <r>
      <rPr>
        <b/>
        <sz val="10"/>
        <color indexed="8"/>
        <rFont val="Arial"/>
        <family val="2"/>
      </rPr>
      <t>P</t>
    </r>
    <r>
      <rPr>
        <b/>
        <vertAlign val="subscript"/>
        <sz val="10"/>
        <color indexed="8"/>
        <rFont val="Arial"/>
        <family val="2"/>
      </rPr>
      <t>x</t>
    </r>
  </si>
  <si>
    <r>
      <rPr>
        <b/>
        <vertAlign val="subscript"/>
        <sz val="10"/>
        <color indexed="8"/>
        <rFont val="Arial"/>
        <family val="2"/>
      </rPr>
      <t>n</t>
    </r>
    <r>
      <rPr>
        <b/>
        <sz val="10"/>
        <color indexed="8"/>
        <rFont val="Arial"/>
        <family val="2"/>
      </rPr>
      <t>D</t>
    </r>
    <r>
      <rPr>
        <b/>
        <vertAlign val="subscript"/>
        <sz val="10"/>
        <color indexed="8"/>
        <rFont val="Arial"/>
        <family val="2"/>
      </rPr>
      <t>x</t>
    </r>
  </si>
  <si>
    <r>
      <rPr>
        <b/>
        <vertAlign val="subscript"/>
        <sz val="10"/>
        <color indexed="8"/>
        <rFont val="Arial"/>
        <family val="2"/>
      </rPr>
      <t>n</t>
    </r>
    <r>
      <rPr>
        <b/>
        <sz val="10"/>
        <color indexed="8"/>
        <rFont val="Arial"/>
        <family val="2"/>
      </rPr>
      <t>M</t>
    </r>
    <r>
      <rPr>
        <b/>
        <vertAlign val="subscript"/>
        <sz val="10"/>
        <color indexed="8"/>
        <rFont val="Arial"/>
        <family val="2"/>
      </rPr>
      <t>x</t>
    </r>
  </si>
  <si>
    <t>a</t>
  </si>
  <si>
    <r>
      <rPr>
        <b/>
        <vertAlign val="subscript"/>
        <sz val="10"/>
        <color indexed="8"/>
        <rFont val="Arial"/>
        <family val="2"/>
      </rPr>
      <t>n</t>
    </r>
    <r>
      <rPr>
        <b/>
        <sz val="10"/>
        <color indexed="8"/>
        <rFont val="Arial"/>
        <family val="2"/>
      </rPr>
      <t>q</t>
    </r>
    <r>
      <rPr>
        <b/>
        <vertAlign val="subscript"/>
        <sz val="10"/>
        <color indexed="8"/>
        <rFont val="Arial"/>
        <family val="2"/>
      </rPr>
      <t>x</t>
    </r>
  </si>
  <si>
    <r>
      <rPr>
        <b/>
        <vertAlign val="subscript"/>
        <sz val="10"/>
        <color indexed="8"/>
        <rFont val="Arial"/>
        <family val="2"/>
      </rPr>
      <t>n</t>
    </r>
    <r>
      <rPr>
        <b/>
        <sz val="10"/>
        <color indexed="8"/>
        <rFont val="Arial"/>
        <family val="2"/>
      </rPr>
      <t>p</t>
    </r>
    <r>
      <rPr>
        <b/>
        <vertAlign val="subscript"/>
        <sz val="10"/>
        <color indexed="8"/>
        <rFont val="Arial"/>
        <family val="2"/>
      </rPr>
      <t>x</t>
    </r>
  </si>
  <si>
    <r>
      <t>l</t>
    </r>
    <r>
      <rPr>
        <b/>
        <vertAlign val="subscript"/>
        <sz val="10"/>
        <color indexed="8"/>
        <rFont val="Arial"/>
        <family val="2"/>
      </rPr>
      <t>x</t>
    </r>
  </si>
  <si>
    <r>
      <rPr>
        <b/>
        <vertAlign val="subscript"/>
        <sz val="10"/>
        <color indexed="8"/>
        <rFont val="Arial"/>
        <family val="2"/>
      </rPr>
      <t>n</t>
    </r>
    <r>
      <rPr>
        <b/>
        <sz val="10"/>
        <color indexed="8"/>
        <rFont val="Arial"/>
        <family val="2"/>
      </rPr>
      <t>d</t>
    </r>
    <r>
      <rPr>
        <b/>
        <vertAlign val="subscript"/>
        <sz val="10"/>
        <color indexed="8"/>
        <rFont val="Arial"/>
        <family val="2"/>
      </rPr>
      <t>x</t>
    </r>
  </si>
  <si>
    <r>
      <rPr>
        <b/>
        <vertAlign val="subscript"/>
        <sz val="10"/>
        <color indexed="8"/>
        <rFont val="Arial"/>
        <family val="2"/>
      </rPr>
      <t>n</t>
    </r>
    <r>
      <rPr>
        <b/>
        <sz val="10"/>
        <color indexed="8"/>
        <rFont val="Arial"/>
        <family val="2"/>
      </rPr>
      <t>L</t>
    </r>
    <r>
      <rPr>
        <b/>
        <vertAlign val="subscript"/>
        <sz val="10"/>
        <color indexed="8"/>
        <rFont val="Arial"/>
        <family val="2"/>
      </rPr>
      <t>x</t>
    </r>
  </si>
  <si>
    <r>
      <t>T</t>
    </r>
    <r>
      <rPr>
        <b/>
        <vertAlign val="subscript"/>
        <sz val="10"/>
        <color indexed="8"/>
        <rFont val="Arial"/>
        <family val="2"/>
      </rPr>
      <t>x</t>
    </r>
  </si>
  <si>
    <r>
      <t>e</t>
    </r>
    <r>
      <rPr>
        <b/>
        <vertAlign val="subscript"/>
        <sz val="10"/>
        <color indexed="8"/>
        <rFont val="Arial"/>
        <family val="2"/>
      </rPr>
      <t>x</t>
    </r>
  </si>
  <si>
    <t>1 - 4</t>
  </si>
  <si>
    <t>1-4</t>
  </si>
  <si>
    <t>5 - 9</t>
  </si>
  <si>
    <t>5-9</t>
  </si>
  <si>
    <t>10 - 14</t>
  </si>
  <si>
    <t>10-14</t>
  </si>
  <si>
    <t>15 - 19</t>
  </si>
  <si>
    <t>15-19</t>
  </si>
  <si>
    <t>20 - 24</t>
  </si>
  <si>
    <t>20-24</t>
  </si>
  <si>
    <t>25 - 29</t>
  </si>
  <si>
    <t>25-29</t>
  </si>
  <si>
    <t>30 - 34</t>
  </si>
  <si>
    <t>30-34</t>
  </si>
  <si>
    <t>35 - 39</t>
  </si>
  <si>
    <t>35-39</t>
  </si>
  <si>
    <t>40 - 44</t>
  </si>
  <si>
    <t>40-44</t>
  </si>
  <si>
    <t xml:space="preserve"> 45 - 49</t>
  </si>
  <si>
    <t>45-49</t>
  </si>
  <si>
    <t xml:space="preserve"> 50 - 54</t>
  </si>
  <si>
    <t>50-54</t>
  </si>
  <si>
    <t>55 - 59</t>
  </si>
  <si>
    <t>55-59</t>
  </si>
  <si>
    <t>60 - 64</t>
  </si>
  <si>
    <t>60-64</t>
  </si>
  <si>
    <t>65 - 69</t>
  </si>
  <si>
    <t>65-69</t>
  </si>
  <si>
    <t>70 - 74</t>
  </si>
  <si>
    <t>70-74</t>
  </si>
  <si>
    <t>75 - 79</t>
  </si>
  <si>
    <t>75-79</t>
  </si>
  <si>
    <t>80 - 84</t>
  </si>
  <si>
    <t>80-84</t>
  </si>
  <si>
    <t>85+</t>
  </si>
  <si>
    <t>Total</t>
  </si>
  <si>
    <t>Proportion of patients in each health state</t>
  </si>
  <si>
    <t>Discounted costs per cycle per health state</t>
  </si>
  <si>
    <t>Discounted QALYs per cycle per health state</t>
  </si>
  <si>
    <t>Cycle (year)</t>
  </si>
  <si>
    <t>Age of patient</t>
  </si>
  <si>
    <t>Age group in life-table</t>
  </si>
  <si>
    <t>Baseline mortality 2014</t>
  </si>
  <si>
    <t>3aDeath</t>
  </si>
  <si>
    <t>3a-3b</t>
  </si>
  <si>
    <t>3bDeath</t>
  </si>
  <si>
    <t>3b-4</t>
  </si>
  <si>
    <t>4</t>
  </si>
  <si>
    <t>4Death</t>
  </si>
  <si>
    <t>4-5</t>
  </si>
  <si>
    <t>5</t>
  </si>
  <si>
    <t>5Death</t>
  </si>
  <si>
    <t>5-Dialysis</t>
  </si>
  <si>
    <t>DialysisDeath</t>
  </si>
  <si>
    <t>Accumulative death</t>
  </si>
  <si>
    <t>Check</t>
  </si>
  <si>
    <t>Total per cycle</t>
  </si>
  <si>
    <t>3a life-years</t>
  </si>
  <si>
    <t>3a QALYs</t>
  </si>
  <si>
    <t>3b life-years</t>
  </si>
  <si>
    <t>3b QALYs</t>
  </si>
  <si>
    <t>4 life-years</t>
  </si>
  <si>
    <t>4 QALYs</t>
  </si>
  <si>
    <t>5 life-years</t>
  </si>
  <si>
    <t>5 QALYs</t>
  </si>
  <si>
    <t>Dialysis life-years</t>
  </si>
  <si>
    <t>Dialysis QALYs</t>
  </si>
  <si>
    <t>Total life-years</t>
  </si>
  <si>
    <t>Total QALYs per cycle</t>
  </si>
  <si>
    <t>Total QALYs</t>
  </si>
  <si>
    <t>Total Life-Years</t>
  </si>
  <si>
    <t>Deterministic</t>
  </si>
  <si>
    <t>Probabilistic</t>
  </si>
  <si>
    <t>Threshold</t>
  </si>
  <si>
    <t>Incremental costs</t>
  </si>
  <si>
    <t>Incremental QALYs</t>
  </si>
  <si>
    <t>ICER</t>
  </si>
  <si>
    <t>Stochastic parameters</t>
  </si>
  <si>
    <t>Cost-effectiveness results</t>
  </si>
  <si>
    <t>Cost-effective?</t>
  </si>
  <si>
    <t>Acceptibility curves</t>
  </si>
  <si>
    <t>Effective population</t>
  </si>
  <si>
    <t>Population EVPI by Threshold</t>
  </si>
  <si>
    <t>Trial</t>
  </si>
  <si>
    <t>Transition probabilities</t>
  </si>
  <si>
    <t>Relative risks</t>
  </si>
  <si>
    <t>Health state utilities</t>
  </si>
  <si>
    <t>MDCT treatment</t>
  </si>
  <si>
    <t>Individual EVPI</t>
  </si>
  <si>
    <t>Per annum</t>
  </si>
  <si>
    <t>Population EVPI</t>
  </si>
  <si>
    <t>QALYs</t>
  </si>
  <si>
    <t>Life Years</t>
  </si>
  <si>
    <t>Cost</t>
  </si>
  <si>
    <t>Max NMB</t>
  </si>
  <si>
    <t>NMB Conventional</t>
  </si>
  <si>
    <t>NMB ICP</t>
  </si>
  <si>
    <t>Partial EVPI</t>
  </si>
  <si>
    <t>Year</t>
  </si>
  <si>
    <t>Discounted poulation</t>
  </si>
  <si>
    <t>Partial EVPI Inner Loops Simulation</t>
  </si>
  <si>
    <t>Net monetary benefits</t>
  </si>
  <si>
    <t>Log normal</t>
  </si>
  <si>
    <t>Transitional probability matrix: ICP</t>
  </si>
  <si>
    <t>Relative risk</t>
  </si>
  <si>
    <t>Predicted eGFR</t>
  </si>
  <si>
    <t>Predicted CKD stage</t>
  </si>
  <si>
    <t>ESCORT-1 treatment + ESCORT-2 LMM output</t>
  </si>
  <si>
    <t>Conventional Treatment (ESCORT-1)</t>
  </si>
  <si>
    <t>ICP (ESCORT-1)</t>
  </si>
  <si>
    <t>ICP (ESCORT-1 treatment group + ESCORT-2)</t>
  </si>
  <si>
    <t>Hypothetical Control</t>
  </si>
  <si>
    <t>u3a</t>
  </si>
  <si>
    <t>u3b</t>
  </si>
  <si>
    <t>u4</t>
  </si>
  <si>
    <t>u5</t>
  </si>
  <si>
    <t>uDialysis</t>
  </si>
  <si>
    <t>ESCORT-2</t>
  </si>
  <si>
    <t>ESCORT-1</t>
  </si>
  <si>
    <t>Thai Guidelines for HTA (2014)</t>
  </si>
  <si>
    <t>Conventional Treatment Transitional probabilities (Pr) - see sheet: "Transitional probabilities" (= Hypothetical control)</t>
  </si>
  <si>
    <t>ICP Transitional probabilities (Pr) - see sheet: "Transitional probabilities" (ICP)</t>
  </si>
  <si>
    <t>ESCORT1 control and treat</t>
  </si>
  <si>
    <t>Predicted eGFR control group</t>
  </si>
  <si>
    <t>Predicted eGFR treatment group</t>
  </si>
  <si>
    <t>Srisubat et al (2017)</t>
  </si>
  <si>
    <t>Average additional annual cost of receiving the ICP per patient (ie. additional to the costs of conventional care alone)</t>
  </si>
  <si>
    <t>Total Costs</t>
  </si>
  <si>
    <t>Conventional care</t>
  </si>
  <si>
    <t>ICP</t>
  </si>
  <si>
    <t>Indirect medical costs</t>
  </si>
  <si>
    <t>Direct medical costs</t>
  </si>
  <si>
    <t>Direct non-medical costs</t>
  </si>
  <si>
    <t>Pre-Dialysis (Srisubat et al)</t>
  </si>
  <si>
    <t>Average annual utility weight for an individual with CKD stage 3a</t>
  </si>
  <si>
    <t>Average annual utility weight for an individual with CKD stage 3b</t>
  </si>
  <si>
    <t>Average annual utility weight for an individual with CKD stage 4</t>
  </si>
  <si>
    <t>Average annual utility weight for an individual with CKD stage 5</t>
  </si>
  <si>
    <t>Average annual utility weight for an indivudal on PD</t>
  </si>
  <si>
    <t>Kanjanabuch et al (2020)</t>
  </si>
  <si>
    <t>See cost elements</t>
  </si>
  <si>
    <t>Oppurtunity cost (Indirect non-medical costs)</t>
  </si>
  <si>
    <t>Average annual total medical care costs of a patient in stage 3a receiving conventional care</t>
  </si>
  <si>
    <t>Average annual total medical care costs of a patient in stage 3b receiving conventional care</t>
  </si>
  <si>
    <t>Average annual total medical care costs of a patient in stage 4 receiving conventional care</t>
  </si>
  <si>
    <t>Average annual total medical care costs of a patient in stage 5 receiving conventional care</t>
  </si>
  <si>
    <t>Average annual total medical care costs of a patient on Dialysis in the first year receiving conventional care</t>
  </si>
  <si>
    <t>Average annual total medical care costs of a patient on Dialysis after the first year receiving conventional care</t>
  </si>
  <si>
    <t>Average annual total non-medical care costs of a patient in stage 3a receiving conventional care</t>
  </si>
  <si>
    <t>Average annual total non-medical care costs of a patient in stage 3b receiving conventional care</t>
  </si>
  <si>
    <t>Average annual total non-medical care costs of a patient in stage 4 receiving conventional care</t>
  </si>
  <si>
    <t>Average annual total non-medical care costs of a patient in stage 5 receiving conventional care</t>
  </si>
  <si>
    <t>Average annual total non-medical care costs of a patient on Dialysis receiving conventional care</t>
  </si>
  <si>
    <t>Cycle</t>
  </si>
  <si>
    <t>Russon and Mooney (2010)</t>
  </si>
  <si>
    <t>Relative risk applied</t>
  </si>
  <si>
    <t>Utility for PD without complication</t>
  </si>
  <si>
    <t>Utility for HD without complication</t>
  </si>
  <si>
    <t>Uility for dialysis with complications (PD or HD)</t>
  </si>
  <si>
    <t>Dialysis (PD) (Yot et al)</t>
  </si>
  <si>
    <t>Dialysis (HD) (Yot et al)</t>
  </si>
  <si>
    <t>Direct medical costs of receiving conventional care when not on dialysis</t>
  </si>
  <si>
    <t>The labour costs of provding conventional care to pre-dialysis patients</t>
  </si>
  <si>
    <t>The cost of medical materials to provide conventional care to pre-dialysis patients</t>
  </si>
  <si>
    <t>Direct medical costs of receiving the ICP and conventional care</t>
  </si>
  <si>
    <t>The labour costs of provding the ICP and conventional care to pre-dialysis patients</t>
  </si>
  <si>
    <t>The cost of medical materials to providethe ICP and conventional care to pre-dialysis patients</t>
  </si>
  <si>
    <t>cWageCT</t>
  </si>
  <si>
    <t>cMaterialsCT</t>
  </si>
  <si>
    <t>cWageICP</t>
  </si>
  <si>
    <t>cMaterialsICP</t>
  </si>
  <si>
    <t>The indirect medical costs incurred by the hospital when providing conventional care</t>
  </si>
  <si>
    <t>The indirect medical costs incurred by the hospital when providing the ICP and conventional care</t>
  </si>
  <si>
    <t>cIndirectMCT</t>
  </si>
  <si>
    <t>cIndirectMICP</t>
  </si>
  <si>
    <t>The direct non-medical cost for patients when receiving conventional care</t>
  </si>
  <si>
    <t>cDirectNMCT</t>
  </si>
  <si>
    <t>cDirectNMICP</t>
  </si>
  <si>
    <t>Relative risks (RR) - see sheet: "Relative risk (ESCORT-1)"</t>
  </si>
  <si>
    <t>Utilities (EQ-5D-5L)</t>
  </si>
  <si>
    <t>Costs (THB)</t>
  </si>
  <si>
    <t>cIndirectNMCT</t>
  </si>
  <si>
    <t>cIndirectNMICP</t>
  </si>
  <si>
    <t>The indirect non medical cost to patients when receiving conventional care</t>
  </si>
  <si>
    <t>The indirect non medical cost to patients when receiving the ICP and conventional care</t>
  </si>
  <si>
    <t>The set-up costs for PD</t>
  </si>
  <si>
    <t>The annual maintenance costs for PD</t>
  </si>
  <si>
    <t>The annual direct non-healthcare costs incurred per household with PD</t>
  </si>
  <si>
    <t>The annual indirect non-healthcare costs incurred per household with PD</t>
  </si>
  <si>
    <t>The monthly cost of treating PD complications</t>
  </si>
  <si>
    <t>The annual rate of experiencing PD complications</t>
  </si>
  <si>
    <t>The set-up costs for HD</t>
  </si>
  <si>
    <t>The annual maintenance costs for HD</t>
  </si>
  <si>
    <t>The annual direct non-healthcare costs incurred per household with HD</t>
  </si>
  <si>
    <t>The annual indirect non-healthcare costs incurred per househodl with HD</t>
  </si>
  <si>
    <t>The monthly cost of treating HD complications</t>
  </si>
  <si>
    <t>The annual rate of experiencing HD complications</t>
  </si>
  <si>
    <t>cSetupPD</t>
  </si>
  <si>
    <t>cMainPD</t>
  </si>
  <si>
    <t>cDirectNMPD</t>
  </si>
  <si>
    <t>cindirectNMPD</t>
  </si>
  <si>
    <t>rPDComp</t>
  </si>
  <si>
    <t>cSetupHD</t>
  </si>
  <si>
    <t>cMainHD</t>
  </si>
  <si>
    <t>cDirectNMHD</t>
  </si>
  <si>
    <t>cIndirectNMHD</t>
  </si>
  <si>
    <t>cMonCompHD</t>
  </si>
  <si>
    <t>cMonCompPD</t>
  </si>
  <si>
    <t>rHDComp</t>
  </si>
  <si>
    <t>Teerawattananon et al (2007)</t>
  </si>
  <si>
    <t>See utility elements</t>
  </si>
  <si>
    <t>cons</t>
  </si>
  <si>
    <t>Constant in survival analysis for baseline hazard</t>
  </si>
  <si>
    <t>ageC</t>
  </si>
  <si>
    <t>Age coefficient in survival analysis for baseline hazard</t>
  </si>
  <si>
    <t>lambda</t>
  </si>
  <si>
    <t>Lambda parameter survival analysis (depends on chosen mix of above coefficients)</t>
  </si>
  <si>
    <t>gamma</t>
  </si>
  <si>
    <t>Ancilliary parameter in Weibull distribution</t>
  </si>
  <si>
    <t>Utility elements (Dialysis) (Teerawattananon et al)</t>
  </si>
  <si>
    <t>Days</t>
  </si>
  <si>
    <t>H(Days</t>
  </si>
  <si>
    <t>Death risk (Dialysis)</t>
  </si>
  <si>
    <t>=1 - P5/Dialysis - P5/Death</t>
  </si>
  <si>
    <t>Dialysis survival (Taken from Teerawattananon et al)</t>
  </si>
  <si>
    <t>The  direct non-medical cost for patients when receiving the ICP and conventional care</t>
  </si>
  <si>
    <t>Analysis based on Thailand Registry of Renal Replacement Therapy</t>
  </si>
  <si>
    <t>use datawk, clear</t>
  </si>
  <si>
    <t>stset days, failure(dead=1)</t>
  </si>
  <si>
    <t xml:space="preserve"> streg age, dist(weibull) nohr</t>
  </si>
  <si>
    <t xml:space="preserve">         failure _d:  dead == 1</t>
  </si>
  <si>
    <t xml:space="preserve">   analysis time _t:  days</t>
  </si>
  <si>
    <t>Fitting constant-only model:</t>
  </si>
  <si>
    <t>Iteration 0:   log likelihood = -3614.2597</t>
  </si>
  <si>
    <t>Iteration 1:   log likelihood = -3613.9194</t>
  </si>
  <si>
    <t>Iteration 2:   log likelihood = -3613.9194</t>
  </si>
  <si>
    <t>Fitting full model:</t>
  </si>
  <si>
    <t xml:space="preserve">Iteration 0:   log likelihood = -3613.9194  </t>
  </si>
  <si>
    <t xml:space="preserve">Iteration 1:   log likelihood = -3481.6738  </t>
  </si>
  <si>
    <t xml:space="preserve">Iteration 2:   log likelihood = -3472.6092  </t>
  </si>
  <si>
    <t xml:space="preserve">Iteration 3:   log likelihood = -3472.5831  </t>
  </si>
  <si>
    <t xml:space="preserve">Iteration 4:   log likelihood = -3472.5831  </t>
  </si>
  <si>
    <t xml:space="preserve">Weibull regression -- log relative-hazard form </t>
  </si>
  <si>
    <t>No. of subjects =         6272                     Number of obs   =      6272</t>
  </si>
  <si>
    <t>No. of failures =         1075</t>
  </si>
  <si>
    <t>Time at risk    =      7017568</t>
  </si>
  <si>
    <t xml:space="preserve">                                                   LR chi2(1)      =    282.67</t>
  </si>
  <si>
    <t>Log likelihood  =   -3472.5831                     Prob &gt; chi2     =    0.0000</t>
  </si>
  <si>
    <t>_t</t>
  </si>
  <si>
    <t>Coef.</t>
  </si>
  <si>
    <t>Std. Err.</t>
  </si>
  <si>
    <t>z</t>
  </si>
  <si>
    <t>P&gt;z</t>
  </si>
  <si>
    <t>[95% Conf.</t>
  </si>
  <si>
    <t>Interval]</t>
  </si>
  <si>
    <t>age</t>
  </si>
  <si>
    <t>_cons</t>
  </si>
  <si>
    <t>/ln_p</t>
  </si>
  <si>
    <t>p</t>
  </si>
  <si>
    <t>1/p</t>
  </si>
  <si>
    <t>Modelling the hazard function for treatment failure(death)</t>
  </si>
  <si>
    <t>explanatory variables</t>
  </si>
  <si>
    <t>coefficient</t>
  </si>
  <si>
    <t>se</t>
  </si>
  <si>
    <t>hazard ratio</t>
  </si>
  <si>
    <t>. correlate, _coef cov</t>
  </si>
  <si>
    <t xml:space="preserve">ln_p:    </t>
  </si>
  <si>
    <t>lngamma</t>
  </si>
  <si>
    <t>ln_p</t>
  </si>
  <si>
    <t>Covariance matrix</t>
  </si>
  <si>
    <t>Correlation matrix</t>
  </si>
  <si>
    <t>Cholesky decomposition</t>
  </si>
  <si>
    <t>Random variables</t>
  </si>
  <si>
    <t>Tz</t>
  </si>
  <si>
    <t>mu + Tz</t>
  </si>
  <si>
    <t xml:space="preserve"> </t>
  </si>
  <si>
    <t>Treatment costs</t>
  </si>
  <si>
    <t>NMB (ICP)</t>
  </si>
  <si>
    <t>NMB (Conventional)</t>
  </si>
  <si>
    <t>Starting Age</t>
  </si>
  <si>
    <t>Conventional</t>
  </si>
  <si>
    <t>Health state</t>
  </si>
  <si>
    <t>Total years spent in each health state</t>
  </si>
  <si>
    <t>Total costs per health state</t>
  </si>
  <si>
    <t>95 CI</t>
  </si>
  <si>
    <t>predictive validation</t>
  </si>
  <si>
    <t>Scenario</t>
  </si>
  <si>
    <t>Age</t>
  </si>
  <si>
    <t>CKD stage</t>
  </si>
  <si>
    <t>NMB of intervention group</t>
  </si>
  <si>
    <t>Deterministic sensitvity analysis</t>
  </si>
  <si>
    <t>Target population</t>
  </si>
  <si>
    <t>UCS coverage</t>
  </si>
  <si>
    <t>Accessibility to healthcare services</t>
  </si>
  <si>
    <t>Total Thai population</t>
  </si>
  <si>
    <t>Parameter</t>
  </si>
  <si>
    <t>Prevalence by stage</t>
  </si>
  <si>
    <t>Perspective</t>
  </si>
  <si>
    <t>Proportion of patients in each health state initally</t>
  </si>
  <si>
    <t>Ingsathit et al (2010)</t>
  </si>
  <si>
    <t>Overall</t>
  </si>
  <si>
    <t>Indiviudal cost</t>
  </si>
  <si>
    <t>Total cost</t>
  </si>
  <si>
    <t>Individual cost</t>
  </si>
  <si>
    <t>New patients</t>
  </si>
  <si>
    <t>Total cost per year</t>
  </si>
  <si>
    <t>Budget impact</t>
  </si>
  <si>
    <t>Derived from literatures</t>
  </si>
  <si>
    <t>CPI 2017, 2007</t>
  </si>
  <si>
    <t>CPI 2022</t>
  </si>
  <si>
    <t>Thammatacharee et al (2020)</t>
  </si>
  <si>
    <t>NMB of the control group</t>
  </si>
  <si>
    <t>NMB Intervention</t>
  </si>
  <si>
    <t>One-way analysis</t>
  </si>
  <si>
    <t>NMB control</t>
  </si>
  <si>
    <t>Difference</t>
  </si>
  <si>
    <t>Lower ICER</t>
  </si>
  <si>
    <t>Upper ICER</t>
  </si>
  <si>
    <t>Upper NMB intervention</t>
  </si>
  <si>
    <t>(-) Change from base case</t>
  </si>
  <si>
    <t>(+) Change from base case</t>
  </si>
  <si>
    <t>Lower NMB interevention</t>
  </si>
  <si>
    <t>Lower NMB control</t>
  </si>
  <si>
    <t>Upper NMB control</t>
  </si>
  <si>
    <t>Annual incidence rate</t>
  </si>
  <si>
    <t>https://www.thaipbsworld.com/eating-too-much-sodium-blamed-for-high-rate-of-kidney-disease-in-thailand/#:~:text=About%2017.6%25%20of%20the%20Thai,year%2C%20according%20to%20Professor%20Dr.</t>
  </si>
  <si>
    <t>CKD 3a</t>
  </si>
  <si>
    <t>CKD 3b</t>
  </si>
  <si>
    <t>Disease prevalence (stage 3 only)</t>
  </si>
  <si>
    <t>Year 1</t>
  </si>
  <si>
    <t>Year 2</t>
  </si>
  <si>
    <t>Per new patient</t>
  </si>
  <si>
    <t>Per patient</t>
  </si>
  <si>
    <t>Year 3</t>
  </si>
  <si>
    <t>7800 new patients begin treatment (50:50 CKD stage 3a:3b)</t>
  </si>
  <si>
    <t>Per existing patient (since year 1)</t>
  </si>
  <si>
    <t>Per existing patient (since year 2)</t>
  </si>
  <si>
    <t>Per existing patient (since year 3)</t>
  </si>
  <si>
    <t>Year 4</t>
  </si>
  <si>
    <t>Year 5</t>
  </si>
  <si>
    <t>Per existing patient (since year 4)</t>
  </si>
  <si>
    <t>Baseline effective population</t>
  </si>
  <si>
    <t>A: Conventional care</t>
  </si>
  <si>
    <t>B: Conventional care + ICP</t>
  </si>
  <si>
    <t>Difference (A-B)</t>
  </si>
  <si>
    <t>Normal</t>
  </si>
  <si>
    <t>SE(LN(RR))</t>
  </si>
  <si>
    <t>RR4 = 1</t>
  </si>
  <si>
    <t>80 CKD stage 3a</t>
  </si>
  <si>
    <t>Age 80 CKD stage 3b</t>
  </si>
  <si>
    <t>Costs</t>
  </si>
  <si>
    <t>Partial EVPI Results: Threshold = 160000 (THB)</t>
  </si>
  <si>
    <t>Mean (Ln(RR))</t>
  </si>
  <si>
    <t>Completed to explain the results of scenario analysis</t>
  </si>
  <si>
    <t>LN(RR3b)</t>
  </si>
  <si>
    <t>Average</t>
  </si>
  <si>
    <t>2.5 CI</t>
  </si>
  <si>
    <t>97.5% CI</t>
  </si>
  <si>
    <t>Conventional treatment (Years 1-5)</t>
  </si>
  <si>
    <t>Conventional treatment + ICP (Years 1-5)</t>
  </si>
  <si>
    <t>Budget Impact</t>
  </si>
  <si>
    <t>Incidence rate</t>
  </si>
  <si>
    <t>Lower bound 95% CI applied</t>
  </si>
  <si>
    <t>Upper bound 95% CI applied</t>
  </si>
  <si>
    <t>% change when lower bound 95% CI applied</t>
  </si>
  <si>
    <t>% change when upper bound 95% CI applied</t>
  </si>
  <si>
    <t>Diffrence</t>
  </si>
  <si>
    <t>Age 80 CKD stage 4</t>
  </si>
  <si>
    <t>% change in ICER when lower bound 95% CI applied</t>
  </si>
  <si>
    <t>% change in ICER when upper bound 95% CI applied</t>
  </si>
  <si>
    <t>5ND</t>
  </si>
  <si>
    <t>Column1</t>
  </si>
  <si>
    <t>Ancilliary parameter in Weibull survival (dialysis patients)</t>
  </si>
  <si>
    <t>Constant in survival analysis for baseline hazard (dialysis patients)</t>
  </si>
  <si>
    <t>Maintenance costs for HD</t>
  </si>
  <si>
    <t>Annual rate of experiencing PD complications</t>
  </si>
  <si>
    <t>Monthly cost of treating PD complications</t>
  </si>
  <si>
    <t>Set-up costs for HD</t>
  </si>
  <si>
    <t>Relative risk of moving from CKD stage 3b to 4 under the intervention</t>
  </si>
  <si>
    <t>Relative risk of moving from CKD stage 4 to 5 under the intervention</t>
  </si>
  <si>
    <t>Indirect non-healthcare costs incurred per household with PD</t>
  </si>
  <si>
    <t>Direct non-healthcare costs incurred per household with PD</t>
  </si>
  <si>
    <t>Annual utility weight for an individual with CKD stage 5</t>
  </si>
  <si>
    <t>Maintenance costs for PD</t>
  </si>
  <si>
    <t>Direct non-healthcare costs incurred per household with HD</t>
  </si>
  <si>
    <t>Annual indirect non-healthcare costs incurred per househodl with HD</t>
  </si>
  <si>
    <t>Relative risk of moving from CKD stage 3a to 3b under the ICP</t>
  </si>
  <si>
    <t>Labour costs of provding conventional care to pre-dialysis patients</t>
  </si>
  <si>
    <t>Annual rate of experiencing HD complications</t>
  </si>
  <si>
    <t>Monthly cost of treating HD complications</t>
  </si>
  <si>
    <t>B: Intervention</t>
  </si>
  <si>
    <t>Integrated care</t>
  </si>
  <si>
    <t>Direct non-medical cost for patients (integrated care)</t>
  </si>
  <si>
    <t>Indirect non medical cost to patients when receiving the (integrated care)</t>
  </si>
  <si>
    <t>Direct non-medical cost for patients (conventional care)</t>
  </si>
  <si>
    <t>Indirect non medical cost to patients (conventional care)</t>
  </si>
  <si>
    <t>Indirect medical costs incurred by the hospital (conventional care)</t>
  </si>
  <si>
    <t>Indirect medical costs incurred by the hospital (integrated care)</t>
  </si>
  <si>
    <t>Direct medical cost: Labour costs (integrated care)</t>
  </si>
  <si>
    <t>Direct medical cost: medical materials (integrated care)</t>
  </si>
  <si>
    <t>Direct medical cost: medical materials (conventional care)</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</si>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</sst>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 #,##0.00_);_(* \(#,##0.00\);_(* &quot;-&quot;??_);_(@_)"/>
    <numFmt numFmtId="165" formatCode="[$THB]\ #,##0.00"/>
    <numFmt numFmtId="166" formatCode="0.0000"/>
    <numFmt numFmtId="167" formatCode="#,##0.0000"/>
    <numFmt numFmtId="168" formatCode="0.00000"/>
    <numFmt numFmtId="169" formatCode="_-* #,##0.000_-;\-* #,##0.000_-;_-* &quot;-&quot;??_-;_-@_-"/>
    <numFmt numFmtId="170" formatCode="_(* #,##0.000_);_(* \(#,##0.000\);_(* &quot;-&quot;??_);_(@_)"/>
    <numFmt numFmtId="171" formatCode="_-* #,##0_-;\-* #,##0_-;_-* &quot;-&quot;??_-;_-@_-"/>
    <numFmt numFmtId="172" formatCode="[$THB]\ #,##0"/>
    <numFmt numFmtId="173" formatCode="0.000000"/>
    <numFmt numFmtId="174" formatCode="0.00000%"/>
    <numFmt numFmtId="175" formatCode="0.000"/>
    <numFmt numFmtId="176" formatCode="_([$THB]\ * #,##0.00_);_([$THB]\ * \(#,##0.00\);_([$THB]\ * &quot;-&quot;??_);_(@_)"/>
    <numFmt numFmtId="177" formatCode="0.0%"/>
    <numFmt numFmtId="178" formatCode="0.00000000000"/>
    <numFmt numFmtId="179" formatCode="0.0000000000000000"/>
  </numFmts>
  <fonts count="45">
    <font>
      <sz val="12"/>
      <color theme="1"/>
      <name val="Calibri"/>
      <family val="2"/>
      <scheme val="minor"/>
    </font>
    <font>
      <b/>
      <sz val="12"/>
      <color theme="1"/>
      <name val="Calibri"/>
      <family val="2"/>
      <scheme val="minor"/>
    </font>
    <font>
      <i/>
      <sz val="12"/>
      <color theme="1"/>
      <name val="Calibri"/>
      <family val="2"/>
      <scheme val="minor"/>
    </font>
    <font>
      <b/>
      <i/>
      <sz val="12"/>
      <color theme="1"/>
      <name val="Calibri"/>
      <family val="2"/>
      <scheme val="minor"/>
    </font>
    <font>
      <sz val="12"/>
      <color rgb="FF000000"/>
      <name val="Calibri"/>
      <family val="2"/>
      <scheme val="minor"/>
    </font>
    <font>
      <b/>
      <sz val="12"/>
      <color theme="0"/>
      <name val="Calibri"/>
      <family val="2"/>
      <scheme val="minor"/>
    </font>
    <font>
      <sz val="12"/>
      <color theme="0"/>
      <name val="Calibri"/>
      <family val="2"/>
      <scheme val="minor"/>
    </font>
    <font>
      <sz val="10"/>
      <color rgb="FF000000"/>
      <name val="Tahoma"/>
      <family val="2"/>
    </font>
    <font>
      <b/>
      <sz val="10"/>
      <color rgb="FF000000"/>
      <name val="Tahoma"/>
      <family val="2"/>
    </font>
    <font>
      <sz val="12"/>
      <color rgb="FF9C5700"/>
      <name val="Calibri"/>
      <family val="2"/>
      <scheme val="minor"/>
    </font>
    <font>
      <b/>
      <i/>
      <sz val="12"/>
      <color theme="0"/>
      <name val="Calibri"/>
      <family val="2"/>
      <scheme val="minor"/>
    </font>
    <font>
      <b/>
      <i/>
      <sz val="12"/>
      <color theme="0"/>
      <name val="Calibri (Body)"/>
    </font>
    <font>
      <sz val="10"/>
      <color rgb="FF000000"/>
      <name val="Calibri"/>
      <family val="2"/>
    </font>
    <font>
      <sz val="12"/>
      <color theme="1"/>
      <name val="Calibri"/>
      <family val="2"/>
      <scheme val="minor"/>
    </font>
    <font>
      <sz val="10"/>
      <color indexed="8"/>
      <name val="Arial"/>
      <family val="2"/>
    </font>
    <font>
      <b/>
      <sz val="14"/>
      <color indexed="9"/>
      <name val="Arial"/>
      <family val="2"/>
    </font>
    <font>
      <b/>
      <sz val="10"/>
      <color indexed="8"/>
      <name val="Arial"/>
      <family val="2"/>
    </font>
    <font>
      <b/>
      <sz val="10"/>
      <name val="Arial"/>
      <family val="2"/>
    </font>
    <font>
      <b/>
      <vertAlign val="subscript"/>
      <sz val="10"/>
      <color indexed="8"/>
      <name val="Arial"/>
      <family val="2"/>
    </font>
    <font>
      <sz val="10"/>
      <name val="Arial"/>
      <family val="2"/>
    </font>
    <font>
      <sz val="10"/>
      <color rgb="FF00B050"/>
      <name val="Arial"/>
      <family val="2"/>
    </font>
    <font>
      <sz val="10"/>
      <name val="Tahoma"/>
      <family val="2"/>
    </font>
    <font>
      <sz val="11"/>
      <color rgb="FFFF0000"/>
      <name val="Calibri"/>
      <family val="2"/>
      <scheme val="minor"/>
    </font>
    <font>
      <sz val="10"/>
      <name val="Calibri"/>
      <family val="2"/>
      <scheme val="minor"/>
    </font>
    <font>
      <sz val="14"/>
      <name val="Cordia New"/>
      <family val="2"/>
    </font>
    <font>
      <b/>
      <sz val="12"/>
      <color rgb="FFFF0000"/>
      <name val="Calibri"/>
      <family val="2"/>
      <scheme val="minor"/>
    </font>
    <font>
      <sz val="12"/>
      <name val="Calibri"/>
      <family val="2"/>
      <scheme val="minor"/>
    </font>
    <font>
      <b/>
      <sz val="10"/>
      <color rgb="FF000000"/>
      <name val="Tahoma"/>
      <family val="34"/>
    </font>
    <font>
      <sz val="10"/>
      <color rgb="FF000000"/>
      <name val="Tahoma"/>
      <family val="34"/>
    </font>
    <font>
      <sz val="12"/>
      <color rgb="FF9C0006"/>
      <name val="Calibri"/>
      <family val="2"/>
      <scheme val="minor"/>
    </font>
    <font>
      <sz val="8"/>
      <name val="Calibri"/>
      <family val="2"/>
      <scheme val="minor"/>
    </font>
    <font>
      <b/>
      <sz val="12"/>
      <name val="Calibri"/>
      <family val="2"/>
      <scheme val="minor"/>
    </font>
    <font>
      <b/>
      <sz val="12"/>
      <color rgb="FF7030A0"/>
      <name val="Calibri"/>
      <family val="2"/>
      <scheme val="minor"/>
    </font>
    <font>
      <b/>
      <sz val="10"/>
      <name val="Arial"/>
      <family val="2"/>
      <charset val="222"/>
    </font>
    <font>
      <b/>
      <sz val="12"/>
      <name val="Arial"/>
      <family val="2"/>
    </font>
    <font>
      <b/>
      <sz val="8"/>
      <color indexed="81"/>
      <name val="Tahoma"/>
      <family val="2"/>
    </font>
    <font>
      <sz val="8"/>
      <color indexed="81"/>
      <name val="Tahoma"/>
      <family val="2"/>
    </font>
    <font>
      <sz val="8"/>
      <color indexed="81"/>
      <name val="Courier"/>
      <family val="3"/>
    </font>
    <font>
      <i/>
      <sz val="12"/>
      <color theme="0"/>
      <name val="Calibri"/>
      <family val="2"/>
      <scheme val="minor"/>
    </font>
    <font>
      <i/>
      <sz val="12"/>
      <name val="Calibri"/>
      <family val="2"/>
      <scheme val="minor"/>
    </font>
    <font>
      <sz val="12"/>
      <color rgb="FFFF0000"/>
      <name val="Calibri"/>
      <family val="2"/>
      <scheme val="minor"/>
    </font>
    <font>
      <i/>
      <sz val="10"/>
      <color rgb="FF000000"/>
      <name val="Tahoma"/>
      <family val="2"/>
    </font>
    <font>
      <b/>
      <u/>
      <sz val="12"/>
      <color theme="1"/>
      <name val="Calibri"/>
      <family val="2"/>
      <scheme val="minor"/>
    </font>
    <font>
      <sz val="11"/>
      <color rgb="FF000000"/>
      <name val="Tahoma"/>
      <family val="2"/>
      <charset val="222"/>
    </font>
    <font>
      <sz val="11"/>
      <color rgb="FFFF0000"/>
      <name val="Calibri"/>
      <family val="2"/>
    </font>
  </fonts>
  <fills count="26">
    <fill>
      <patternFill patternType="none"/>
    </fill>
    <fill>
      <patternFill patternType="gray125"/>
    </fill>
    <fill>
      <patternFill patternType="solid">
        <fgColor rgb="FFFFEB9C"/>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rgb="FFFFFF00"/>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4" tint="0.79998168889431442"/>
        <bgColor indexed="65"/>
      </patternFill>
    </fill>
    <fill>
      <patternFill patternType="solid">
        <fgColor rgb="FFFFC7CE"/>
      </patternFill>
    </fill>
    <fill>
      <patternFill patternType="solid">
        <fgColor theme="6" tint="0.79998168889431442"/>
        <bgColor indexed="65"/>
      </patternFill>
    </fill>
    <fill>
      <patternFill patternType="solid">
        <fgColor theme="4" tint="-0.499984740745262"/>
        <bgColor indexed="64"/>
      </patternFill>
    </fill>
    <fill>
      <patternFill patternType="solid">
        <fgColor theme="4" tint="0.79998168889431442"/>
        <bgColor indexed="64"/>
      </patternFill>
    </fill>
    <fill>
      <patternFill patternType="solid">
        <fgColor theme="5" tint="0.79998168889431442"/>
        <bgColor indexed="65"/>
      </patternFill>
    </fill>
    <fill>
      <patternFill patternType="solid">
        <fgColor theme="3" tint="0.79998168889431442"/>
        <bgColor indexed="64"/>
      </patternFill>
    </fill>
    <fill>
      <patternFill patternType="solid">
        <fgColor theme="1"/>
        <bgColor indexed="64"/>
      </patternFill>
    </fill>
    <fill>
      <patternFill patternType="solid">
        <fgColor indexed="13"/>
        <bgColor indexed="64"/>
      </patternFill>
    </fill>
    <fill>
      <patternFill patternType="solid">
        <fgColor theme="7" tint="0.79998168889431442"/>
        <bgColor indexed="65"/>
      </patternFill>
    </fill>
    <fill>
      <patternFill patternType="solid">
        <fgColor theme="5" tint="0.59999389629810485"/>
        <bgColor indexed="65"/>
      </patternFill>
    </fill>
    <fill>
      <patternFill patternType="solid">
        <fgColor rgb="FFEBF1DE"/>
        <bgColor rgb="FF000000"/>
      </patternFill>
    </fill>
  </fills>
  <borders count="6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bottom style="medium">
        <color theme="1"/>
      </bottom>
      <diagonal/>
    </border>
    <border>
      <left/>
      <right/>
      <top/>
      <bottom style="medium">
        <color theme="1"/>
      </bottom>
      <diagonal/>
    </border>
    <border>
      <left style="medium">
        <color theme="1"/>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medium">
        <color theme="1"/>
      </right>
      <top style="medium">
        <color theme="1"/>
      </top>
      <bottom style="medium">
        <color indexed="64"/>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top style="medium">
        <color theme="1"/>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22"/>
      </left>
      <right style="thin">
        <color indexed="22"/>
      </right>
      <top style="thin">
        <color indexed="22"/>
      </top>
      <bottom style="thin">
        <color indexed="22"/>
      </bottom>
      <diagonal/>
    </border>
    <border>
      <left style="medium">
        <color rgb="FF00B050"/>
      </left>
      <right style="medium">
        <color rgb="FF00B050"/>
      </right>
      <top style="medium">
        <color rgb="FF00B050"/>
      </top>
      <bottom style="medium">
        <color indexed="64"/>
      </bottom>
      <diagonal/>
    </border>
    <border>
      <left style="medium">
        <color rgb="FF00B050"/>
      </left>
      <right style="medium">
        <color rgb="FF00B050"/>
      </right>
      <top style="medium">
        <color indexed="64"/>
      </top>
      <bottom style="medium">
        <color indexed="64"/>
      </bottom>
      <diagonal/>
    </border>
    <border>
      <left style="medium">
        <color rgb="FF00B050"/>
      </left>
      <right style="medium">
        <color rgb="FF00B050"/>
      </right>
      <top/>
      <bottom/>
      <diagonal/>
    </border>
    <border>
      <left style="medium">
        <color rgb="FF00B050"/>
      </left>
      <right style="medium">
        <color rgb="FF00B050"/>
      </right>
      <top/>
      <bottom style="medium">
        <color indexed="64"/>
      </bottom>
      <diagonal/>
    </border>
    <border>
      <left style="medium">
        <color rgb="FF00B050"/>
      </left>
      <right style="medium">
        <color rgb="FF00B050"/>
      </right>
      <top style="thin">
        <color indexed="64"/>
      </top>
      <bottom/>
      <diagonal/>
    </border>
    <border>
      <left style="medium">
        <color rgb="FF00B050"/>
      </left>
      <right style="medium">
        <color rgb="FF00B050"/>
      </right>
      <top/>
      <bottom style="thin">
        <color indexed="64"/>
      </bottom>
      <diagonal/>
    </border>
    <border>
      <left style="medium">
        <color rgb="FF00B050"/>
      </left>
      <right style="medium">
        <color rgb="FF00B050"/>
      </right>
      <top style="medium">
        <color indexed="64"/>
      </top>
      <bottom/>
      <diagonal/>
    </border>
    <border>
      <left style="medium">
        <color rgb="FF00B050"/>
      </left>
      <right style="medium">
        <color rgb="FF00B050"/>
      </right>
      <top/>
      <bottom style="medium">
        <color rgb="FF00B050"/>
      </bottom>
      <diagonal/>
    </border>
    <border>
      <left/>
      <right style="medium">
        <color indexed="64"/>
      </right>
      <top style="thin">
        <color indexed="64"/>
      </top>
      <bottom/>
      <diagonal/>
    </border>
    <border>
      <left/>
      <right style="medium">
        <color indexed="64"/>
      </right>
      <top/>
      <bottom style="thin">
        <color indexed="64"/>
      </bottom>
      <diagonal/>
    </border>
    <border>
      <left style="medium">
        <color rgb="FF00B050"/>
      </left>
      <right/>
      <top style="medium">
        <color rgb="FF00B050"/>
      </top>
      <bottom style="medium">
        <color indexed="64"/>
      </bottom>
      <diagonal/>
    </border>
    <border>
      <left/>
      <right style="medium">
        <color rgb="FF00B050"/>
      </right>
      <top style="medium">
        <color rgb="FF00B050"/>
      </top>
      <bottom style="medium">
        <color indexed="64"/>
      </bottom>
      <diagonal/>
    </border>
    <border>
      <left style="medium">
        <color rgb="FF00B050"/>
      </left>
      <right/>
      <top style="medium">
        <color indexed="64"/>
      </top>
      <bottom style="medium">
        <color indexed="64"/>
      </bottom>
      <diagonal/>
    </border>
    <border>
      <left/>
      <right style="medium">
        <color rgb="FF00B050"/>
      </right>
      <top style="medium">
        <color indexed="64"/>
      </top>
      <bottom style="medium">
        <color indexed="64"/>
      </bottom>
      <diagonal/>
    </border>
    <border>
      <left style="medium">
        <color rgb="FF00B050"/>
      </left>
      <right/>
      <top/>
      <bottom/>
      <diagonal/>
    </border>
    <border>
      <left/>
      <right style="medium">
        <color rgb="FF00B050"/>
      </right>
      <top/>
      <bottom/>
      <diagonal/>
    </border>
    <border>
      <left style="medium">
        <color rgb="FF00B050"/>
      </left>
      <right/>
      <top/>
      <bottom style="medium">
        <color indexed="64"/>
      </bottom>
      <diagonal/>
    </border>
    <border>
      <left/>
      <right style="medium">
        <color rgb="FF00B050"/>
      </right>
      <top/>
      <bottom style="medium">
        <color indexed="64"/>
      </bottom>
      <diagonal/>
    </border>
    <border>
      <left style="medium">
        <color rgb="FF00B050"/>
      </left>
      <right/>
      <top style="thin">
        <color indexed="64"/>
      </top>
      <bottom/>
      <diagonal/>
    </border>
    <border>
      <left/>
      <right style="medium">
        <color rgb="FF00B050"/>
      </right>
      <top style="thin">
        <color indexed="64"/>
      </top>
      <bottom/>
      <diagonal/>
    </border>
    <border>
      <left style="medium">
        <color rgb="FF00B050"/>
      </left>
      <right/>
      <top/>
      <bottom style="thin">
        <color indexed="64"/>
      </bottom>
      <diagonal/>
    </border>
    <border>
      <left/>
      <right style="medium">
        <color rgb="FF00B050"/>
      </right>
      <top/>
      <bottom style="thin">
        <color indexed="64"/>
      </bottom>
      <diagonal/>
    </border>
    <border>
      <left style="medium">
        <color rgb="FF00B050"/>
      </left>
      <right/>
      <top style="medium">
        <color indexed="64"/>
      </top>
      <bottom/>
      <diagonal/>
    </border>
    <border>
      <left/>
      <right style="medium">
        <color rgb="FF00B050"/>
      </right>
      <top style="medium">
        <color indexed="64"/>
      </top>
      <bottom/>
      <diagonal/>
    </border>
    <border>
      <left style="medium">
        <color rgb="FF00B050"/>
      </left>
      <right/>
      <top/>
      <bottom style="medium">
        <color rgb="FF00B050"/>
      </bottom>
      <diagonal/>
    </border>
    <border>
      <left/>
      <right style="medium">
        <color rgb="FF00B050"/>
      </right>
      <top/>
      <bottom style="medium">
        <color rgb="FF00B05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s>
  <cellStyleXfs count="15">
    <xf numFmtId="0" fontId="0" fillId="0" borderId="0"/>
    <xf numFmtId="0" fontId="9" fillId="2" borderId="0" applyNumberFormat="0" applyBorder="0" applyAlignment="0" applyProtection="0"/>
    <xf numFmtId="164" fontId="13" fillId="0" borderId="0" applyFont="0" applyFill="0" applyBorder="0" applyAlignment="0" applyProtection="0"/>
    <xf numFmtId="0" fontId="19" fillId="0" borderId="0"/>
    <xf numFmtId="0" fontId="24" fillId="0" borderId="0"/>
    <xf numFmtId="0" fontId="13" fillId="14" borderId="0" applyNumberFormat="0" applyBorder="0" applyAlignment="0" applyProtection="0"/>
    <xf numFmtId="0" fontId="29" fillId="15" borderId="0" applyNumberFormat="0" applyBorder="0" applyAlignment="0" applyProtection="0"/>
    <xf numFmtId="0" fontId="13" fillId="16" borderId="0" applyNumberFormat="0" applyBorder="0" applyAlignment="0" applyProtection="0"/>
    <xf numFmtId="0" fontId="13" fillId="19" borderId="0" applyNumberFormat="0" applyBorder="0" applyAlignment="0" applyProtection="0"/>
    <xf numFmtId="0" fontId="19" fillId="0" borderId="0"/>
    <xf numFmtId="0" fontId="19" fillId="0" borderId="0"/>
    <xf numFmtId="9" fontId="13" fillId="0" borderId="0" applyFont="0" applyFill="0" applyBorder="0" applyAlignment="0" applyProtection="0"/>
    <xf numFmtId="0" fontId="13" fillId="23" borderId="0" applyNumberFormat="0" applyBorder="0" applyAlignment="0" applyProtection="0"/>
    <xf numFmtId="0" fontId="13" fillId="24" borderId="0" applyNumberFormat="0" applyBorder="0" applyAlignment="0" applyProtection="0"/>
    <xf numFmtId="0" fontId="43" fillId="0" borderId="0"/>
  </cellStyleXfs>
  <cellXfs count="759">
    <xf numFmtId="0" fontId="0" fillId="0" borderId="0" xfId="0"/>
    <xf numFmtId="2"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0" borderId="3" xfId="0" applyBorder="1" applyAlignment="1">
      <alignment horizontal="right"/>
    </xf>
    <xf numFmtId="10" fontId="0" fillId="0" borderId="0" xfId="0" applyNumberFormat="1" applyAlignment="1">
      <alignment horizontal="right"/>
    </xf>
    <xf numFmtId="165" fontId="0" fillId="0" borderId="0" xfId="0" applyNumberFormat="1" applyAlignment="1">
      <alignment horizontal="right"/>
    </xf>
    <xf numFmtId="0" fontId="1" fillId="0" borderId="0" xfId="0" applyFont="1" applyAlignment="1">
      <alignment horizontal="left"/>
    </xf>
    <xf numFmtId="2" fontId="0" fillId="0" borderId="0" xfId="0" applyNumberFormat="1" applyAlignment="1">
      <alignment horizontal="right"/>
    </xf>
    <xf numFmtId="0" fontId="0" fillId="0" borderId="7" xfId="0" applyBorder="1"/>
    <xf numFmtId="0" fontId="1" fillId="0" borderId="0" xfId="0" applyFont="1"/>
    <xf numFmtId="0" fontId="1" fillId="0" borderId="8" xfId="0" applyFont="1" applyBorder="1"/>
    <xf numFmtId="0" fontId="1" fillId="0" borderId="7" xfId="0" applyFont="1" applyBorder="1"/>
    <xf numFmtId="10" fontId="0" fillId="0" borderId="8" xfId="0" applyNumberFormat="1" applyBorder="1"/>
    <xf numFmtId="10" fontId="0" fillId="0" borderId="10" xfId="0" applyNumberFormat="1" applyBorder="1"/>
    <xf numFmtId="4" fontId="0" fillId="0" borderId="0" xfId="0" applyNumberFormat="1" applyAlignment="1">
      <alignment horizontal="right"/>
    </xf>
    <xf numFmtId="0" fontId="5" fillId="3" borderId="2" xfId="0" applyFont="1" applyFill="1" applyBorder="1" applyAlignment="1">
      <alignment horizontal="left"/>
    </xf>
    <xf numFmtId="0" fontId="10" fillId="4" borderId="0" xfId="0" applyFont="1" applyFill="1" applyAlignment="1">
      <alignment horizontal="left"/>
    </xf>
    <xf numFmtId="0" fontId="5" fillId="4" borderId="0" xfId="0" applyFont="1" applyFill="1" applyAlignment="1">
      <alignment horizontal="right"/>
    </xf>
    <xf numFmtId="0" fontId="5" fillId="4" borderId="0" xfId="0" applyFont="1" applyFill="1" applyAlignment="1">
      <alignment horizontal="left"/>
    </xf>
    <xf numFmtId="0" fontId="5" fillId="4" borderId="0" xfId="0" applyFont="1" applyFill="1"/>
    <xf numFmtId="0" fontId="6" fillId="4" borderId="0" xfId="0" applyFont="1" applyFill="1"/>
    <xf numFmtId="0" fontId="6" fillId="4" borderId="0" xfId="0" applyFont="1" applyFill="1" applyAlignment="1">
      <alignment horizontal="right"/>
    </xf>
    <xf numFmtId="0" fontId="6" fillId="4" borderId="0" xfId="0" applyFont="1" applyFill="1" applyAlignment="1">
      <alignment horizontal="left"/>
    </xf>
    <xf numFmtId="0" fontId="11" fillId="4" borderId="0" xfId="0" applyFont="1" applyFill="1" applyAlignment="1">
      <alignment horizontal="left"/>
    </xf>
    <xf numFmtId="165" fontId="0" fillId="4" borderId="0" xfId="0" applyNumberFormat="1" applyFill="1" applyAlignment="1">
      <alignment horizontal="right"/>
    </xf>
    <xf numFmtId="166" fontId="0" fillId="0" borderId="0" xfId="0" applyNumberFormat="1"/>
    <xf numFmtId="0" fontId="6" fillId="5" borderId="0" xfId="0" applyFont="1" applyFill="1" applyAlignment="1">
      <alignment horizontal="left"/>
    </xf>
    <xf numFmtId="0" fontId="6" fillId="5" borderId="0" xfId="0" applyFont="1" applyFill="1"/>
    <xf numFmtId="0" fontId="5" fillId="3" borderId="2" xfId="0" applyFont="1" applyFill="1" applyBorder="1"/>
    <xf numFmtId="49" fontId="1" fillId="0" borderId="7" xfId="0" applyNumberFormat="1" applyFont="1" applyBorder="1"/>
    <xf numFmtId="49" fontId="1" fillId="0" borderId="8" xfId="0" applyNumberFormat="1" applyFont="1" applyBorder="1"/>
    <xf numFmtId="1" fontId="0" fillId="0" borderId="0" xfId="0" applyNumberFormat="1"/>
    <xf numFmtId="1" fontId="0" fillId="0" borderId="8" xfId="0" applyNumberFormat="1" applyBorder="1"/>
    <xf numFmtId="0" fontId="14" fillId="6" borderId="0" xfId="0" applyFont="1" applyFill="1"/>
    <xf numFmtId="0" fontId="14" fillId="0" borderId="0" xfId="0" applyFont="1"/>
    <xf numFmtId="0" fontId="16" fillId="10" borderId="0" xfId="0" applyFont="1" applyFill="1"/>
    <xf numFmtId="0" fontId="17" fillId="0" borderId="5" xfId="0" applyFont="1" applyBorder="1" applyAlignment="1">
      <alignment horizontal="center"/>
    </xf>
    <xf numFmtId="0" fontId="16" fillId="0" borderId="5" xfId="0" applyFont="1" applyBorder="1" applyAlignment="1">
      <alignment horizontal="right"/>
    </xf>
    <xf numFmtId="0" fontId="14" fillId="0" borderId="1" xfId="0" applyFont="1" applyBorder="1"/>
    <xf numFmtId="0" fontId="19" fillId="0" borderId="0" xfId="0" applyFont="1" applyAlignment="1">
      <alignment horizontal="center"/>
    </xf>
    <xf numFmtId="3" fontId="14" fillId="11" borderId="0" xfId="0" applyNumberFormat="1" applyFont="1" applyFill="1" applyAlignment="1">
      <alignment horizontal="right" wrapText="1"/>
    </xf>
    <xf numFmtId="168" fontId="14" fillId="0" borderId="0" xfId="0" applyNumberFormat="1" applyFont="1"/>
    <xf numFmtId="1" fontId="14" fillId="0" borderId="0" xfId="0" applyNumberFormat="1" applyFont="1"/>
    <xf numFmtId="2" fontId="14" fillId="6" borderId="0" xfId="0" applyNumberFormat="1" applyFont="1" applyFill="1"/>
    <xf numFmtId="2" fontId="14" fillId="0" borderId="0" xfId="0" applyNumberFormat="1" applyFont="1"/>
    <xf numFmtId="1" fontId="14" fillId="12" borderId="0" xfId="0" applyNumberFormat="1" applyFont="1" applyFill="1" applyAlignment="1">
      <alignment horizontal="right" wrapText="1"/>
    </xf>
    <xf numFmtId="1" fontId="14" fillId="13" borderId="0" xfId="0" applyNumberFormat="1" applyFont="1" applyFill="1" applyAlignment="1">
      <alignment horizontal="right" wrapText="1"/>
    </xf>
    <xf numFmtId="0" fontId="19" fillId="6" borderId="0" xfId="0" applyFont="1" applyFill="1" applyAlignment="1">
      <alignment horizontal="center"/>
    </xf>
    <xf numFmtId="3" fontId="14" fillId="6" borderId="0" xfId="0" applyNumberFormat="1" applyFont="1" applyFill="1" applyAlignment="1">
      <alignment horizontal="right" wrapText="1"/>
    </xf>
    <xf numFmtId="168" fontId="14" fillId="6" borderId="0" xfId="0" applyNumberFormat="1" applyFont="1" applyFill="1"/>
    <xf numFmtId="1" fontId="14" fillId="6" borderId="0" xfId="0" applyNumberFormat="1" applyFont="1" applyFill="1"/>
    <xf numFmtId="1" fontId="14" fillId="6" borderId="0" xfId="0" applyNumberFormat="1" applyFont="1" applyFill="1" applyAlignment="1">
      <alignment horizontal="right" wrapText="1"/>
    </xf>
    <xf numFmtId="0" fontId="19" fillId="0" borderId="1" xfId="0" applyFont="1" applyBorder="1" applyAlignment="1">
      <alignment horizontal="center"/>
    </xf>
    <xf numFmtId="3" fontId="14" fillId="11" borderId="1" xfId="0" applyNumberFormat="1" applyFont="1" applyFill="1" applyBorder="1" applyAlignment="1">
      <alignment horizontal="right" wrapText="1"/>
    </xf>
    <xf numFmtId="168" fontId="14" fillId="0" borderId="1" xfId="0" applyNumberFormat="1" applyFont="1" applyBorder="1"/>
    <xf numFmtId="1" fontId="14" fillId="0" borderId="1" xfId="0" applyNumberFormat="1" applyFont="1" applyBorder="1"/>
    <xf numFmtId="2" fontId="14" fillId="0" borderId="1" xfId="0" applyNumberFormat="1" applyFont="1" applyBorder="1"/>
    <xf numFmtId="1" fontId="14" fillId="12" borderId="1" xfId="0" applyNumberFormat="1" applyFont="1" applyFill="1" applyBorder="1" applyAlignment="1">
      <alignment horizontal="right" wrapText="1"/>
    </xf>
    <xf numFmtId="3" fontId="20" fillId="0" borderId="0" xfId="0" applyNumberFormat="1" applyFont="1"/>
    <xf numFmtId="0" fontId="19" fillId="0" borderId="0" xfId="3"/>
    <xf numFmtId="0" fontId="21" fillId="0" borderId="0" xfId="0" applyFont="1" applyAlignment="1">
      <alignment horizontal="center"/>
    </xf>
    <xf numFmtId="169" fontId="22" fillId="0" borderId="0" xfId="0" applyNumberFormat="1" applyFont="1"/>
    <xf numFmtId="164" fontId="23" fillId="0" borderId="0" xfId="2" applyFont="1" applyFill="1" applyBorder="1"/>
    <xf numFmtId="170" fontId="0" fillId="0" borderId="0" xfId="0" applyNumberFormat="1"/>
    <xf numFmtId="0" fontId="23" fillId="0" borderId="0" xfId="4" applyFont="1" applyAlignment="1">
      <alignment horizontal="center"/>
    </xf>
    <xf numFmtId="171" fontId="23" fillId="0" borderId="0" xfId="2" applyNumberFormat="1" applyFont="1" applyFill="1" applyBorder="1"/>
    <xf numFmtId="169" fontId="0" fillId="0" borderId="0" xfId="0" applyNumberFormat="1"/>
    <xf numFmtId="171" fontId="23" fillId="0" borderId="0" xfId="2" applyNumberFormat="1" applyFont="1" applyBorder="1"/>
    <xf numFmtId="169" fontId="23" fillId="0" borderId="0" xfId="2" applyNumberFormat="1" applyFont="1" applyBorder="1"/>
    <xf numFmtId="169" fontId="23" fillId="0" borderId="0" xfId="2" applyNumberFormat="1" applyFont="1" applyFill="1" applyBorder="1"/>
    <xf numFmtId="10" fontId="2" fillId="0" borderId="0" xfId="0" applyNumberFormat="1" applyFont="1"/>
    <xf numFmtId="49" fontId="0" fillId="0" borderId="0" xfId="0" applyNumberFormat="1"/>
    <xf numFmtId="49" fontId="5" fillId="0" borderId="0" xfId="0" applyNumberFormat="1" applyFont="1"/>
    <xf numFmtId="49" fontId="5" fillId="4" borderId="12" xfId="0" applyNumberFormat="1" applyFont="1" applyFill="1" applyBorder="1"/>
    <xf numFmtId="0" fontId="1" fillId="0" borderId="13" xfId="0" applyFont="1" applyBorder="1"/>
    <xf numFmtId="49" fontId="19" fillId="0" borderId="0" xfId="0" applyNumberFormat="1" applyFont="1" applyAlignment="1">
      <alignment horizontal="center"/>
    </xf>
    <xf numFmtId="49" fontId="19" fillId="6" borderId="0" xfId="0" applyNumberFormat="1" applyFont="1" applyFill="1" applyAlignment="1">
      <alignment horizontal="center"/>
    </xf>
    <xf numFmtId="49" fontId="19" fillId="0" borderId="1" xfId="0" applyNumberFormat="1" applyFont="1" applyBorder="1" applyAlignment="1">
      <alignment horizontal="center"/>
    </xf>
    <xf numFmtId="0" fontId="1" fillId="0" borderId="14" xfId="0" applyFont="1" applyBorder="1"/>
    <xf numFmtId="49" fontId="5" fillId="4" borderId="5" xfId="0" applyNumberFormat="1" applyFont="1" applyFill="1" applyBorder="1"/>
    <xf numFmtId="49" fontId="5" fillId="4" borderId="6" xfId="0" applyNumberFormat="1" applyFont="1" applyFill="1" applyBorder="1"/>
    <xf numFmtId="10" fontId="2" fillId="0" borderId="8" xfId="0" applyNumberFormat="1" applyFont="1" applyBorder="1"/>
    <xf numFmtId="0" fontId="0" fillId="0" borderId="9" xfId="0" applyBorder="1"/>
    <xf numFmtId="49" fontId="0" fillId="0" borderId="1" xfId="0" applyNumberFormat="1" applyBorder="1" applyAlignment="1">
      <alignment horizontal="right"/>
    </xf>
    <xf numFmtId="10" fontId="2" fillId="0" borderId="10" xfId="0" applyNumberFormat="1" applyFont="1" applyBorder="1"/>
    <xf numFmtId="49" fontId="5" fillId="4" borderId="4" xfId="0" applyNumberFormat="1" applyFont="1" applyFill="1" applyBorder="1"/>
    <xf numFmtId="166" fontId="0" fillId="0" borderId="7" xfId="0" applyNumberFormat="1" applyBorder="1"/>
    <xf numFmtId="166" fontId="0" fillId="0" borderId="8" xfId="0" applyNumberFormat="1" applyBorder="1"/>
    <xf numFmtId="166" fontId="0" fillId="0" borderId="1" xfId="0" applyNumberFormat="1" applyBorder="1"/>
    <xf numFmtId="166" fontId="0" fillId="0" borderId="10" xfId="0" applyNumberFormat="1" applyBorder="1"/>
    <xf numFmtId="172" fontId="0" fillId="0" borderId="7" xfId="0" applyNumberFormat="1" applyBorder="1"/>
    <xf numFmtId="172" fontId="0" fillId="0" borderId="8" xfId="0" applyNumberFormat="1" applyBorder="1"/>
    <xf numFmtId="172" fontId="0" fillId="0" borderId="10" xfId="0" applyNumberFormat="1" applyBorder="1"/>
    <xf numFmtId="0" fontId="0" fillId="0" borderId="8" xfId="0" applyBorder="1"/>
    <xf numFmtId="0" fontId="0" fillId="0" borderId="1" xfId="0" applyBorder="1"/>
    <xf numFmtId="0" fontId="1" fillId="0" borderId="3" xfId="0" applyFont="1" applyBorder="1"/>
    <xf numFmtId="49" fontId="0" fillId="0" borderId="0" xfId="0" applyNumberFormat="1" applyAlignment="1">
      <alignment horizontal="right"/>
    </xf>
    <xf numFmtId="0" fontId="5" fillId="3" borderId="1" xfId="0" applyFont="1" applyFill="1" applyBorder="1" applyAlignment="1">
      <alignment horizontal="left"/>
    </xf>
    <xf numFmtId="0" fontId="5" fillId="3" borderId="1" xfId="0" applyFont="1" applyFill="1" applyBorder="1"/>
    <xf numFmtId="0" fontId="6" fillId="3" borderId="1" xfId="0" applyFont="1" applyFill="1" applyBorder="1"/>
    <xf numFmtId="0" fontId="0" fillId="0" borderId="1" xfId="0" applyBorder="1" applyAlignment="1">
      <alignment horizontal="left"/>
    </xf>
    <xf numFmtId="0" fontId="0" fillId="0" borderId="1" xfId="0" applyBorder="1" applyAlignment="1">
      <alignment horizontal="right"/>
    </xf>
    <xf numFmtId="0" fontId="0" fillId="0" borderId="11" xfId="0" applyBorder="1"/>
    <xf numFmtId="10" fontId="0" fillId="0" borderId="1" xfId="0" applyNumberFormat="1" applyBorder="1" applyAlignment="1">
      <alignment horizontal="right"/>
    </xf>
    <xf numFmtId="0" fontId="0" fillId="0" borderId="11" xfId="0" applyBorder="1" applyAlignment="1">
      <alignment horizontal="left"/>
    </xf>
    <xf numFmtId="0" fontId="0" fillId="0" borderId="11" xfId="0" applyBorder="1" applyAlignment="1">
      <alignment horizontal="right"/>
    </xf>
    <xf numFmtId="2" fontId="0" fillId="0" borderId="1" xfId="0" applyNumberFormat="1" applyBorder="1" applyAlignment="1">
      <alignment horizontal="right"/>
    </xf>
    <xf numFmtId="2" fontId="0" fillId="0" borderId="11" xfId="0" applyNumberFormat="1" applyBorder="1" applyAlignment="1">
      <alignment horizontal="right"/>
    </xf>
    <xf numFmtId="165" fontId="0" fillId="0" borderId="1" xfId="0" applyNumberFormat="1" applyBorder="1" applyAlignment="1">
      <alignment horizontal="right"/>
    </xf>
    <xf numFmtId="165" fontId="0" fillId="0" borderId="1" xfId="0" applyNumberFormat="1" applyBorder="1"/>
    <xf numFmtId="165" fontId="0" fillId="0" borderId="11" xfId="0" applyNumberFormat="1" applyBorder="1" applyAlignment="1">
      <alignment horizontal="right"/>
    </xf>
    <xf numFmtId="0" fontId="6" fillId="5" borderId="0" xfId="0" applyFont="1" applyFill="1" applyAlignment="1">
      <alignment horizontal="right"/>
    </xf>
    <xf numFmtId="167" fontId="0" fillId="0" borderId="0" xfId="0" applyNumberFormat="1"/>
    <xf numFmtId="167" fontId="6" fillId="5" borderId="0" xfId="0" applyNumberFormat="1" applyFont="1" applyFill="1"/>
    <xf numFmtId="4" fontId="0" fillId="0" borderId="1" xfId="0" applyNumberFormat="1" applyBorder="1" applyAlignment="1">
      <alignment horizontal="right"/>
    </xf>
    <xf numFmtId="49" fontId="5" fillId="3" borderId="12" xfId="0" applyNumberFormat="1" applyFont="1" applyFill="1" applyBorder="1"/>
    <xf numFmtId="49" fontId="5" fillId="3" borderId="5" xfId="0" applyNumberFormat="1" applyFont="1" applyFill="1" applyBorder="1"/>
    <xf numFmtId="49" fontId="5" fillId="3" borderId="4" xfId="0" applyNumberFormat="1" applyFont="1" applyFill="1" applyBorder="1"/>
    <xf numFmtId="49" fontId="5" fillId="3" borderId="6" xfId="0" applyNumberFormat="1" applyFont="1" applyFill="1" applyBorder="1"/>
    <xf numFmtId="166" fontId="0" fillId="0" borderId="1" xfId="0" applyNumberFormat="1" applyBorder="1" applyAlignment="1">
      <alignment horizontal="right"/>
    </xf>
    <xf numFmtId="0" fontId="5" fillId="4" borderId="2" xfId="0" applyFont="1" applyFill="1" applyBorder="1"/>
    <xf numFmtId="0" fontId="25" fillId="0" borderId="0" xfId="0" applyFont="1"/>
    <xf numFmtId="166" fontId="0" fillId="0" borderId="9" xfId="0" applyNumberFormat="1" applyBorder="1"/>
    <xf numFmtId="166" fontId="26" fillId="0" borderId="1" xfId="1" applyNumberFormat="1" applyFont="1" applyFill="1" applyBorder="1"/>
    <xf numFmtId="0" fontId="0" fillId="0" borderId="12" xfId="0" applyBorder="1"/>
    <xf numFmtId="0" fontId="0" fillId="0" borderId="14" xfId="0" applyBorder="1"/>
    <xf numFmtId="0" fontId="5" fillId="3" borderId="11" xfId="0" applyFont="1" applyFill="1" applyBorder="1"/>
    <xf numFmtId="0" fontId="6" fillId="3" borderId="11" xfId="0" applyFont="1" applyFill="1" applyBorder="1"/>
    <xf numFmtId="0" fontId="1" fillId="4" borderId="11" xfId="0" applyFont="1" applyFill="1" applyBorder="1"/>
    <xf numFmtId="2" fontId="1" fillId="0" borderId="9" xfId="0" applyNumberFormat="1" applyFont="1" applyBorder="1"/>
    <xf numFmtId="2" fontId="1" fillId="0" borderId="1" xfId="0" applyNumberFormat="1" applyFont="1" applyBorder="1"/>
    <xf numFmtId="2" fontId="1" fillId="0" borderId="14" xfId="0" applyNumberFormat="1" applyFont="1" applyBorder="1"/>
    <xf numFmtId="0" fontId="1" fillId="0" borderId="9" xfId="0" applyFont="1" applyBorder="1"/>
    <xf numFmtId="0" fontId="1" fillId="0" borderId="1" xfId="0" applyFont="1" applyBorder="1"/>
    <xf numFmtId="0" fontId="1" fillId="0" borderId="10" xfId="0" applyFont="1" applyBorder="1"/>
    <xf numFmtId="0" fontId="0" fillId="0" borderId="6" xfId="0" applyBorder="1"/>
    <xf numFmtId="0" fontId="0" fillId="0" borderId="4" xfId="0" applyBorder="1"/>
    <xf numFmtId="49" fontId="0" fillId="0" borderId="7" xfId="0" applyNumberFormat="1" applyBorder="1"/>
    <xf numFmtId="166" fontId="26" fillId="0" borderId="7" xfId="1" applyNumberFormat="1" applyFont="1" applyFill="1" applyBorder="1"/>
    <xf numFmtId="166" fontId="26" fillId="0" borderId="0" xfId="1" applyNumberFormat="1" applyFont="1" applyFill="1" applyBorder="1"/>
    <xf numFmtId="166" fontId="0" fillId="0" borderId="0" xfId="0" applyNumberFormat="1" applyAlignment="1">
      <alignment horizontal="right"/>
    </xf>
    <xf numFmtId="166" fontId="26" fillId="0" borderId="9" xfId="1" applyNumberFormat="1" applyFont="1" applyFill="1" applyBorder="1"/>
    <xf numFmtId="166" fontId="0" fillId="0" borderId="7" xfId="0" applyNumberFormat="1" applyBorder="1" applyAlignment="1">
      <alignment horizontal="right"/>
    </xf>
    <xf numFmtId="0" fontId="0" fillId="0" borderId="8" xfId="0" applyBorder="1" applyAlignment="1">
      <alignment horizontal="left"/>
    </xf>
    <xf numFmtId="0" fontId="0" fillId="0" borderId="14" xfId="0" applyBorder="1" applyAlignment="1">
      <alignment horizontal="left"/>
    </xf>
    <xf numFmtId="0" fontId="0" fillId="0" borderId="7" xfId="0" applyBorder="1" applyAlignment="1">
      <alignment horizontal="left"/>
    </xf>
    <xf numFmtId="165" fontId="1" fillId="0" borderId="9" xfId="0" applyNumberFormat="1" applyFont="1" applyBorder="1"/>
    <xf numFmtId="165" fontId="1" fillId="0" borderId="10" xfId="0" applyNumberFormat="1" applyFont="1" applyBorder="1"/>
    <xf numFmtId="0" fontId="5" fillId="0" borderId="1" xfId="0" applyFont="1" applyBorder="1"/>
    <xf numFmtId="0" fontId="5" fillId="4" borderId="15" xfId="0" applyFont="1" applyFill="1" applyBorder="1"/>
    <xf numFmtId="0" fontId="5" fillId="5" borderId="8" xfId="0" applyFont="1" applyFill="1" applyBorder="1" applyAlignment="1">
      <alignment horizontal="left"/>
    </xf>
    <xf numFmtId="165" fontId="1" fillId="0" borderId="1" xfId="0" applyNumberFormat="1" applyFont="1" applyBorder="1"/>
    <xf numFmtId="2" fontId="0" fillId="0" borderId="14" xfId="0" applyNumberFormat="1" applyBorder="1"/>
    <xf numFmtId="0" fontId="0" fillId="0" borderId="0" xfId="0" applyAlignment="1">
      <alignment horizontal="center"/>
    </xf>
    <xf numFmtId="0" fontId="0" fillId="0" borderId="1" xfId="0" applyBorder="1" applyAlignment="1">
      <alignment horizontal="center"/>
    </xf>
    <xf numFmtId="0" fontId="0" fillId="0" borderId="11" xfId="0" applyBorder="1" applyAlignment="1">
      <alignment horizontal="center"/>
    </xf>
    <xf numFmtId="0" fontId="6" fillId="4" borderId="0" xfId="0" applyFont="1" applyFill="1" applyAlignment="1">
      <alignment horizontal="center"/>
    </xf>
    <xf numFmtId="166" fontId="1" fillId="0" borderId="9" xfId="0" applyNumberFormat="1" applyFont="1" applyBorder="1"/>
    <xf numFmtId="166" fontId="1" fillId="0" borderId="1" xfId="0" applyNumberFormat="1" applyFont="1" applyBorder="1"/>
    <xf numFmtId="166" fontId="1" fillId="0" borderId="10" xfId="0" applyNumberFormat="1" applyFont="1" applyBorder="1"/>
    <xf numFmtId="0" fontId="5" fillId="5" borderId="9" xfId="0" applyFont="1" applyFill="1" applyBorder="1" applyAlignment="1">
      <alignment horizontal="left"/>
    </xf>
    <xf numFmtId="0" fontId="5" fillId="5" borderId="1" xfId="0" applyFont="1" applyFill="1" applyBorder="1" applyAlignment="1">
      <alignment horizontal="left"/>
    </xf>
    <xf numFmtId="0" fontId="5" fillId="5" borderId="10" xfId="0" applyFont="1" applyFill="1" applyBorder="1" applyAlignment="1">
      <alignment horizontal="left"/>
    </xf>
    <xf numFmtId="165" fontId="0" fillId="0" borderId="16" xfId="0" applyNumberFormat="1" applyBorder="1"/>
    <xf numFmtId="0" fontId="26" fillId="0" borderId="0" xfId="1" applyFont="1" applyFill="1" applyAlignment="1">
      <alignment horizontal="left"/>
    </xf>
    <xf numFmtId="0" fontId="5" fillId="3" borderId="15" xfId="0" applyFont="1" applyFill="1" applyBorder="1"/>
    <xf numFmtId="4" fontId="1" fillId="0" borderId="15" xfId="0" applyNumberFormat="1" applyFont="1" applyBorder="1"/>
    <xf numFmtId="0" fontId="5" fillId="4" borderId="16" xfId="0" applyFont="1" applyFill="1" applyBorder="1"/>
    <xf numFmtId="165" fontId="26" fillId="0" borderId="7" xfId="6" applyNumberFormat="1" applyFont="1" applyFill="1" applyBorder="1"/>
    <xf numFmtId="172" fontId="13" fillId="0" borderId="7" xfId="5" applyNumberFormat="1" applyFill="1" applyBorder="1"/>
    <xf numFmtId="172" fontId="13" fillId="0" borderId="8" xfId="5" applyNumberFormat="1" applyFill="1" applyBorder="1"/>
    <xf numFmtId="165" fontId="0" fillId="0" borderId="8" xfId="0" applyNumberFormat="1" applyBorder="1"/>
    <xf numFmtId="165" fontId="1" fillId="0" borderId="7" xfId="0" applyNumberFormat="1" applyFont="1" applyBorder="1"/>
    <xf numFmtId="165" fontId="1" fillId="0" borderId="3" xfId="0" applyNumberFormat="1" applyFont="1" applyBorder="1"/>
    <xf numFmtId="1" fontId="1" fillId="0" borderId="10" xfId="0" applyNumberFormat="1" applyFont="1" applyBorder="1"/>
    <xf numFmtId="0" fontId="5" fillId="4" borderId="4" xfId="0" applyFont="1" applyFill="1" applyBorder="1" applyAlignment="1">
      <alignment horizontal="left"/>
    </xf>
    <xf numFmtId="0" fontId="5" fillId="4" borderId="6" xfId="0" applyFont="1" applyFill="1" applyBorder="1" applyAlignment="1">
      <alignment horizontal="left"/>
    </xf>
    <xf numFmtId="0" fontId="6" fillId="5" borderId="2" xfId="0" applyFont="1" applyFill="1" applyBorder="1"/>
    <xf numFmtId="0" fontId="6" fillId="5" borderId="3" xfId="0" applyFont="1" applyFill="1" applyBorder="1"/>
    <xf numFmtId="0" fontId="5" fillId="5" borderId="2" xfId="0" applyFont="1" applyFill="1" applyBorder="1" applyAlignment="1">
      <alignment horizontal="left"/>
    </xf>
    <xf numFmtId="0" fontId="5" fillId="5" borderId="3" xfId="0" applyFont="1" applyFill="1" applyBorder="1" applyAlignment="1">
      <alignment horizontal="left"/>
    </xf>
    <xf numFmtId="0" fontId="0" fillId="0" borderId="5" xfId="0" applyBorder="1"/>
    <xf numFmtId="0" fontId="0" fillId="0" borderId="20" xfId="0" applyBorder="1"/>
    <xf numFmtId="0" fontId="0" fillId="0" borderId="21" xfId="0" applyBorder="1"/>
    <xf numFmtId="0" fontId="1" fillId="0" borderId="20" xfId="0" applyFont="1" applyBorder="1"/>
    <xf numFmtId="165" fontId="0" fillId="0" borderId="21" xfId="0" applyNumberFormat="1" applyBorder="1" applyAlignment="1">
      <alignment horizontal="right"/>
    </xf>
    <xf numFmtId="0" fontId="1" fillId="0" borderId="20" xfId="0" applyFont="1" applyBorder="1" applyAlignment="1">
      <alignment horizontal="left"/>
    </xf>
    <xf numFmtId="0" fontId="5" fillId="3" borderId="22" xfId="0" applyFont="1" applyFill="1" applyBorder="1" applyAlignment="1">
      <alignment horizontal="left"/>
    </xf>
    <xf numFmtId="165" fontId="0" fillId="0" borderId="24" xfId="0" applyNumberFormat="1" applyBorder="1" applyAlignment="1">
      <alignment horizontal="right"/>
    </xf>
    <xf numFmtId="0" fontId="0" fillId="0" borderId="23" xfId="0" applyBorder="1"/>
    <xf numFmtId="0" fontId="1" fillId="0" borderId="25" xfId="0" applyFont="1" applyBorder="1"/>
    <xf numFmtId="0" fontId="5" fillId="4" borderId="19" xfId="0" applyFont="1" applyFill="1" applyBorder="1" applyAlignment="1">
      <alignment horizontal="left"/>
    </xf>
    <xf numFmtId="0" fontId="1" fillId="0" borderId="26" xfId="0" applyFont="1" applyBorder="1"/>
    <xf numFmtId="0" fontId="5" fillId="4" borderId="18" xfId="0" applyFont="1" applyFill="1" applyBorder="1" applyAlignment="1">
      <alignment horizontal="left"/>
    </xf>
    <xf numFmtId="0" fontId="5" fillId="4" borderId="17" xfId="0" applyFont="1" applyFill="1" applyBorder="1" applyAlignment="1">
      <alignment horizontal="left"/>
    </xf>
    <xf numFmtId="0" fontId="0" fillId="0" borderId="26" xfId="0" applyBorder="1"/>
    <xf numFmtId="0" fontId="0" fillId="0" borderId="18" xfId="0" applyBorder="1"/>
    <xf numFmtId="0" fontId="1" fillId="0" borderId="18" xfId="0" applyFont="1" applyBorder="1"/>
    <xf numFmtId="165" fontId="0" fillId="0" borderId="18" xfId="0" applyNumberFormat="1" applyBorder="1" applyAlignment="1">
      <alignment horizontal="right"/>
    </xf>
    <xf numFmtId="165" fontId="1" fillId="0" borderId="18" xfId="0" applyNumberFormat="1" applyFont="1" applyBorder="1" applyAlignment="1">
      <alignment horizontal="right"/>
    </xf>
    <xf numFmtId="165" fontId="0" fillId="0" borderId="26" xfId="0" applyNumberFormat="1" applyBorder="1" applyAlignment="1">
      <alignment horizontal="right"/>
    </xf>
    <xf numFmtId="0" fontId="1" fillId="0" borderId="1" xfId="0" applyFont="1" applyBorder="1" applyAlignment="1">
      <alignment horizontal="left"/>
    </xf>
    <xf numFmtId="0" fontId="1" fillId="0" borderId="11" xfId="0" applyFont="1" applyBorder="1"/>
    <xf numFmtId="0" fontId="1" fillId="0" borderId="11" xfId="0" applyFont="1" applyBorder="1" applyAlignment="1">
      <alignment horizontal="left"/>
    </xf>
    <xf numFmtId="0" fontId="10" fillId="5" borderId="0" xfId="0" applyFont="1" applyFill="1" applyAlignment="1">
      <alignment horizontal="left"/>
    </xf>
    <xf numFmtId="0" fontId="11" fillId="5" borderId="0" xfId="0" applyFont="1" applyFill="1" applyAlignment="1">
      <alignment horizontal="left"/>
    </xf>
    <xf numFmtId="166" fontId="0" fillId="0" borderId="26" xfId="0" applyNumberFormat="1" applyBorder="1"/>
    <xf numFmtId="165" fontId="6" fillId="5" borderId="0" xfId="0" applyNumberFormat="1" applyFont="1" applyFill="1"/>
    <xf numFmtId="49" fontId="5" fillId="4" borderId="4" xfId="0" applyNumberFormat="1" applyFont="1" applyFill="1" applyBorder="1" applyAlignment="1">
      <alignment horizontal="left"/>
    </xf>
    <xf numFmtId="0" fontId="6" fillId="5" borderId="17" xfId="0" applyFont="1" applyFill="1" applyBorder="1" applyAlignment="1">
      <alignment horizontal="left"/>
    </xf>
    <xf numFmtId="165" fontId="1" fillId="0" borderId="27" xfId="0" applyNumberFormat="1" applyFont="1" applyBorder="1"/>
    <xf numFmtId="0" fontId="5" fillId="3" borderId="28" xfId="0" applyFont="1" applyFill="1" applyBorder="1"/>
    <xf numFmtId="165" fontId="1" fillId="0" borderId="29" xfId="0" applyNumberFormat="1" applyFont="1" applyBorder="1"/>
    <xf numFmtId="165" fontId="6" fillId="5" borderId="30" xfId="0" applyNumberFormat="1" applyFont="1" applyFill="1" applyBorder="1"/>
    <xf numFmtId="165" fontId="1" fillId="0" borderId="31" xfId="0" applyNumberFormat="1" applyFont="1" applyBorder="1"/>
    <xf numFmtId="165" fontId="0" fillId="0" borderId="30" xfId="0" applyNumberFormat="1" applyBorder="1"/>
    <xf numFmtId="0" fontId="0" fillId="0" borderId="32" xfId="0" applyBorder="1"/>
    <xf numFmtId="0" fontId="0" fillId="3" borderId="0" xfId="0" applyFill="1"/>
    <xf numFmtId="165" fontId="0" fillId="0" borderId="8" xfId="0" applyNumberFormat="1" applyBorder="1" applyAlignment="1">
      <alignment horizontal="right"/>
    </xf>
    <xf numFmtId="0" fontId="31" fillId="0" borderId="0" xfId="0" applyFont="1" applyAlignment="1">
      <alignment horizontal="left"/>
    </xf>
    <xf numFmtId="0" fontId="6" fillId="3" borderId="4" xfId="0" applyFont="1" applyFill="1" applyBorder="1"/>
    <xf numFmtId="0" fontId="6" fillId="3" borderId="5" xfId="0" applyFont="1" applyFill="1" applyBorder="1"/>
    <xf numFmtId="0" fontId="6" fillId="3" borderId="6" xfId="0" applyFont="1" applyFill="1" applyBorder="1"/>
    <xf numFmtId="0" fontId="0" fillId="0" borderId="10" xfId="0" applyBorder="1"/>
    <xf numFmtId="166" fontId="0" fillId="0" borderId="11" xfId="0" applyNumberFormat="1" applyBorder="1"/>
    <xf numFmtId="0" fontId="1" fillId="0" borderId="9" xfId="0" applyFont="1" applyBorder="1" applyAlignment="1">
      <alignment horizontal="left"/>
    </xf>
    <xf numFmtId="166" fontId="13" fillId="16" borderId="0" xfId="7" applyNumberFormat="1"/>
    <xf numFmtId="166" fontId="0" fillId="0" borderId="2" xfId="0" applyNumberFormat="1" applyBorder="1"/>
    <xf numFmtId="0" fontId="1" fillId="0" borderId="7" xfId="0" applyFont="1" applyBorder="1" applyAlignment="1">
      <alignment horizontal="left"/>
    </xf>
    <xf numFmtId="0" fontId="1" fillId="0" borderId="0" xfId="8" applyFont="1" applyFill="1" applyAlignment="1">
      <alignment horizontal="left"/>
    </xf>
    <xf numFmtId="0" fontId="1" fillId="0" borderId="1" xfId="8" applyFont="1" applyFill="1" applyBorder="1" applyAlignment="1">
      <alignment horizontal="left"/>
    </xf>
    <xf numFmtId="0" fontId="1" fillId="0" borderId="0" xfId="8" applyFont="1" applyFill="1"/>
    <xf numFmtId="0" fontId="32" fillId="0" borderId="0" xfId="0" applyFont="1"/>
    <xf numFmtId="2" fontId="0" fillId="0" borderId="1" xfId="0" applyNumberFormat="1" applyBorder="1"/>
    <xf numFmtId="0" fontId="5" fillId="18" borderId="2" xfId="0" applyFont="1" applyFill="1" applyBorder="1"/>
    <xf numFmtId="0" fontId="1" fillId="21" borderId="9" xfId="0" applyFont="1" applyFill="1" applyBorder="1"/>
    <xf numFmtId="2" fontId="0" fillId="21" borderId="10" xfId="0" applyNumberFormat="1" applyFill="1" applyBorder="1"/>
    <xf numFmtId="0" fontId="10" fillId="4" borderId="4" xfId="0" applyFont="1" applyFill="1" applyBorder="1" applyAlignment="1">
      <alignment horizontal="left"/>
    </xf>
    <xf numFmtId="2" fontId="10" fillId="4" borderId="5" xfId="0" applyNumberFormat="1" applyFont="1" applyFill="1" applyBorder="1" applyAlignment="1">
      <alignment horizontal="right"/>
    </xf>
    <xf numFmtId="0" fontId="10" fillId="4" borderId="5" xfId="0" applyFont="1" applyFill="1" applyBorder="1" applyAlignment="1">
      <alignment horizontal="left"/>
    </xf>
    <xf numFmtId="0" fontId="10" fillId="4" borderId="5" xfId="0" applyFont="1" applyFill="1" applyBorder="1"/>
    <xf numFmtId="166" fontId="10" fillId="4" borderId="5" xfId="0" applyNumberFormat="1" applyFont="1" applyFill="1" applyBorder="1"/>
    <xf numFmtId="0" fontId="0" fillId="21" borderId="10" xfId="0" applyFill="1" applyBorder="1"/>
    <xf numFmtId="0" fontId="5" fillId="17" borderId="4" xfId="0" applyFont="1" applyFill="1" applyBorder="1"/>
    <xf numFmtId="0" fontId="5" fillId="17" borderId="5" xfId="0" applyFont="1" applyFill="1" applyBorder="1"/>
    <xf numFmtId="0" fontId="5" fillId="17" borderId="6" xfId="0" applyFont="1" applyFill="1" applyBorder="1"/>
    <xf numFmtId="166" fontId="6" fillId="0" borderId="0" xfId="7" applyNumberFormat="1" applyFont="1" applyFill="1" applyAlignment="1">
      <alignment horizontal="right"/>
    </xf>
    <xf numFmtId="166" fontId="6" fillId="0" borderId="0" xfId="0" applyNumberFormat="1" applyFont="1" applyAlignment="1">
      <alignment horizontal="right"/>
    </xf>
    <xf numFmtId="2" fontId="26" fillId="0" borderId="0" xfId="0" applyNumberFormat="1" applyFont="1" applyAlignment="1">
      <alignment horizontal="right"/>
    </xf>
    <xf numFmtId="0" fontId="26" fillId="0" borderId="0" xfId="0" applyFont="1" applyAlignment="1">
      <alignment horizontal="left"/>
    </xf>
    <xf numFmtId="0" fontId="26" fillId="0" borderId="0" xfId="0" applyFont="1" applyAlignment="1">
      <alignment horizontal="center"/>
    </xf>
    <xf numFmtId="0" fontId="26" fillId="0" borderId="0" xfId="0" applyFont="1"/>
    <xf numFmtId="166" fontId="26" fillId="0" borderId="0" xfId="0" applyNumberFormat="1" applyFont="1"/>
    <xf numFmtId="2" fontId="26" fillId="0" borderId="0" xfId="1" applyNumberFormat="1" applyFont="1" applyFill="1" applyBorder="1"/>
    <xf numFmtId="2" fontId="0" fillId="0" borderId="8" xfId="0" applyNumberFormat="1" applyBorder="1" applyAlignment="1">
      <alignment horizontal="right"/>
    </xf>
    <xf numFmtId="2" fontId="26" fillId="0" borderId="1" xfId="1" applyNumberFormat="1" applyFont="1" applyFill="1" applyBorder="1"/>
    <xf numFmtId="2" fontId="0" fillId="0" borderId="10" xfId="0" applyNumberFormat="1" applyBorder="1" applyAlignment="1">
      <alignment horizontal="right"/>
    </xf>
    <xf numFmtId="1" fontId="1" fillId="0" borderId="7" xfId="0" applyNumberFormat="1" applyFont="1" applyBorder="1" applyAlignment="1">
      <alignment horizontal="right"/>
    </xf>
    <xf numFmtId="1" fontId="31" fillId="0" borderId="7" xfId="1" applyNumberFormat="1" applyFont="1" applyFill="1" applyBorder="1"/>
    <xf numFmtId="1" fontId="31" fillId="0" borderId="9" xfId="1" applyNumberFormat="1" applyFont="1" applyFill="1" applyBorder="1"/>
    <xf numFmtId="2" fontId="1" fillId="0" borderId="27" xfId="0" applyNumberFormat="1" applyFont="1" applyBorder="1"/>
    <xf numFmtId="2" fontId="0" fillId="0" borderId="23" xfId="0" applyNumberFormat="1" applyBorder="1"/>
    <xf numFmtId="2" fontId="0" fillId="0" borderId="20" xfId="0" applyNumberFormat="1" applyBorder="1"/>
    <xf numFmtId="0" fontId="1" fillId="0" borderId="33" xfId="0" applyFont="1" applyBorder="1"/>
    <xf numFmtId="2" fontId="0" fillId="0" borderId="34" xfId="0" applyNumberFormat="1" applyBorder="1" applyAlignment="1">
      <alignment horizontal="right"/>
    </xf>
    <xf numFmtId="0" fontId="0" fillId="0" borderId="34" xfId="0" applyBorder="1" applyAlignment="1">
      <alignment horizontal="left"/>
    </xf>
    <xf numFmtId="0" fontId="0" fillId="0" borderId="34" xfId="0" applyBorder="1" applyAlignment="1">
      <alignment horizontal="center"/>
    </xf>
    <xf numFmtId="0" fontId="0" fillId="0" borderId="34" xfId="0" applyBorder="1"/>
    <xf numFmtId="166" fontId="13" fillId="16" borderId="34" xfId="7" applyNumberFormat="1" applyBorder="1"/>
    <xf numFmtId="166" fontId="6" fillId="0" borderId="34" xfId="7" applyNumberFormat="1" applyFont="1" applyFill="1" applyBorder="1" applyAlignment="1">
      <alignment horizontal="right"/>
    </xf>
    <xf numFmtId="0" fontId="1" fillId="0" borderId="35" xfId="0" applyFont="1" applyBorder="1" applyAlignment="1">
      <alignment horizontal="left"/>
    </xf>
    <xf numFmtId="0" fontId="31" fillId="0" borderId="36" xfId="0" applyFont="1" applyBorder="1" applyAlignment="1">
      <alignment horizontal="left"/>
    </xf>
    <xf numFmtId="2" fontId="26" fillId="0" borderId="37" xfId="0" applyNumberFormat="1" applyFont="1" applyBorder="1" applyAlignment="1">
      <alignment horizontal="right"/>
    </xf>
    <xf numFmtId="0" fontId="26" fillId="0" borderId="37" xfId="0" applyFont="1" applyBorder="1" applyAlignment="1">
      <alignment horizontal="left"/>
    </xf>
    <xf numFmtId="0" fontId="26" fillId="0" borderId="37" xfId="0" applyFont="1" applyBorder="1" applyAlignment="1">
      <alignment horizontal="center"/>
    </xf>
    <xf numFmtId="0" fontId="26" fillId="0" borderId="37" xfId="0" applyFont="1" applyBorder="1"/>
    <xf numFmtId="166" fontId="26" fillId="0" borderId="37" xfId="0" applyNumberFormat="1" applyFont="1" applyBorder="1"/>
    <xf numFmtId="166" fontId="6" fillId="0" borderId="37" xfId="7" applyNumberFormat="1" applyFont="1" applyFill="1" applyBorder="1" applyAlignment="1">
      <alignment horizontal="right"/>
    </xf>
    <xf numFmtId="166" fontId="0" fillId="0" borderId="37" xfId="0" applyNumberFormat="1" applyBorder="1"/>
    <xf numFmtId="0" fontId="1" fillId="0" borderId="33" xfId="8" applyFont="1" applyFill="1" applyBorder="1"/>
    <xf numFmtId="0" fontId="4" fillId="0" borderId="34" xfId="0" applyFont="1" applyBorder="1" applyAlignment="1">
      <alignment horizontal="left"/>
    </xf>
    <xf numFmtId="166" fontId="6" fillId="0" borderId="34" xfId="0" applyNumberFormat="1" applyFont="1" applyBorder="1" applyAlignment="1">
      <alignment horizontal="right"/>
    </xf>
    <xf numFmtId="0" fontId="1" fillId="0" borderId="35" xfId="8" applyFont="1" applyFill="1" applyBorder="1" applyAlignment="1">
      <alignment horizontal="left"/>
    </xf>
    <xf numFmtId="0" fontId="1" fillId="0" borderId="36" xfId="8" applyFont="1" applyFill="1" applyBorder="1" applyAlignment="1">
      <alignment horizontal="left"/>
    </xf>
    <xf numFmtId="2" fontId="0" fillId="0" borderId="37" xfId="0" applyNumberFormat="1" applyBorder="1" applyAlignment="1">
      <alignment horizontal="right"/>
    </xf>
    <xf numFmtId="0" fontId="0" fillId="0" borderId="37" xfId="0" applyBorder="1" applyAlignment="1">
      <alignment horizontal="left"/>
    </xf>
    <xf numFmtId="0" fontId="0" fillId="0" borderId="37" xfId="0" applyBorder="1" applyAlignment="1">
      <alignment horizontal="center"/>
    </xf>
    <xf numFmtId="0" fontId="0" fillId="0" borderId="37" xfId="0" applyBorder="1"/>
    <xf numFmtId="166" fontId="6" fillId="0" borderId="37" xfId="0" applyNumberFormat="1" applyFont="1" applyBorder="1" applyAlignment="1">
      <alignment horizontal="right"/>
    </xf>
    <xf numFmtId="0" fontId="1" fillId="20" borderId="0" xfId="0" applyFont="1" applyFill="1"/>
    <xf numFmtId="4" fontId="0" fillId="0" borderId="0" xfId="0" applyNumberFormat="1"/>
    <xf numFmtId="4" fontId="0" fillId="0" borderId="1" xfId="0" applyNumberFormat="1" applyBorder="1"/>
    <xf numFmtId="0" fontId="10" fillId="5" borderId="7" xfId="0" applyFont="1" applyFill="1" applyBorder="1" applyAlignment="1">
      <alignment horizontal="left"/>
    </xf>
    <xf numFmtId="0" fontId="10" fillId="18" borderId="7" xfId="0" applyFont="1" applyFill="1" applyBorder="1" applyAlignment="1">
      <alignment horizontal="left"/>
    </xf>
    <xf numFmtId="0" fontId="6" fillId="4" borderId="5" xfId="0" applyFont="1" applyFill="1" applyBorder="1" applyAlignment="1">
      <alignment horizontal="right"/>
    </xf>
    <xf numFmtId="0" fontId="6" fillId="4" borderId="5" xfId="0" applyFont="1" applyFill="1" applyBorder="1" applyAlignment="1">
      <alignment horizontal="left"/>
    </xf>
    <xf numFmtId="0" fontId="6" fillId="4" borderId="5" xfId="0" applyFont="1" applyFill="1" applyBorder="1"/>
    <xf numFmtId="165" fontId="6" fillId="4" borderId="5" xfId="0" applyNumberFormat="1" applyFont="1" applyFill="1" applyBorder="1"/>
    <xf numFmtId="0" fontId="10" fillId="5" borderId="7" xfId="0" applyFont="1" applyFill="1" applyBorder="1"/>
    <xf numFmtId="0" fontId="5" fillId="5" borderId="0" xfId="0" applyFont="1" applyFill="1"/>
    <xf numFmtId="0" fontId="6" fillId="18" borderId="0" xfId="0" applyFont="1" applyFill="1" applyAlignment="1">
      <alignment horizontal="right"/>
    </xf>
    <xf numFmtId="0" fontId="6" fillId="18" borderId="0" xfId="0" applyFont="1" applyFill="1" applyAlignment="1">
      <alignment horizontal="left"/>
    </xf>
    <xf numFmtId="0" fontId="6" fillId="18" borderId="0" xfId="0" applyFont="1" applyFill="1"/>
    <xf numFmtId="165" fontId="9" fillId="2" borderId="0" xfId="1" applyNumberFormat="1" applyBorder="1"/>
    <xf numFmtId="165" fontId="6" fillId="18" borderId="0" xfId="0" applyNumberFormat="1" applyFont="1" applyFill="1"/>
    <xf numFmtId="0" fontId="1" fillId="0" borderId="2" xfId="0" applyFont="1" applyBorder="1" applyAlignment="1">
      <alignment horizontal="left"/>
    </xf>
    <xf numFmtId="165" fontId="0" fillId="0" borderId="11" xfId="0" applyNumberFormat="1" applyBorder="1"/>
    <xf numFmtId="168" fontId="0" fillId="0" borderId="0" xfId="0" applyNumberFormat="1" applyAlignment="1">
      <alignment horizontal="right"/>
    </xf>
    <xf numFmtId="2" fontId="1" fillId="0" borderId="0" xfId="0" applyNumberFormat="1" applyFont="1"/>
    <xf numFmtId="1" fontId="1" fillId="0" borderId="0" xfId="0" applyNumberFormat="1" applyFont="1"/>
    <xf numFmtId="1" fontId="5" fillId="4" borderId="4" xfId="0" applyNumberFormat="1" applyFont="1" applyFill="1" applyBorder="1"/>
    <xf numFmtId="2" fontId="5" fillId="4" borderId="5" xfId="0" applyNumberFormat="1" applyFont="1" applyFill="1" applyBorder="1"/>
    <xf numFmtId="174" fontId="2" fillId="0" borderId="8" xfId="0" applyNumberFormat="1" applyFont="1" applyBorder="1"/>
    <xf numFmtId="174" fontId="2" fillId="0" borderId="10" xfId="0" applyNumberFormat="1" applyFont="1" applyBorder="1"/>
    <xf numFmtId="1" fontId="0" fillId="0" borderId="7" xfId="0" applyNumberFormat="1" applyBorder="1"/>
    <xf numFmtId="1" fontId="0" fillId="0" borderId="9" xfId="0" applyNumberFormat="1" applyBorder="1"/>
    <xf numFmtId="1" fontId="5" fillId="3" borderId="4" xfId="0" applyNumberFormat="1" applyFont="1" applyFill="1" applyBorder="1"/>
    <xf numFmtId="2" fontId="5" fillId="3" borderId="5" xfId="0" applyNumberFormat="1" applyFont="1" applyFill="1" applyBorder="1"/>
    <xf numFmtId="49" fontId="1" fillId="0" borderId="0" xfId="0" applyNumberFormat="1" applyFont="1"/>
    <xf numFmtId="0" fontId="6" fillId="0" borderId="0" xfId="0" applyFont="1"/>
    <xf numFmtId="1" fontId="6" fillId="0" borderId="0" xfId="0" applyNumberFormat="1" applyFont="1"/>
    <xf numFmtId="10" fontId="0" fillId="0" borderId="0" xfId="0" applyNumberFormat="1"/>
    <xf numFmtId="10" fontId="6" fillId="0" borderId="0" xfId="0" applyNumberFormat="1" applyFont="1"/>
    <xf numFmtId="1" fontId="0" fillId="20" borderId="0" xfId="0" applyNumberFormat="1" applyFill="1"/>
    <xf numFmtId="10" fontId="0" fillId="20" borderId="0" xfId="0" applyNumberFormat="1" applyFill="1"/>
    <xf numFmtId="49" fontId="31" fillId="0" borderId="0" xfId="0" applyNumberFormat="1" applyFont="1"/>
    <xf numFmtId="1" fontId="26" fillId="0" borderId="0" xfId="0" applyNumberFormat="1" applyFont="1"/>
    <xf numFmtId="49" fontId="31" fillId="0" borderId="7" xfId="0" applyNumberFormat="1" applyFont="1" applyBorder="1"/>
    <xf numFmtId="1" fontId="26" fillId="0" borderId="8" xfId="0" applyNumberFormat="1" applyFont="1" applyBorder="1"/>
    <xf numFmtId="49" fontId="31" fillId="0" borderId="9" xfId="0" applyNumberFormat="1" applyFont="1" applyBorder="1"/>
    <xf numFmtId="1" fontId="26" fillId="0" borderId="1" xfId="0" applyNumberFormat="1" applyFont="1" applyBorder="1"/>
    <xf numFmtId="1" fontId="26" fillId="0" borderId="10" xfId="0" applyNumberFormat="1" applyFont="1" applyBorder="1"/>
    <xf numFmtId="10" fontId="26" fillId="0" borderId="0" xfId="0" applyNumberFormat="1" applyFont="1"/>
    <xf numFmtId="10" fontId="26" fillId="0" borderId="1" xfId="0" applyNumberFormat="1" applyFont="1" applyBorder="1"/>
    <xf numFmtId="0" fontId="19" fillId="0" borderId="0" xfId="9"/>
    <xf numFmtId="0" fontId="19" fillId="0" borderId="0" xfId="10"/>
    <xf numFmtId="166" fontId="19" fillId="0" borderId="0" xfId="10" applyNumberFormat="1"/>
    <xf numFmtId="0" fontId="19" fillId="0" borderId="0" xfId="10" applyAlignment="1">
      <alignment horizontal="center"/>
    </xf>
    <xf numFmtId="166" fontId="19" fillId="0" borderId="0" xfId="10" applyNumberFormat="1" applyAlignment="1">
      <alignment horizontal="center"/>
    </xf>
    <xf numFmtId="0" fontId="33" fillId="0" borderId="0" xfId="10" applyFont="1" applyAlignment="1">
      <alignment horizontal="center"/>
    </xf>
    <xf numFmtId="166" fontId="33" fillId="0" borderId="0" xfId="10" applyNumberFormat="1" applyFont="1" applyAlignment="1">
      <alignment horizontal="center"/>
    </xf>
    <xf numFmtId="0" fontId="19" fillId="22" borderId="0" xfId="10" applyFill="1"/>
    <xf numFmtId="0" fontId="34" fillId="0" borderId="0" xfId="10" applyFont="1"/>
    <xf numFmtId="166" fontId="34" fillId="0" borderId="0" xfId="10" applyNumberFormat="1" applyFont="1"/>
    <xf numFmtId="0" fontId="17" fillId="0" borderId="0" xfId="10" applyFont="1"/>
    <xf numFmtId="166" fontId="17" fillId="0" borderId="0" xfId="10" applyNumberFormat="1" applyFont="1" applyAlignment="1">
      <alignment horizontal="center"/>
    </xf>
    <xf numFmtId="0" fontId="17" fillId="0" borderId="0" xfId="10" applyFont="1" applyAlignment="1">
      <alignment horizontal="center"/>
    </xf>
    <xf numFmtId="166" fontId="17" fillId="0" borderId="0" xfId="10" applyNumberFormat="1" applyFont="1"/>
    <xf numFmtId="175" fontId="19" fillId="0" borderId="0" xfId="10" applyNumberFormat="1"/>
    <xf numFmtId="0" fontId="19" fillId="0" borderId="0" xfId="10" applyAlignment="1">
      <alignment horizontal="right"/>
    </xf>
    <xf numFmtId="2" fontId="19" fillId="22" borderId="0" xfId="10" applyNumberFormat="1" applyFill="1"/>
    <xf numFmtId="2" fontId="19" fillId="0" borderId="0" xfId="10" applyNumberFormat="1"/>
    <xf numFmtId="11" fontId="19" fillId="0" borderId="0" xfId="10" applyNumberFormat="1"/>
    <xf numFmtId="2" fontId="19" fillId="0" borderId="0" xfId="9" applyNumberFormat="1"/>
    <xf numFmtId="166" fontId="19" fillId="0" borderId="38" xfId="10" applyNumberFormat="1" applyBorder="1"/>
    <xf numFmtId="166" fontId="19" fillId="22" borderId="38" xfId="10" applyNumberFormat="1" applyFill="1" applyBorder="1"/>
    <xf numFmtId="168" fontId="0" fillId="0" borderId="0" xfId="0" applyNumberFormat="1"/>
    <xf numFmtId="168" fontId="0" fillId="0" borderId="1" xfId="0" applyNumberFormat="1" applyBorder="1"/>
    <xf numFmtId="168" fontId="0" fillId="0" borderId="1" xfId="0" applyNumberFormat="1" applyBorder="1" applyAlignment="1">
      <alignment horizontal="right"/>
    </xf>
    <xf numFmtId="165" fontId="1" fillId="0" borderId="26" xfId="0" applyNumberFormat="1" applyFont="1" applyBorder="1"/>
    <xf numFmtId="0" fontId="5" fillId="5" borderId="0" xfId="0" applyFont="1" applyFill="1" applyAlignment="1">
      <alignment horizontal="left"/>
    </xf>
    <xf numFmtId="0" fontId="5" fillId="5" borderId="12" xfId="0" applyFont="1" applyFill="1" applyBorder="1"/>
    <xf numFmtId="0" fontId="5" fillId="5" borderId="13" xfId="0" applyFont="1" applyFill="1" applyBorder="1"/>
    <xf numFmtId="0" fontId="5" fillId="17" borderId="2" xfId="0" applyFont="1" applyFill="1" applyBorder="1"/>
    <xf numFmtId="0" fontId="31" fillId="0" borderId="3" xfId="0" applyFont="1" applyBorder="1"/>
    <xf numFmtId="175" fontId="0" fillId="0" borderId="0" xfId="0" applyNumberFormat="1"/>
    <xf numFmtId="172" fontId="0" fillId="0" borderId="2" xfId="0" applyNumberFormat="1" applyBorder="1"/>
    <xf numFmtId="172" fontId="0" fillId="0" borderId="11" xfId="0" applyNumberFormat="1" applyBorder="1"/>
    <xf numFmtId="166" fontId="1" fillId="0" borderId="15" xfId="0" applyNumberFormat="1" applyFont="1" applyBorder="1"/>
    <xf numFmtId="172" fontId="0" fillId="0" borderId="0" xfId="0" applyNumberFormat="1"/>
    <xf numFmtId="172" fontId="0" fillId="0" borderId="1" xfId="0" applyNumberFormat="1" applyBorder="1"/>
    <xf numFmtId="172" fontId="0" fillId="0" borderId="3" xfId="0" applyNumberFormat="1" applyBorder="1"/>
    <xf numFmtId="166" fontId="0" fillId="0" borderId="3" xfId="0" applyNumberFormat="1" applyBorder="1"/>
    <xf numFmtId="10" fontId="0" fillId="0" borderId="2" xfId="0" applyNumberFormat="1" applyBorder="1"/>
    <xf numFmtId="10" fontId="0" fillId="0" borderId="11" xfId="0" applyNumberFormat="1" applyBorder="1"/>
    <xf numFmtId="10" fontId="0" fillId="0" borderId="3" xfId="0" applyNumberFormat="1" applyBorder="1"/>
    <xf numFmtId="0" fontId="1" fillId="0" borderId="4" xfId="0" applyFont="1" applyBorder="1"/>
    <xf numFmtId="0" fontId="1" fillId="0" borderId="5" xfId="0" applyFont="1" applyBorder="1"/>
    <xf numFmtId="0" fontId="1" fillId="0" borderId="6" xfId="0" applyFont="1" applyBorder="1"/>
    <xf numFmtId="49" fontId="0" fillId="0" borderId="9" xfId="0" applyNumberFormat="1" applyBorder="1"/>
    <xf numFmtId="176" fontId="0" fillId="0" borderId="0" xfId="0" applyNumberFormat="1"/>
    <xf numFmtId="176" fontId="0" fillId="0" borderId="8" xfId="0" applyNumberFormat="1" applyBorder="1"/>
    <xf numFmtId="176" fontId="0" fillId="0" borderId="1" xfId="0" applyNumberFormat="1" applyBorder="1"/>
    <xf numFmtId="176" fontId="0" fillId="0" borderId="10" xfId="0" applyNumberFormat="1" applyBorder="1"/>
    <xf numFmtId="4" fontId="1" fillId="0" borderId="0" xfId="0" applyNumberFormat="1" applyFont="1"/>
    <xf numFmtId="0" fontId="3" fillId="0" borderId="0" xfId="0" applyFont="1"/>
    <xf numFmtId="0" fontId="2" fillId="0" borderId="0" xfId="0" applyFont="1"/>
    <xf numFmtId="165" fontId="9" fillId="2" borderId="0" xfId="1" applyNumberFormat="1"/>
    <xf numFmtId="0" fontId="5" fillId="4" borderId="5" xfId="0" applyFont="1" applyFill="1" applyBorder="1"/>
    <xf numFmtId="166" fontId="13" fillId="16" borderId="0" xfId="7" applyNumberFormat="1" applyBorder="1"/>
    <xf numFmtId="166" fontId="13" fillId="0" borderId="0" xfId="7" applyNumberFormat="1" applyFill="1" applyBorder="1" applyAlignment="1">
      <alignment horizontal="right"/>
    </xf>
    <xf numFmtId="0" fontId="1" fillId="0" borderId="7" xfId="8" applyFont="1" applyFill="1" applyBorder="1" applyAlignment="1">
      <alignment horizontal="left"/>
    </xf>
    <xf numFmtId="0" fontId="1" fillId="0" borderId="9" xfId="8" applyFont="1" applyFill="1" applyBorder="1" applyAlignment="1">
      <alignment horizontal="left"/>
    </xf>
    <xf numFmtId="0" fontId="5" fillId="3" borderId="0" xfId="0" applyFont="1" applyFill="1" applyAlignment="1">
      <alignment horizontal="center"/>
    </xf>
    <xf numFmtId="0" fontId="5" fillId="4" borderId="4" xfId="0" applyFont="1" applyFill="1" applyBorder="1"/>
    <xf numFmtId="0" fontId="5" fillId="4" borderId="6" xfId="0" applyFont="1" applyFill="1" applyBorder="1"/>
    <xf numFmtId="0" fontId="6" fillId="5" borderId="7" xfId="0" applyFont="1" applyFill="1" applyBorder="1" applyAlignment="1">
      <alignment horizontal="left"/>
    </xf>
    <xf numFmtId="0" fontId="6" fillId="5" borderId="8" xfId="0" applyFont="1" applyFill="1" applyBorder="1" applyAlignment="1">
      <alignment horizontal="left"/>
    </xf>
    <xf numFmtId="172" fontId="1" fillId="0" borderId="15" xfId="0" applyNumberFormat="1" applyFont="1" applyBorder="1"/>
    <xf numFmtId="2" fontId="1" fillId="0" borderId="3" xfId="0" applyNumberFormat="1" applyFont="1" applyBorder="1"/>
    <xf numFmtId="172" fontId="1" fillId="0" borderId="3" xfId="0" applyNumberFormat="1" applyFont="1" applyBorder="1"/>
    <xf numFmtId="172" fontId="0" fillId="0" borderId="16" xfId="0" applyNumberFormat="1" applyBorder="1"/>
    <xf numFmtId="2" fontId="0" fillId="0" borderId="16" xfId="0" applyNumberFormat="1" applyBorder="1"/>
    <xf numFmtId="3" fontId="1" fillId="0" borderId="15" xfId="0" applyNumberFormat="1" applyFont="1" applyBorder="1"/>
    <xf numFmtId="172" fontId="0" fillId="0" borderId="12" xfId="0" applyNumberFormat="1" applyBorder="1"/>
    <xf numFmtId="172" fontId="0" fillId="0" borderId="13" xfId="0" applyNumberFormat="1" applyBorder="1"/>
    <xf numFmtId="0" fontId="1" fillId="0" borderId="0" xfId="0" applyFont="1" applyAlignment="1">
      <alignment horizontal="right"/>
    </xf>
    <xf numFmtId="3" fontId="1" fillId="0" borderId="0" xfId="0" applyNumberFormat="1" applyFont="1" applyAlignment="1">
      <alignment horizontal="left"/>
    </xf>
    <xf numFmtId="173" fontId="0" fillId="0" borderId="0" xfId="0" applyNumberFormat="1" applyAlignment="1">
      <alignment horizontal="right"/>
    </xf>
    <xf numFmtId="3" fontId="10" fillId="4" borderId="5" xfId="0" applyNumberFormat="1" applyFont="1" applyFill="1" applyBorder="1"/>
    <xf numFmtId="0" fontId="0" fillId="21" borderId="12" xfId="0" applyFill="1" applyBorder="1"/>
    <xf numFmtId="0" fontId="0" fillId="21" borderId="13" xfId="0" applyFill="1" applyBorder="1"/>
    <xf numFmtId="0" fontId="0" fillId="21" borderId="14" xfId="0" applyFill="1" applyBorder="1"/>
    <xf numFmtId="0" fontId="1" fillId="21" borderId="14" xfId="0" applyFont="1" applyFill="1" applyBorder="1" applyAlignment="1">
      <alignment horizontal="left"/>
    </xf>
    <xf numFmtId="3" fontId="1" fillId="21" borderId="14" xfId="0" applyNumberFormat="1" applyFont="1" applyFill="1" applyBorder="1" applyAlignment="1">
      <alignment horizontal="left"/>
    </xf>
    <xf numFmtId="0" fontId="0" fillId="21" borderId="14" xfId="0" applyFill="1" applyBorder="1" applyAlignment="1">
      <alignment horizontal="left"/>
    </xf>
    <xf numFmtId="9" fontId="0" fillId="0" borderId="10" xfId="11" applyFont="1" applyBorder="1"/>
    <xf numFmtId="49" fontId="31" fillId="21" borderId="9" xfId="0" applyNumberFormat="1" applyFont="1" applyFill="1" applyBorder="1"/>
    <xf numFmtId="1" fontId="26" fillId="21" borderId="1" xfId="0" applyNumberFormat="1" applyFont="1" applyFill="1" applyBorder="1"/>
    <xf numFmtId="1" fontId="26" fillId="21" borderId="10" xfId="0" applyNumberFormat="1" applyFont="1" applyFill="1" applyBorder="1"/>
    <xf numFmtId="10" fontId="26" fillId="21" borderId="1" xfId="0" applyNumberFormat="1" applyFont="1" applyFill="1" applyBorder="1"/>
    <xf numFmtId="10" fontId="0" fillId="21" borderId="10" xfId="0" applyNumberFormat="1" applyFill="1" applyBorder="1"/>
    <xf numFmtId="1" fontId="0" fillId="0" borderId="1" xfId="0" applyNumberFormat="1" applyBorder="1"/>
    <xf numFmtId="1" fontId="0" fillId="0" borderId="11" xfId="0" applyNumberFormat="1" applyBorder="1"/>
    <xf numFmtId="1" fontId="6" fillId="4" borderId="5" xfId="0" applyNumberFormat="1" applyFont="1" applyFill="1" applyBorder="1"/>
    <xf numFmtId="1" fontId="6" fillId="4" borderId="0" xfId="0" applyNumberFormat="1" applyFont="1" applyFill="1"/>
    <xf numFmtId="1" fontId="6" fillId="5" borderId="0" xfId="0" applyNumberFormat="1" applyFont="1" applyFill="1"/>
    <xf numFmtId="1" fontId="6" fillId="18" borderId="0" xfId="0" applyNumberFormat="1" applyFont="1" applyFill="1"/>
    <xf numFmtId="1" fontId="5" fillId="5" borderId="0" xfId="0" applyNumberFormat="1" applyFont="1" applyFill="1"/>
    <xf numFmtId="1" fontId="1" fillId="0" borderId="0" xfId="0" applyNumberFormat="1" applyFont="1" applyAlignment="1">
      <alignment horizontal="right"/>
    </xf>
    <xf numFmtId="1" fontId="1" fillId="0" borderId="0" xfId="0" applyNumberFormat="1" applyFont="1" applyAlignment="1">
      <alignment horizontal="left"/>
    </xf>
    <xf numFmtId="1" fontId="0" fillId="0" borderId="0" xfId="0" applyNumberFormat="1" applyAlignment="1">
      <alignment horizontal="right"/>
    </xf>
    <xf numFmtId="1" fontId="0" fillId="0" borderId="0" xfId="0" applyNumberFormat="1" applyAlignment="1">
      <alignment horizontal="left"/>
    </xf>
    <xf numFmtId="0" fontId="1" fillId="0" borderId="5" xfId="0" applyFont="1" applyBorder="1" applyAlignment="1">
      <alignment horizontal="left"/>
    </xf>
    <xf numFmtId="0" fontId="0" fillId="0" borderId="5" xfId="0" applyBorder="1" applyAlignment="1">
      <alignment horizontal="right"/>
    </xf>
    <xf numFmtId="0" fontId="0" fillId="0" borderId="5" xfId="0" applyBorder="1" applyAlignment="1">
      <alignment horizontal="left"/>
    </xf>
    <xf numFmtId="1" fontId="0" fillId="0" borderId="5" xfId="0" applyNumberFormat="1" applyBorder="1"/>
    <xf numFmtId="0" fontId="0" fillId="21" borderId="0" xfId="0" applyFill="1"/>
    <xf numFmtId="0" fontId="4" fillId="0" borderId="0" xfId="0" applyFont="1" applyAlignment="1">
      <alignment horizontal="left"/>
    </xf>
    <xf numFmtId="0" fontId="6" fillId="21" borderId="5" xfId="0" applyFont="1" applyFill="1" applyBorder="1"/>
    <xf numFmtId="0" fontId="1" fillId="0" borderId="7" xfId="8" applyFont="1" applyFill="1" applyBorder="1"/>
    <xf numFmtId="0" fontId="0" fillId="21" borderId="1" xfId="0" applyFill="1" applyBorder="1"/>
    <xf numFmtId="0" fontId="2" fillId="0" borderId="1" xfId="0" applyFont="1" applyBorder="1"/>
    <xf numFmtId="0" fontId="38" fillId="3" borderId="1" xfId="0" applyFont="1" applyFill="1" applyBorder="1"/>
    <xf numFmtId="0" fontId="2" fillId="0" borderId="11" xfId="0" applyFont="1" applyBorder="1"/>
    <xf numFmtId="0" fontId="38" fillId="4" borderId="0" xfId="0" applyFont="1" applyFill="1"/>
    <xf numFmtId="0" fontId="39" fillId="0" borderId="0" xfId="0" applyFont="1"/>
    <xf numFmtId="0" fontId="2" fillId="0" borderId="34" xfId="0" applyFont="1" applyBorder="1"/>
    <xf numFmtId="0" fontId="39" fillId="0" borderId="37" xfId="0" applyFont="1" applyBorder="1"/>
    <xf numFmtId="0" fontId="2" fillId="0" borderId="37" xfId="0" applyFont="1" applyBorder="1"/>
    <xf numFmtId="1" fontId="2" fillId="0" borderId="0" xfId="0" applyNumberFormat="1" applyFont="1"/>
    <xf numFmtId="1" fontId="2" fillId="0" borderId="1" xfId="0" applyNumberFormat="1" applyFont="1" applyBorder="1"/>
    <xf numFmtId="1" fontId="2" fillId="0" borderId="5" xfId="0" applyNumberFormat="1" applyFont="1" applyBorder="1"/>
    <xf numFmtId="1" fontId="38" fillId="4" borderId="5" xfId="0" applyNumberFormat="1" applyFont="1" applyFill="1" applyBorder="1"/>
    <xf numFmtId="1" fontId="2" fillId="0" borderId="11" xfId="0" applyNumberFormat="1" applyFont="1" applyBorder="1"/>
    <xf numFmtId="1" fontId="38" fillId="4" borderId="0" xfId="0" applyNumberFormat="1" applyFont="1" applyFill="1"/>
    <xf numFmtId="1" fontId="38" fillId="5" borderId="0" xfId="0" applyNumberFormat="1" applyFont="1" applyFill="1"/>
    <xf numFmtId="1" fontId="38" fillId="18" borderId="0" xfId="0" applyNumberFormat="1" applyFont="1" applyFill="1"/>
    <xf numFmtId="0" fontId="2" fillId="0" borderId="0" xfId="0" applyFont="1" applyAlignment="1">
      <alignment horizontal="left"/>
    </xf>
    <xf numFmtId="0" fontId="3" fillId="0" borderId="0" xfId="0" applyFont="1" applyAlignment="1">
      <alignment horizontal="left"/>
    </xf>
    <xf numFmtId="1" fontId="10" fillId="5" borderId="0" xfId="0" applyNumberFormat="1" applyFont="1" applyFill="1"/>
    <xf numFmtId="1" fontId="3" fillId="0" borderId="0" xfId="0" applyNumberFormat="1" applyFont="1" applyAlignment="1">
      <alignment horizontal="left"/>
    </xf>
    <xf numFmtId="1" fontId="2" fillId="0" borderId="0" xfId="0" applyNumberFormat="1" applyFont="1" applyAlignment="1">
      <alignment horizontal="left"/>
    </xf>
    <xf numFmtId="9" fontId="0" fillId="0" borderId="0" xfId="11" applyFont="1" applyBorder="1"/>
    <xf numFmtId="0" fontId="1" fillId="0" borderId="2" xfId="0" applyFont="1" applyBorder="1"/>
    <xf numFmtId="9" fontId="0" fillId="0" borderId="1" xfId="11" applyFont="1" applyBorder="1"/>
    <xf numFmtId="1" fontId="0" fillId="0" borderId="3" xfId="0" applyNumberFormat="1" applyBorder="1" applyAlignment="1">
      <alignment horizontal="right"/>
    </xf>
    <xf numFmtId="177" fontId="0" fillId="0" borderId="0" xfId="11" applyNumberFormat="1" applyFont="1" applyBorder="1"/>
    <xf numFmtId="177" fontId="0" fillId="0" borderId="8" xfId="11" applyNumberFormat="1" applyFont="1" applyBorder="1"/>
    <xf numFmtId="177" fontId="0" fillId="0" borderId="1" xfId="11" applyNumberFormat="1" applyFont="1" applyBorder="1"/>
    <xf numFmtId="177" fontId="1" fillId="0" borderId="0" xfId="11" applyNumberFormat="1" applyFont="1" applyBorder="1"/>
    <xf numFmtId="177" fontId="13" fillId="0" borderId="0" xfId="11" applyNumberFormat="1" applyFont="1" applyBorder="1"/>
    <xf numFmtId="172" fontId="0" fillId="21" borderId="0" xfId="0" applyNumberFormat="1" applyFill="1"/>
    <xf numFmtId="49" fontId="1" fillId="0" borderId="5" xfId="0" applyNumberFormat="1" applyFont="1" applyBorder="1"/>
    <xf numFmtId="1" fontId="13" fillId="23" borderId="0" xfId="12" applyNumberFormat="1"/>
    <xf numFmtId="10" fontId="13" fillId="23" borderId="0" xfId="12" applyNumberFormat="1"/>
    <xf numFmtId="0" fontId="1" fillId="23" borderId="0" xfId="12" applyFont="1"/>
    <xf numFmtId="0" fontId="1" fillId="0" borderId="15" xfId="0" applyFont="1" applyBorder="1"/>
    <xf numFmtId="175" fontId="1" fillId="0" borderId="1" xfId="0" applyNumberFormat="1" applyFont="1" applyBorder="1"/>
    <xf numFmtId="175" fontId="1" fillId="0" borderId="10" xfId="0" applyNumberFormat="1" applyFont="1" applyBorder="1"/>
    <xf numFmtId="165" fontId="1" fillId="0" borderId="0" xfId="0" applyNumberFormat="1" applyFont="1"/>
    <xf numFmtId="0" fontId="1" fillId="21" borderId="14" xfId="0" applyFont="1" applyFill="1" applyBorder="1"/>
    <xf numFmtId="1" fontId="3" fillId="0" borderId="0" xfId="0" applyNumberFormat="1" applyFont="1"/>
    <xf numFmtId="0" fontId="1" fillId="21" borderId="7" xfId="0" applyFont="1" applyFill="1" applyBorder="1" applyAlignment="1">
      <alignment horizontal="left"/>
    </xf>
    <xf numFmtId="0" fontId="0" fillId="21" borderId="0" xfId="0" applyFill="1" applyAlignment="1">
      <alignment horizontal="left"/>
    </xf>
    <xf numFmtId="0" fontId="5" fillId="4" borderId="7" xfId="0" applyFont="1" applyFill="1" applyBorder="1" applyAlignment="1">
      <alignment horizontal="left"/>
    </xf>
    <xf numFmtId="0" fontId="5" fillId="5" borderId="7" xfId="0" applyFont="1" applyFill="1" applyBorder="1" applyAlignment="1">
      <alignment horizontal="left"/>
    </xf>
    <xf numFmtId="0" fontId="5" fillId="3" borderId="39" xfId="0" applyFont="1" applyFill="1" applyBorder="1"/>
    <xf numFmtId="0" fontId="0" fillId="0" borderId="40" xfId="0" applyBorder="1"/>
    <xf numFmtId="0" fontId="5" fillId="4" borderId="41" xfId="0" applyFont="1" applyFill="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6" fillId="4" borderId="41" xfId="0" applyFont="1" applyFill="1" applyBorder="1"/>
    <xf numFmtId="166" fontId="0" fillId="0" borderId="41" xfId="0" applyNumberFormat="1" applyBorder="1"/>
    <xf numFmtId="166" fontId="26" fillId="0" borderId="41" xfId="0" applyNumberFormat="1" applyFont="1" applyBorder="1"/>
    <xf numFmtId="166" fontId="0" fillId="0" borderId="43" xfId="0" applyNumberFormat="1" applyBorder="1"/>
    <xf numFmtId="166" fontId="26" fillId="0" borderId="44" xfId="0" applyNumberFormat="1" applyFont="1" applyBorder="1"/>
    <xf numFmtId="166" fontId="0" fillId="0" borderId="44" xfId="0" applyNumberFormat="1" applyBorder="1"/>
    <xf numFmtId="0" fontId="10" fillId="4" borderId="45" xfId="0" applyFont="1" applyFill="1" applyBorder="1"/>
    <xf numFmtId="2" fontId="0" fillId="0" borderId="41" xfId="0" applyNumberFormat="1" applyBorder="1"/>
    <xf numFmtId="0" fontId="0" fillId="0" borderId="45" xfId="0" applyBorder="1"/>
    <xf numFmtId="0" fontId="6" fillId="4" borderId="45" xfId="0" applyFont="1" applyFill="1" applyBorder="1"/>
    <xf numFmtId="166" fontId="13" fillId="16" borderId="41" xfId="7" applyNumberFormat="1" applyBorder="1"/>
    <xf numFmtId="166" fontId="0" fillId="0" borderId="42" xfId="0" applyNumberFormat="1" applyBorder="1"/>
    <xf numFmtId="0" fontId="6" fillId="5" borderId="41" xfId="0" applyFont="1" applyFill="1" applyBorder="1"/>
    <xf numFmtId="165" fontId="0" fillId="0" borderId="41" xfId="0" applyNumberFormat="1" applyBorder="1"/>
    <xf numFmtId="165" fontId="6" fillId="5" borderId="41" xfId="0" applyNumberFormat="1" applyFont="1" applyFill="1" applyBorder="1"/>
    <xf numFmtId="0" fontId="0" fillId="0" borderId="41" xfId="0" applyBorder="1"/>
    <xf numFmtId="0" fontId="0" fillId="0" borderId="42" xfId="0" applyBorder="1"/>
    <xf numFmtId="0" fontId="6" fillId="18" borderId="41" xfId="0" applyFont="1" applyFill="1" applyBorder="1"/>
    <xf numFmtId="165" fontId="6" fillId="18" borderId="41" xfId="0" applyNumberFormat="1" applyFont="1" applyFill="1" applyBorder="1"/>
    <xf numFmtId="4" fontId="0" fillId="0" borderId="41" xfId="0" applyNumberFormat="1" applyBorder="1"/>
    <xf numFmtId="0" fontId="5" fillId="5" borderId="41" xfId="0" applyFont="1" applyFill="1" applyBorder="1"/>
    <xf numFmtId="4" fontId="0" fillId="0" borderId="42" xfId="0" applyNumberFormat="1" applyBorder="1"/>
    <xf numFmtId="165" fontId="6" fillId="4" borderId="45" xfId="0" applyNumberFormat="1" applyFont="1" applyFill="1" applyBorder="1"/>
    <xf numFmtId="165" fontId="0" fillId="0" borderId="40" xfId="0" applyNumberFormat="1" applyBorder="1"/>
    <xf numFmtId="166" fontId="0" fillId="0" borderId="46" xfId="0" applyNumberFormat="1" applyBorder="1"/>
    <xf numFmtId="0" fontId="6" fillId="21" borderId="10" xfId="0" applyFont="1" applyFill="1" applyBorder="1"/>
    <xf numFmtId="0" fontId="0" fillId="21" borderId="3" xfId="0" applyFill="1" applyBorder="1"/>
    <xf numFmtId="0" fontId="6" fillId="21" borderId="8" xfId="0" applyFont="1" applyFill="1" applyBorder="1"/>
    <xf numFmtId="0" fontId="0" fillId="21" borderId="8" xfId="0" applyFill="1" applyBorder="1"/>
    <xf numFmtId="0" fontId="26" fillId="21" borderId="8" xfId="0" applyFont="1" applyFill="1" applyBorder="1"/>
    <xf numFmtId="0" fontId="0" fillId="21" borderId="47" xfId="0" applyFill="1" applyBorder="1"/>
    <xf numFmtId="0" fontId="26" fillId="21" borderId="48" xfId="0" applyFont="1" applyFill="1" applyBorder="1"/>
    <xf numFmtId="0" fontId="0" fillId="21" borderId="48" xfId="0" applyFill="1" applyBorder="1"/>
    <xf numFmtId="0" fontId="10" fillId="21" borderId="6" xfId="0" applyFont="1" applyFill="1" applyBorder="1"/>
    <xf numFmtId="0" fontId="0" fillId="21" borderId="6" xfId="0" applyFill="1" applyBorder="1"/>
    <xf numFmtId="0" fontId="6" fillId="21" borderId="6" xfId="0" applyFont="1" applyFill="1" applyBorder="1"/>
    <xf numFmtId="0" fontId="5" fillId="21" borderId="8" xfId="0" applyFont="1" applyFill="1" applyBorder="1"/>
    <xf numFmtId="0" fontId="0" fillId="0" borderId="51" xfId="0" applyBorder="1"/>
    <xf numFmtId="0" fontId="0" fillId="0" borderId="52" xfId="0" applyBorder="1"/>
    <xf numFmtId="0" fontId="6" fillId="4" borderId="53" xfId="0" applyFont="1" applyFill="1" applyBorder="1"/>
    <xf numFmtId="0" fontId="6" fillId="4" borderId="54" xfId="0" applyFont="1" applyFill="1" applyBorder="1"/>
    <xf numFmtId="0" fontId="0" fillId="0" borderId="53" xfId="0" applyBorder="1"/>
    <xf numFmtId="0" fontId="0" fillId="0" borderId="54" xfId="0" applyBorder="1"/>
    <xf numFmtId="0" fontId="0" fillId="0" borderId="55" xfId="0" applyBorder="1"/>
    <xf numFmtId="0" fontId="0" fillId="0" borderId="56" xfId="0" applyBorder="1"/>
    <xf numFmtId="0" fontId="5" fillId="4" borderId="53" xfId="0" applyFont="1" applyFill="1" applyBorder="1"/>
    <xf numFmtId="166" fontId="0" fillId="0" borderId="53" xfId="0" applyNumberFormat="1" applyBorder="1"/>
    <xf numFmtId="0" fontId="26" fillId="0" borderId="54" xfId="0" applyFont="1" applyBorder="1"/>
    <xf numFmtId="0" fontId="0" fillId="0" borderId="57" xfId="0" applyBorder="1"/>
    <xf numFmtId="0" fontId="0" fillId="0" borderId="58" xfId="0" applyBorder="1"/>
    <xf numFmtId="166" fontId="0" fillId="0" borderId="59" xfId="0" applyNumberFormat="1" applyBorder="1"/>
    <xf numFmtId="0" fontId="26" fillId="0" borderId="60" xfId="0" applyFont="1" applyBorder="1"/>
    <xf numFmtId="0" fontId="31" fillId="0" borderId="60" xfId="0" applyFont="1" applyBorder="1" applyAlignment="1">
      <alignment horizontal="left"/>
    </xf>
    <xf numFmtId="0" fontId="0" fillId="0" borderId="60" xfId="0" applyBorder="1"/>
    <xf numFmtId="166" fontId="0" fillId="0" borderId="55" xfId="0" applyNumberFormat="1" applyBorder="1"/>
    <xf numFmtId="0" fontId="10" fillId="4" borderId="61" xfId="0" applyFont="1" applyFill="1" applyBorder="1"/>
    <xf numFmtId="0" fontId="10" fillId="4" borderId="62" xfId="0" applyFont="1" applyFill="1" applyBorder="1"/>
    <xf numFmtId="166" fontId="0" fillId="0" borderId="54" xfId="0" applyNumberFormat="1" applyBorder="1"/>
    <xf numFmtId="0" fontId="0" fillId="0" borderId="61" xfId="0" applyBorder="1"/>
    <xf numFmtId="0" fontId="0" fillId="0" borderId="62" xfId="0" applyBorder="1"/>
    <xf numFmtId="0" fontId="5" fillId="4" borderId="61" xfId="0" applyFont="1" applyFill="1" applyBorder="1"/>
    <xf numFmtId="0" fontId="6" fillId="4" borderId="62" xfId="0" applyFont="1" applyFill="1" applyBorder="1"/>
    <xf numFmtId="173" fontId="0" fillId="0" borderId="54" xfId="0" applyNumberFormat="1" applyBorder="1"/>
    <xf numFmtId="0" fontId="6" fillId="5" borderId="53" xfId="0" applyFont="1" applyFill="1" applyBorder="1"/>
    <xf numFmtId="0" fontId="6" fillId="5" borderId="54" xfId="0" applyFont="1" applyFill="1" applyBorder="1"/>
    <xf numFmtId="0" fontId="6" fillId="4" borderId="61" xfId="0" applyFont="1" applyFill="1" applyBorder="1"/>
    <xf numFmtId="0" fontId="6" fillId="18" borderId="53" xfId="0" applyFont="1" applyFill="1" applyBorder="1"/>
    <xf numFmtId="0" fontId="6" fillId="18" borderId="54" xfId="0" applyFont="1" applyFill="1" applyBorder="1"/>
    <xf numFmtId="1" fontId="9" fillId="2" borderId="53" xfId="1" applyNumberFormat="1" applyBorder="1"/>
    <xf numFmtId="1" fontId="9" fillId="2" borderId="54" xfId="1" applyNumberFormat="1" applyBorder="1"/>
    <xf numFmtId="1" fontId="0" fillId="0" borderId="53" xfId="0" applyNumberFormat="1" applyBorder="1"/>
    <xf numFmtId="1" fontId="0" fillId="0" borderId="54" xfId="0" applyNumberFormat="1" applyBorder="1"/>
    <xf numFmtId="1" fontId="6" fillId="18" borderId="53" xfId="0" applyNumberFormat="1" applyFont="1" applyFill="1" applyBorder="1"/>
    <xf numFmtId="1" fontId="6" fillId="18" borderId="54" xfId="0" applyNumberFormat="1" applyFont="1" applyFill="1" applyBorder="1"/>
    <xf numFmtId="1" fontId="6" fillId="5" borderId="53" xfId="0" applyNumberFormat="1" applyFont="1" applyFill="1" applyBorder="1"/>
    <xf numFmtId="1" fontId="6" fillId="5" borderId="54" xfId="0" applyNumberFormat="1" applyFont="1" applyFill="1" applyBorder="1"/>
    <xf numFmtId="1" fontId="5" fillId="5" borderId="53" xfId="0" applyNumberFormat="1" applyFont="1" applyFill="1" applyBorder="1"/>
    <xf numFmtId="1" fontId="5" fillId="5" borderId="54" xfId="0" applyNumberFormat="1" applyFont="1" applyFill="1" applyBorder="1"/>
    <xf numFmtId="1" fontId="0" fillId="0" borderId="55" xfId="0" applyNumberFormat="1" applyBorder="1"/>
    <xf numFmtId="1" fontId="0" fillId="0" borderId="56" xfId="0" applyNumberFormat="1" applyBorder="1"/>
    <xf numFmtId="0" fontId="0" fillId="0" borderId="63" xfId="0" applyBorder="1"/>
    <xf numFmtId="0" fontId="0" fillId="0" borderId="64" xfId="0" applyBorder="1"/>
    <xf numFmtId="3" fontId="0" fillId="0" borderId="0" xfId="0" applyNumberFormat="1"/>
    <xf numFmtId="165" fontId="0" fillId="18" borderId="41" xfId="0" applyNumberFormat="1" applyFill="1" applyBorder="1"/>
    <xf numFmtId="165" fontId="0" fillId="18" borderId="0" xfId="0" applyNumberFormat="1" applyFill="1"/>
    <xf numFmtId="1" fontId="0" fillId="18" borderId="53" xfId="0" applyNumberFormat="1" applyFill="1" applyBorder="1"/>
    <xf numFmtId="1" fontId="0" fillId="18" borderId="54" xfId="0" applyNumberFormat="1" applyFill="1" applyBorder="1"/>
    <xf numFmtId="0" fontId="1" fillId="0" borderId="0" xfId="0" applyFont="1" applyAlignment="1">
      <alignment horizontal="center"/>
    </xf>
    <xf numFmtId="0" fontId="40" fillId="0" borderId="0" xfId="0" applyFont="1"/>
    <xf numFmtId="0" fontId="26" fillId="0" borderId="7" xfId="1" applyFont="1" applyFill="1" applyBorder="1"/>
    <xf numFmtId="1" fontId="26" fillId="0" borderId="0" xfId="1" applyNumberFormat="1" applyFont="1" applyFill="1" applyBorder="1"/>
    <xf numFmtId="9" fontId="26" fillId="0" borderId="8" xfId="1" applyNumberFormat="1" applyFont="1" applyFill="1" applyBorder="1"/>
    <xf numFmtId="172" fontId="0" fillId="0" borderId="0" xfId="0" applyNumberFormat="1" applyAlignment="1">
      <alignment horizontal="center"/>
    </xf>
    <xf numFmtId="0" fontId="1" fillId="0" borderId="12" xfId="0" applyFont="1" applyBorder="1" applyAlignment="1">
      <alignment horizontal="center"/>
    </xf>
    <xf numFmtId="172" fontId="0" fillId="0" borderId="14" xfId="0" applyNumberFormat="1" applyBorder="1" applyAlignment="1">
      <alignment horizontal="center"/>
    </xf>
    <xf numFmtId="172" fontId="1" fillId="0" borderId="13" xfId="0" applyNumberFormat="1" applyFont="1" applyBorder="1" applyAlignment="1">
      <alignment horizontal="center"/>
    </xf>
    <xf numFmtId="172" fontId="1" fillId="0" borderId="15" xfId="0" applyNumberFormat="1" applyFont="1" applyBorder="1" applyAlignment="1">
      <alignment horizontal="center"/>
    </xf>
    <xf numFmtId="172" fontId="1" fillId="0" borderId="0" xfId="0" applyNumberFormat="1" applyFont="1" applyAlignment="1">
      <alignment horizontal="center"/>
    </xf>
    <xf numFmtId="0" fontId="1" fillId="0" borderId="65" xfId="0" applyFont="1" applyBorder="1" applyAlignment="1">
      <alignment horizontal="center"/>
    </xf>
    <xf numFmtId="0" fontId="0" fillId="0" borderId="66" xfId="0" applyBorder="1" applyAlignment="1">
      <alignment horizontal="center"/>
    </xf>
    <xf numFmtId="166" fontId="26" fillId="0" borderId="53" xfId="0" applyNumberFormat="1" applyFont="1" applyBorder="1"/>
    <xf numFmtId="2" fontId="13" fillId="24" borderId="1" xfId="13" applyNumberFormat="1" applyBorder="1" applyAlignment="1">
      <alignment horizontal="right"/>
    </xf>
    <xf numFmtId="0" fontId="13" fillId="24" borderId="1" xfId="13" applyBorder="1" applyAlignment="1">
      <alignment horizontal="left"/>
    </xf>
    <xf numFmtId="0" fontId="13" fillId="24" borderId="1" xfId="13" applyBorder="1"/>
    <xf numFmtId="2" fontId="13" fillId="24" borderId="0" xfId="13" applyNumberFormat="1"/>
    <xf numFmtId="2" fontId="13" fillId="24" borderId="42" xfId="13" applyNumberFormat="1" applyBorder="1"/>
    <xf numFmtId="166" fontId="13" fillId="24" borderId="0" xfId="13" applyNumberFormat="1"/>
    <xf numFmtId="166" fontId="13" fillId="24" borderId="53" xfId="13" applyNumberFormat="1" applyBorder="1"/>
    <xf numFmtId="1" fontId="13" fillId="24" borderId="1" xfId="13" applyNumberFormat="1" applyBorder="1"/>
    <xf numFmtId="0" fontId="13" fillId="21" borderId="10" xfId="13" applyFill="1" applyBorder="1"/>
    <xf numFmtId="2" fontId="26" fillId="0" borderId="0" xfId="0" applyNumberFormat="1" applyFont="1"/>
    <xf numFmtId="166" fontId="5" fillId="17" borderId="2" xfId="0" applyNumberFormat="1" applyFont="1" applyFill="1" applyBorder="1"/>
    <xf numFmtId="0" fontId="1" fillId="24" borderId="9" xfId="13" applyFont="1" applyBorder="1" applyAlignment="1">
      <alignment horizontal="left"/>
    </xf>
    <xf numFmtId="0" fontId="0" fillId="0" borderId="13" xfId="0" applyBorder="1"/>
    <xf numFmtId="0" fontId="3" fillId="0" borderId="12" xfId="0" applyFont="1" applyBorder="1"/>
    <xf numFmtId="0" fontId="1" fillId="0" borderId="14" xfId="0" applyFont="1" applyBorder="1" applyAlignment="1">
      <alignment horizontal="left"/>
    </xf>
    <xf numFmtId="0" fontId="2" fillId="0" borderId="14" xfId="0" applyFont="1" applyBorder="1" applyAlignment="1">
      <alignment horizontal="left"/>
    </xf>
    <xf numFmtId="0" fontId="2" fillId="0" borderId="14" xfId="0" applyFont="1" applyBorder="1"/>
    <xf numFmtId="0" fontId="2" fillId="0" borderId="13" xfId="0" applyFont="1" applyBorder="1"/>
    <xf numFmtId="0" fontId="1" fillId="21" borderId="0" xfId="8" applyFont="1" applyFill="1"/>
    <xf numFmtId="2" fontId="0" fillId="21" borderId="0" xfId="0" applyNumberFormat="1" applyFill="1" applyAlignment="1">
      <alignment horizontal="right"/>
    </xf>
    <xf numFmtId="0" fontId="0" fillId="21" borderId="0" xfId="0" applyFill="1" applyAlignment="1">
      <alignment horizontal="center"/>
    </xf>
    <xf numFmtId="166" fontId="0" fillId="21" borderId="0" xfId="0" applyNumberFormat="1" applyFill="1"/>
    <xf numFmtId="166" fontId="0" fillId="21" borderId="41" xfId="0" applyNumberFormat="1" applyFill="1" applyBorder="1"/>
    <xf numFmtId="0" fontId="0" fillId="21" borderId="53" xfId="0" applyFill="1" applyBorder="1"/>
    <xf numFmtId="0" fontId="0" fillId="21" borderId="54" xfId="0" applyFill="1" applyBorder="1"/>
    <xf numFmtId="0" fontId="2" fillId="21" borderId="0" xfId="0" applyFont="1" applyFill="1"/>
    <xf numFmtId="0" fontId="1" fillId="21" borderId="1" xfId="8" applyFont="1" applyFill="1" applyBorder="1" applyAlignment="1">
      <alignment horizontal="left"/>
    </xf>
    <xf numFmtId="2" fontId="0" fillId="21" borderId="1" xfId="0" applyNumberFormat="1" applyFill="1" applyBorder="1" applyAlignment="1">
      <alignment horizontal="right"/>
    </xf>
    <xf numFmtId="0" fontId="0" fillId="21" borderId="1" xfId="0" applyFill="1" applyBorder="1" applyAlignment="1">
      <alignment horizontal="left"/>
    </xf>
    <xf numFmtId="0" fontId="0" fillId="21" borderId="1" xfId="0" applyFill="1" applyBorder="1" applyAlignment="1">
      <alignment horizontal="center"/>
    </xf>
    <xf numFmtId="166" fontId="13" fillId="21" borderId="0" xfId="7" applyNumberFormat="1" applyFill="1"/>
    <xf numFmtId="166" fontId="0" fillId="21" borderId="55" xfId="0" applyNumberFormat="1" applyFill="1" applyBorder="1"/>
    <xf numFmtId="0" fontId="0" fillId="21" borderId="56" xfId="0" applyFill="1" applyBorder="1"/>
    <xf numFmtId="0" fontId="2" fillId="21" borderId="1" xfId="0" applyFont="1" applyFill="1" applyBorder="1"/>
    <xf numFmtId="2" fontId="0" fillId="21" borderId="0" xfId="0" applyNumberFormat="1" applyFill="1"/>
    <xf numFmtId="2" fontId="0" fillId="21" borderId="41" xfId="0" applyNumberFormat="1" applyFill="1" applyBorder="1"/>
    <xf numFmtId="0" fontId="0" fillId="21" borderId="55" xfId="0" applyFill="1" applyBorder="1"/>
    <xf numFmtId="1" fontId="0" fillId="21" borderId="1" xfId="0" applyNumberFormat="1" applyFill="1" applyBorder="1"/>
    <xf numFmtId="1" fontId="2" fillId="21" borderId="1" xfId="0" applyNumberFormat="1" applyFont="1" applyFill="1" applyBorder="1"/>
    <xf numFmtId="166" fontId="26" fillId="21" borderId="0" xfId="0" applyNumberFormat="1" applyFont="1" applyFill="1" applyAlignment="1">
      <alignment horizontal="right"/>
    </xf>
    <xf numFmtId="166" fontId="26" fillId="21" borderId="1" xfId="0" applyNumberFormat="1" applyFont="1" applyFill="1" applyBorder="1" applyAlignment="1">
      <alignment horizontal="right"/>
    </xf>
    <xf numFmtId="166" fontId="26" fillId="21" borderId="26" xfId="0" applyNumberFormat="1" applyFont="1" applyFill="1" applyBorder="1" applyAlignment="1">
      <alignment horizontal="right"/>
    </xf>
    <xf numFmtId="166" fontId="6" fillId="21" borderId="0" xfId="7" applyNumberFormat="1" applyFont="1" applyFill="1" applyBorder="1" applyAlignment="1">
      <alignment horizontal="right"/>
    </xf>
    <xf numFmtId="166" fontId="6" fillId="21" borderId="0" xfId="0" applyNumberFormat="1" applyFont="1" applyFill="1"/>
    <xf numFmtId="166" fontId="0" fillId="21" borderId="53" xfId="0" applyNumberFormat="1" applyFill="1" applyBorder="1"/>
    <xf numFmtId="173" fontId="0" fillId="21" borderId="54" xfId="0" applyNumberFormat="1" applyFill="1" applyBorder="1"/>
    <xf numFmtId="1" fontId="0" fillId="21" borderId="0" xfId="0" applyNumberFormat="1" applyFill="1"/>
    <xf numFmtId="0" fontId="1" fillId="21" borderId="9" xfId="0" applyFont="1" applyFill="1" applyBorder="1" applyAlignment="1">
      <alignment horizontal="left"/>
    </xf>
    <xf numFmtId="0" fontId="0" fillId="21" borderId="1" xfId="0" applyFill="1" applyBorder="1" applyAlignment="1">
      <alignment horizontal="right"/>
    </xf>
    <xf numFmtId="166" fontId="0" fillId="21" borderId="1" xfId="0" applyNumberFormat="1" applyFill="1" applyBorder="1"/>
    <xf numFmtId="0" fontId="0" fillId="21" borderId="42" xfId="0" applyFill="1" applyBorder="1"/>
    <xf numFmtId="166" fontId="0" fillId="21" borderId="56" xfId="0" applyNumberFormat="1" applyFill="1" applyBorder="1"/>
    <xf numFmtId="0" fontId="42" fillId="0" borderId="4" xfId="0" applyFont="1" applyBorder="1"/>
    <xf numFmtId="0" fontId="0" fillId="21" borderId="7" xfId="0" applyFill="1" applyBorder="1"/>
    <xf numFmtId="49" fontId="0" fillId="21" borderId="0" xfId="0" applyNumberFormat="1" applyFill="1"/>
    <xf numFmtId="176" fontId="0" fillId="21" borderId="0" xfId="0" applyNumberFormat="1" applyFill="1"/>
    <xf numFmtId="176" fontId="0" fillId="21" borderId="8" xfId="0" applyNumberFormat="1" applyFill="1" applyBorder="1"/>
    <xf numFmtId="0" fontId="0" fillId="21" borderId="4" xfId="0" applyFill="1" applyBorder="1"/>
    <xf numFmtId="49" fontId="0" fillId="21" borderId="5" xfId="0" applyNumberFormat="1" applyFill="1" applyBorder="1"/>
    <xf numFmtId="176" fontId="0" fillId="21" borderId="5" xfId="0" applyNumberFormat="1" applyFill="1" applyBorder="1"/>
    <xf numFmtId="176" fontId="0" fillId="21" borderId="6" xfId="0" applyNumberFormat="1" applyFill="1" applyBorder="1"/>
    <xf numFmtId="0" fontId="1" fillId="18" borderId="7" xfId="0" applyFont="1" applyFill="1" applyBorder="1"/>
    <xf numFmtId="0" fontId="0" fillId="18" borderId="0" xfId="0" applyFill="1"/>
    <xf numFmtId="0" fontId="0" fillId="18" borderId="8" xfId="0" applyFill="1" applyBorder="1"/>
    <xf numFmtId="0" fontId="0" fillId="18" borderId="4" xfId="0" applyFill="1" applyBorder="1"/>
    <xf numFmtId="0" fontId="0" fillId="18" borderId="5" xfId="0" applyFill="1" applyBorder="1"/>
    <xf numFmtId="0" fontId="0" fillId="18" borderId="6" xfId="0" applyFill="1" applyBorder="1"/>
    <xf numFmtId="0" fontId="0" fillId="18" borderId="7" xfId="0" applyFill="1" applyBorder="1"/>
    <xf numFmtId="0" fontId="1" fillId="18" borderId="0" xfId="0" applyFont="1" applyFill="1"/>
    <xf numFmtId="0" fontId="1" fillId="18" borderId="8" xfId="0" applyFont="1" applyFill="1" applyBorder="1"/>
    <xf numFmtId="49" fontId="0" fillId="18" borderId="0" xfId="0" applyNumberFormat="1" applyFill="1"/>
    <xf numFmtId="0" fontId="0" fillId="18" borderId="9" xfId="0" applyFill="1" applyBorder="1"/>
    <xf numFmtId="49" fontId="0" fillId="18" borderId="1" xfId="0" applyNumberFormat="1" applyFill="1" applyBorder="1"/>
    <xf numFmtId="0" fontId="0" fillId="18" borderId="1" xfId="0" applyFill="1" applyBorder="1"/>
    <xf numFmtId="0" fontId="0" fillId="18" borderId="10" xfId="0" applyFill="1" applyBorder="1"/>
    <xf numFmtId="176" fontId="0" fillId="18" borderId="0" xfId="0" applyNumberFormat="1" applyFill="1"/>
    <xf numFmtId="176" fontId="0" fillId="18" borderId="8" xfId="0" applyNumberFormat="1" applyFill="1" applyBorder="1"/>
    <xf numFmtId="176" fontId="0" fillId="18" borderId="1" xfId="0" applyNumberFormat="1" applyFill="1" applyBorder="1"/>
    <xf numFmtId="176" fontId="0" fillId="18" borderId="10" xfId="0" applyNumberFormat="1" applyFill="1" applyBorder="1"/>
    <xf numFmtId="0" fontId="1" fillId="5" borderId="7" xfId="0" applyFont="1" applyFill="1" applyBorder="1"/>
    <xf numFmtId="0" fontId="0" fillId="5" borderId="0" xfId="0" applyFill="1"/>
    <xf numFmtId="0" fontId="0" fillId="5" borderId="8" xfId="0" applyFill="1" applyBorder="1"/>
    <xf numFmtId="0" fontId="0" fillId="5" borderId="4" xfId="0" applyFill="1" applyBorder="1"/>
    <xf numFmtId="0" fontId="0" fillId="5" borderId="5" xfId="0" applyFill="1" applyBorder="1"/>
    <xf numFmtId="0" fontId="0" fillId="5" borderId="6" xfId="0" applyFill="1" applyBorder="1"/>
    <xf numFmtId="0" fontId="0" fillId="5" borderId="7" xfId="0" applyFill="1" applyBorder="1"/>
    <xf numFmtId="49" fontId="0" fillId="5" borderId="0" xfId="0" applyNumberFormat="1" applyFill="1"/>
    <xf numFmtId="0" fontId="0" fillId="5" borderId="9" xfId="0" applyFill="1" applyBorder="1"/>
    <xf numFmtId="49" fontId="0" fillId="5" borderId="1" xfId="0" applyNumberFormat="1" applyFill="1" applyBorder="1"/>
    <xf numFmtId="0" fontId="0" fillId="5" borderId="1" xfId="0" applyFill="1" applyBorder="1"/>
    <xf numFmtId="0" fontId="0" fillId="5" borderId="10" xfId="0" applyFill="1" applyBorder="1"/>
    <xf numFmtId="176" fontId="0" fillId="5" borderId="0" xfId="0" applyNumberFormat="1" applyFill="1"/>
    <xf numFmtId="176" fontId="0" fillId="5" borderId="8" xfId="0" applyNumberFormat="1" applyFill="1" applyBorder="1"/>
    <xf numFmtId="176" fontId="0" fillId="5" borderId="1" xfId="0" applyNumberFormat="1" applyFill="1" applyBorder="1"/>
    <xf numFmtId="176" fontId="0" fillId="5" borderId="10" xfId="0" applyNumberFormat="1" applyFill="1" applyBorder="1"/>
    <xf numFmtId="172" fontId="0" fillId="0" borderId="7" xfId="0" applyNumberFormat="1" applyBorder="1" applyAlignment="1">
      <alignment horizontal="center"/>
    </xf>
    <xf numFmtId="172" fontId="0" fillId="0" borderId="8" xfId="0" applyNumberFormat="1" applyBorder="1" applyAlignment="1">
      <alignment horizontal="center"/>
    </xf>
    <xf numFmtId="3" fontId="5" fillId="5" borderId="0" xfId="0" applyNumberFormat="1" applyFont="1" applyFill="1" applyAlignment="1">
      <alignment horizontal="right"/>
    </xf>
    <xf numFmtId="3" fontId="0" fillId="0" borderId="0" xfId="0" applyNumberFormat="1" applyAlignment="1">
      <alignment horizontal="right"/>
    </xf>
    <xf numFmtId="3" fontId="0" fillId="21" borderId="0" xfId="0" applyNumberFormat="1" applyFill="1" applyAlignment="1">
      <alignment horizontal="right"/>
    </xf>
    <xf numFmtId="0" fontId="5" fillId="4" borderId="8" xfId="0" applyFont="1" applyFill="1" applyBorder="1" applyAlignment="1">
      <alignment horizontal="right"/>
    </xf>
    <xf numFmtId="0" fontId="5" fillId="5" borderId="8" xfId="0" applyFont="1" applyFill="1" applyBorder="1" applyAlignment="1">
      <alignment horizontal="right"/>
    </xf>
    <xf numFmtId="2" fontId="0" fillId="21" borderId="8" xfId="0" applyNumberFormat="1" applyFill="1" applyBorder="1" applyAlignment="1">
      <alignment horizontal="right"/>
    </xf>
    <xf numFmtId="1" fontId="0" fillId="0" borderId="1" xfId="0" applyNumberFormat="1" applyBorder="1" applyAlignment="1">
      <alignment horizontal="right"/>
    </xf>
    <xf numFmtId="3" fontId="0" fillId="0" borderId="1" xfId="0" applyNumberFormat="1" applyBorder="1" applyAlignment="1">
      <alignment horizontal="right"/>
    </xf>
    <xf numFmtId="168" fontId="44" fillId="25" borderId="67" xfId="14" applyNumberFormat="1" applyFont="1" applyFill="1" applyBorder="1"/>
    <xf numFmtId="166" fontId="0" fillId="0" borderId="8" xfId="0" applyNumberFormat="1" applyBorder="1" applyAlignment="1">
      <alignment horizontal="right"/>
    </xf>
    <xf numFmtId="166" fontId="0" fillId="0" borderId="10" xfId="0" applyNumberFormat="1" applyBorder="1" applyAlignment="1">
      <alignment horizontal="right"/>
    </xf>
    <xf numFmtId="178" fontId="0" fillId="0" borderId="0" xfId="0" applyNumberFormat="1"/>
    <xf numFmtId="179" fontId="0" fillId="0" borderId="0" xfId="0" applyNumberFormat="1"/>
    <xf numFmtId="0" fontId="1" fillId="0" borderId="0" xfId="8" applyFont="1" applyFill="1" applyBorder="1" applyAlignment="1">
      <alignment horizontal="left"/>
    </xf>
    <xf numFmtId="0" fontId="1" fillId="24" borderId="7" xfId="13" applyFont="1" applyBorder="1" applyAlignment="1">
      <alignment horizontal="left"/>
    </xf>
    <xf numFmtId="0" fontId="1" fillId="21" borderId="0" xfId="0" applyFont="1" applyFill="1" applyAlignment="1">
      <alignment horizontal="left"/>
    </xf>
    <xf numFmtId="0" fontId="5" fillId="17" borderId="2" xfId="0" applyFont="1" applyFill="1" applyBorder="1" applyAlignment="1">
      <alignment horizontal="center"/>
    </xf>
    <xf numFmtId="0" fontId="5" fillId="17" borderId="11" xfId="0" applyFont="1" applyFill="1" applyBorder="1" applyAlignment="1">
      <alignment horizontal="center"/>
    </xf>
    <xf numFmtId="0" fontId="5" fillId="17" borderId="3" xfId="0" applyFont="1" applyFill="1" applyBorder="1" applyAlignment="1">
      <alignment horizontal="center"/>
    </xf>
    <xf numFmtId="0" fontId="5" fillId="3" borderId="2" xfId="0" applyFont="1" applyFill="1" applyBorder="1" applyAlignment="1">
      <alignment horizontal="center"/>
    </xf>
    <xf numFmtId="0" fontId="5" fillId="3" borderId="11" xfId="0" applyFont="1" applyFill="1" applyBorder="1" applyAlignment="1">
      <alignment horizontal="center"/>
    </xf>
    <xf numFmtId="0" fontId="5" fillId="3" borderId="3" xfId="0" applyFont="1" applyFill="1" applyBorder="1" applyAlignment="1">
      <alignment horizontal="center"/>
    </xf>
    <xf numFmtId="0" fontId="5" fillId="4" borderId="4" xfId="0" applyFont="1" applyFill="1" applyBorder="1" applyAlignment="1">
      <alignment horizontal="center"/>
    </xf>
    <xf numFmtId="0" fontId="5" fillId="4" borderId="5" xfId="0" applyFont="1" applyFill="1" applyBorder="1" applyAlignment="1">
      <alignment horizontal="center"/>
    </xf>
    <xf numFmtId="0" fontId="5" fillId="4" borderId="6" xfId="0" applyFont="1" applyFill="1" applyBorder="1" applyAlignment="1">
      <alignment horizontal="center"/>
    </xf>
    <xf numFmtId="0" fontId="5" fillId="4" borderId="2" xfId="0" applyFont="1" applyFill="1" applyBorder="1" applyAlignment="1">
      <alignment horizontal="center"/>
    </xf>
    <xf numFmtId="0" fontId="5" fillId="4" borderId="11" xfId="0" applyFont="1" applyFill="1" applyBorder="1" applyAlignment="1">
      <alignment horizontal="center"/>
    </xf>
    <xf numFmtId="0" fontId="5" fillId="4" borderId="3" xfId="0" applyFont="1" applyFill="1" applyBorder="1" applyAlignment="1">
      <alignment horizontal="center"/>
    </xf>
    <xf numFmtId="0" fontId="5" fillId="3" borderId="4" xfId="0" applyFont="1" applyFill="1" applyBorder="1" applyAlignment="1">
      <alignment horizontal="center"/>
    </xf>
    <xf numFmtId="0" fontId="5" fillId="3" borderId="5" xfId="0" applyFont="1" applyFill="1" applyBorder="1" applyAlignment="1">
      <alignment horizontal="center"/>
    </xf>
    <xf numFmtId="0" fontId="5" fillId="3" borderId="6" xfId="0" applyFont="1" applyFill="1" applyBorder="1" applyAlignment="1">
      <alignment horizontal="center"/>
    </xf>
    <xf numFmtId="0" fontId="5" fillId="17" borderId="0" xfId="0" applyFont="1" applyFill="1" applyAlignment="1">
      <alignment horizontal="center"/>
    </xf>
    <xf numFmtId="0" fontId="5" fillId="3" borderId="49" xfId="0" applyFont="1" applyFill="1" applyBorder="1" applyAlignment="1">
      <alignment horizontal="center"/>
    </xf>
    <xf numFmtId="0" fontId="5" fillId="3" borderId="50" xfId="0" applyFont="1" applyFill="1" applyBorder="1" applyAlignment="1">
      <alignment horizontal="center"/>
    </xf>
    <xf numFmtId="0" fontId="15" fillId="7" borderId="0" xfId="0" applyFont="1" applyFill="1" applyAlignment="1">
      <alignment horizontal="center"/>
    </xf>
    <xf numFmtId="0" fontId="15" fillId="8" borderId="0" xfId="0" applyFont="1" applyFill="1" applyAlignment="1">
      <alignment horizontal="center"/>
    </xf>
    <xf numFmtId="0" fontId="15" fillId="9" borderId="0" xfId="0" applyFont="1" applyFill="1" applyAlignment="1">
      <alignment horizontal="center"/>
    </xf>
    <xf numFmtId="0" fontId="17" fillId="0" borderId="5" xfId="0" applyFont="1" applyBorder="1" applyAlignment="1">
      <alignment horizontal="center" vertical="top" wrapText="1"/>
    </xf>
    <xf numFmtId="0" fontId="17" fillId="0" borderId="1" xfId="0" applyFont="1" applyBorder="1" applyAlignment="1">
      <alignment horizontal="center" vertical="top" wrapText="1"/>
    </xf>
    <xf numFmtId="0" fontId="5" fillId="3" borderId="1" xfId="0" applyFont="1" applyFill="1" applyBorder="1" applyAlignment="1">
      <alignment horizontal="center"/>
    </xf>
    <xf numFmtId="0" fontId="1" fillId="0" borderId="0" xfId="0" applyFont="1" applyAlignment="1">
      <alignment horizontal="center"/>
    </xf>
    <xf numFmtId="0" fontId="5" fillId="3" borderId="22" xfId="0" applyFont="1" applyFill="1" applyBorder="1" applyAlignment="1">
      <alignment horizontal="center"/>
    </xf>
    <xf numFmtId="0" fontId="5" fillId="3" borderId="23" xfId="0" applyFont="1" applyFill="1" applyBorder="1" applyAlignment="1">
      <alignment horizontal="center"/>
    </xf>
    <xf numFmtId="0" fontId="5" fillId="3" borderId="24" xfId="0" applyFont="1" applyFill="1" applyBorder="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6" fillId="3" borderId="2" xfId="0" applyFont="1" applyFill="1" applyBorder="1" applyAlignment="1">
      <alignment horizontal="center"/>
    </xf>
    <xf numFmtId="0" fontId="6" fillId="3" borderId="11" xfId="0" applyFont="1" applyFill="1" applyBorder="1" applyAlignment="1">
      <alignment horizontal="center"/>
    </xf>
    <xf numFmtId="0" fontId="6" fillId="3" borderId="3" xfId="0" applyFont="1" applyFill="1" applyBorder="1" applyAlignment="1">
      <alignment horizontal="center"/>
    </xf>
    <xf numFmtId="0" fontId="2" fillId="0" borderId="2" xfId="0" applyFont="1" applyBorder="1" applyAlignment="1">
      <alignment horizontal="center"/>
    </xf>
    <xf numFmtId="0" fontId="2" fillId="0" borderId="11" xfId="0" applyFont="1" applyBorder="1" applyAlignment="1">
      <alignment horizontal="center"/>
    </xf>
    <xf numFmtId="0" fontId="2" fillId="0" borderId="3" xfId="0" applyFont="1" applyBorder="1" applyAlignment="1">
      <alignment horizontal="center"/>
    </xf>
    <xf numFmtId="172" fontId="0" fillId="0" borderId="9" xfId="0" applyNumberFormat="1" applyBorder="1" applyAlignment="1">
      <alignment horizontal="center"/>
    </xf>
    <xf numFmtId="172" fontId="0" fillId="0" borderId="1" xfId="0" applyNumberFormat="1" applyBorder="1" applyAlignment="1">
      <alignment horizontal="center"/>
    </xf>
    <xf numFmtId="172" fontId="0" fillId="0" borderId="10" xfId="0" applyNumberFormat="1" applyBorder="1" applyAlignment="1">
      <alignment horizontal="center"/>
    </xf>
    <xf numFmtId="172" fontId="0" fillId="0" borderId="7" xfId="0" applyNumberFormat="1" applyBorder="1" applyAlignment="1">
      <alignment horizontal="center"/>
    </xf>
    <xf numFmtId="172" fontId="0" fillId="0" borderId="0" xfId="0" applyNumberFormat="1" applyAlignment="1">
      <alignment horizontal="center"/>
    </xf>
    <xf numFmtId="172" fontId="0" fillId="0" borderId="8" xfId="0" applyNumberForma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2" xfId="0" applyFont="1" applyBorder="1" applyAlignment="1">
      <alignment horizontal="center"/>
    </xf>
    <xf numFmtId="0" fontId="1" fillId="0" borderId="11" xfId="0" applyFont="1" applyBorder="1" applyAlignment="1">
      <alignment horizontal="center"/>
    </xf>
    <xf numFmtId="0" fontId="1" fillId="0" borderId="3"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cellXfs>
  <cellStyles count="15">
    <cellStyle name="20% - Accent1" xfId="5" builtinId="30"/>
    <cellStyle name="20% - Accent2" xfId="8" builtinId="34"/>
    <cellStyle name="20% - Accent3" xfId="7" builtinId="38"/>
    <cellStyle name="20% - Accent4" xfId="12" builtinId="42"/>
    <cellStyle name="40% - Accent2" xfId="13" builtinId="35"/>
    <cellStyle name="Bad" xfId="6" builtinId="27"/>
    <cellStyle name="Comma" xfId="2" builtinId="3"/>
    <cellStyle name="Microsoft Excel found an error in the formula you entered. Do you want to accept the correction proposed below?_x000a__x000a_|_x000a__x000a_• To accept the correction, click Yes._x000a_• To close this message and correct the formula yourself, click No." xfId="3" xr:uid="{8468210D-CD9C-0E4A-8EF5-1DAB66D8C260}"/>
    <cellStyle name="Neutral" xfId="1" builtinId="28"/>
    <cellStyle name="Normal" xfId="0" builtinId="0"/>
    <cellStyle name="Normal 2" xfId="9" xr:uid="{10E0D68F-BA44-164A-91F2-4102ECBA705F}"/>
    <cellStyle name="Normal_Exercise 3b - solution" xfId="10" xr:uid="{E64B7216-24D1-E749-9524-39F1C7F7229E}"/>
    <cellStyle name="Normal_Prob of death" xfId="14" xr:uid="{5B328BB0-0B2D-484F-93AB-24646368FC29}"/>
    <cellStyle name="Normal_uterus dismod" xfId="4" xr:uid="{8FF34E46-B183-764C-A1F1-64BE4B6C89C8}"/>
    <cellStyle name="Percent" xfId="11" builtinId="5"/>
  </cellStyles>
  <dxfs count="2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0" formatCode="General"/>
    </dxf>
    <dxf>
      <font>
        <b/>
        <i val="0"/>
        <strike val="0"/>
        <condense val="0"/>
        <extend val="0"/>
        <outline val="0"/>
        <shadow val="0"/>
        <u val="none"/>
        <vertAlign val="baseline"/>
        <sz val="12"/>
        <color theme="1"/>
        <name val="Calibri"/>
        <family val="2"/>
        <scheme val="minor"/>
      </font>
      <alignment horizontal="left" vertical="bottom" textRotation="0" wrapText="0" indent="0" justifyLastLine="0" shrinkToFit="0" readingOrder="0"/>
      <border diagonalUp="0" diagonalDown="0">
        <left style="medium">
          <color indexed="64"/>
        </left>
        <right/>
        <top/>
        <bottom/>
        <vertical/>
        <horizontal/>
      </border>
    </dxf>
    <dxf>
      <font>
        <b/>
        <i val="0"/>
        <strike val="0"/>
        <condense val="0"/>
        <extend val="0"/>
        <outline val="0"/>
        <shadow val="0"/>
        <u val="none"/>
        <vertAlign val="baseline"/>
        <sz val="12"/>
        <color theme="1"/>
        <name val="Calibri"/>
        <family val="2"/>
        <scheme val="minor"/>
      </font>
      <alignment horizontal="left" vertical="bottom" textRotation="0" wrapText="0" indent="0" justifyLastLine="0" shrinkToFit="0" readingOrder="0"/>
      <border diagonalUp="0" diagonalDown="0">
        <left style="medium">
          <color indexed="64"/>
        </left>
        <right/>
        <top/>
        <bottom/>
        <vertical/>
        <horizontal/>
      </border>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79" formatCode="0.0000000000000000"/>
    </dxf>
    <dxf>
      <numFmt numFmtId="178" formatCode="0.00000000000"/>
    </dxf>
    <dxf>
      <numFmt numFmtId="178" formatCode="0.00000000000"/>
    </dxf>
    <dxf>
      <numFmt numFmtId="1" formatCode="0"/>
    </dxf>
    <dxf>
      <numFmt numFmtId="1" formatCode="0"/>
    </dxf>
    <dxf>
      <font>
        <b/>
        <i val="0"/>
        <strike val="0"/>
        <condense val="0"/>
        <extend val="0"/>
        <outline val="0"/>
        <shadow val="0"/>
        <u val="none"/>
        <vertAlign val="baseline"/>
        <sz val="12"/>
        <color theme="1"/>
        <name val="Calibri"/>
        <family val="2"/>
        <scheme val="minor"/>
      </font>
      <alignment horizontal="left" vertical="bottom" textRotation="0" wrapText="0" indent="0" justifyLastLine="0" shrinkToFit="0" readingOrder="0"/>
      <border diagonalUp="0" diagonalDown="0">
        <left style="medium">
          <color indexed="64"/>
        </left>
        <right/>
        <top/>
        <bottom/>
        <vertical/>
        <horizontal/>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hartsheet" Target="chartsheets/sheet4.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16.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3.xml"/><Relationship Id="rId25" Type="http://schemas.openxmlformats.org/officeDocument/2006/relationships/externalLink" Target="externalLinks/externalLink4.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worksheet" Target="worksheets/sheet15.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hartsheet" Target="chartsheets/sheet1.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hartsheet" Target="chartsheets/sheet5.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17/10/relationships/person" Target="persons/person.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Predicted eGFR:</a:t>
            </a:r>
            <a:r>
              <a:rPr lang="en-GB" baseline="0"/>
              <a:t> ESCORT-1</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'Relative risk (ESCORT-1)'!$V$3</c:f>
              <c:strCache>
                <c:ptCount val="1"/>
                <c:pt idx="0">
                  <c:v>Predicted eGFR control group</c:v>
                </c:pt>
              </c:strCache>
            </c:strRef>
          </c:tx>
          <c:spPr>
            <a:ln w="19050" cap="rnd">
              <a:solidFill>
                <a:schemeClr val="accent1"/>
              </a:solidFill>
              <a:round/>
            </a:ln>
            <a:effectLst/>
          </c:spPr>
          <c:marker>
            <c:symbol val="circle"/>
            <c:size val="5"/>
            <c:spPr>
              <a:noFill/>
              <a:ln w="9525">
                <a:noFill/>
              </a:ln>
              <a:effectLst/>
            </c:spPr>
          </c:marker>
          <c:xVal>
            <c:numRef>
              <c:f>'Relative risk (ESCORT-1)'!$T$4:$T$24</c:f>
              <c:numCache>
                <c:formatCode>General</c:formatCode>
                <c:ptCount val="21"/>
                <c:pt idx="0">
                  <c:v>-20</c:v>
                </c:pt>
                <c:pt idx="1">
                  <c:v>-10</c:v>
                </c:pt>
                <c:pt idx="2">
                  <c:v>-5</c:v>
                </c:pt>
                <c:pt idx="3">
                  <c:v>-3</c:v>
                </c:pt>
                <c:pt idx="4">
                  <c:v>-1</c:v>
                </c:pt>
                <c:pt idx="5">
                  <c:v>0</c:v>
                </c:pt>
                <c:pt idx="6">
                  <c:v>1</c:v>
                </c:pt>
                <c:pt idx="7">
                  <c:v>2</c:v>
                </c:pt>
                <c:pt idx="8">
                  <c:v>6</c:v>
                </c:pt>
                <c:pt idx="9">
                  <c:v>10</c:v>
                </c:pt>
                <c:pt idx="10">
                  <c:v>14</c:v>
                </c:pt>
                <c:pt idx="11">
                  <c:v>18</c:v>
                </c:pt>
                <c:pt idx="12">
                  <c:v>22</c:v>
                </c:pt>
                <c:pt idx="13">
                  <c:v>26</c:v>
                </c:pt>
                <c:pt idx="14">
                  <c:v>30</c:v>
                </c:pt>
                <c:pt idx="15">
                  <c:v>34</c:v>
                </c:pt>
                <c:pt idx="16">
                  <c:v>38</c:v>
                </c:pt>
                <c:pt idx="17">
                  <c:v>42</c:v>
                </c:pt>
                <c:pt idx="18">
                  <c:v>50</c:v>
                </c:pt>
                <c:pt idx="19">
                  <c:v>58</c:v>
                </c:pt>
                <c:pt idx="20">
                  <c:v>66</c:v>
                </c:pt>
              </c:numCache>
            </c:numRef>
          </c:xVal>
          <c:yVal>
            <c:numRef>
              <c:f>'Relative risk (ESCORT-1)'!$V$4:$V$24</c:f>
              <c:numCache>
                <c:formatCode>General</c:formatCode>
                <c:ptCount val="21"/>
                <c:pt idx="2">
                  <c:v>53.564990000000002</c:v>
                </c:pt>
                <c:pt idx="3">
                  <c:v>48.752540000000003</c:v>
                </c:pt>
                <c:pt idx="4">
                  <c:v>43.940100000000001</c:v>
                </c:pt>
                <c:pt idx="5">
                  <c:v>41.533880000000003</c:v>
                </c:pt>
                <c:pt idx="6">
                  <c:v>39.127659999999999</c:v>
                </c:pt>
                <c:pt idx="7">
                  <c:v>36.721440000000001</c:v>
                </c:pt>
                <c:pt idx="8">
                  <c:v>27.096540000000001</c:v>
                </c:pt>
                <c:pt idx="9">
                  <c:v>17.47166</c:v>
                </c:pt>
                <c:pt idx="10">
                  <c:v>7.8467669999999998</c:v>
                </c:pt>
                <c:pt idx="11">
                  <c:v>-1.7781260000000001</c:v>
                </c:pt>
              </c:numCache>
            </c:numRef>
          </c:yVal>
          <c:smooth val="0"/>
          <c:extLst>
            <c:ext xmlns:c16="http://schemas.microsoft.com/office/drawing/2014/chart" uri="{C3380CC4-5D6E-409C-BE32-E72D297353CC}">
              <c16:uniqueId val="{00000000-D0F1-C744-BF08-469F0AE94F6A}"/>
            </c:ext>
          </c:extLst>
        </c:ser>
        <c:ser>
          <c:idx val="1"/>
          <c:order val="1"/>
          <c:tx>
            <c:strRef>
              <c:f>'Relative risk (ESCORT-1)'!$W$3</c:f>
              <c:strCache>
                <c:ptCount val="1"/>
                <c:pt idx="0">
                  <c:v>Predicted eGFR treatment group</c:v>
                </c:pt>
              </c:strCache>
            </c:strRef>
          </c:tx>
          <c:spPr>
            <a:ln w="19050" cap="rnd">
              <a:solidFill>
                <a:schemeClr val="accent2"/>
              </a:solidFill>
              <a:round/>
            </a:ln>
            <a:effectLst/>
          </c:spPr>
          <c:marker>
            <c:symbol val="circle"/>
            <c:size val="5"/>
            <c:spPr>
              <a:noFill/>
              <a:ln w="9525">
                <a:noFill/>
              </a:ln>
              <a:effectLst/>
            </c:spPr>
          </c:marker>
          <c:xVal>
            <c:numRef>
              <c:f>'Relative risk (ESCORT-1)'!$T$4:$T$24</c:f>
              <c:numCache>
                <c:formatCode>General</c:formatCode>
                <c:ptCount val="21"/>
                <c:pt idx="0">
                  <c:v>-20</c:v>
                </c:pt>
                <c:pt idx="1">
                  <c:v>-10</c:v>
                </c:pt>
                <c:pt idx="2">
                  <c:v>-5</c:v>
                </c:pt>
                <c:pt idx="3">
                  <c:v>-3</c:v>
                </c:pt>
                <c:pt idx="4">
                  <c:v>-1</c:v>
                </c:pt>
                <c:pt idx="5">
                  <c:v>0</c:v>
                </c:pt>
                <c:pt idx="6">
                  <c:v>1</c:v>
                </c:pt>
                <c:pt idx="7">
                  <c:v>2</c:v>
                </c:pt>
                <c:pt idx="8">
                  <c:v>6</c:v>
                </c:pt>
                <c:pt idx="9">
                  <c:v>10</c:v>
                </c:pt>
                <c:pt idx="10">
                  <c:v>14</c:v>
                </c:pt>
                <c:pt idx="11">
                  <c:v>18</c:v>
                </c:pt>
                <c:pt idx="12">
                  <c:v>22</c:v>
                </c:pt>
                <c:pt idx="13">
                  <c:v>26</c:v>
                </c:pt>
                <c:pt idx="14">
                  <c:v>30</c:v>
                </c:pt>
                <c:pt idx="15">
                  <c:v>34</c:v>
                </c:pt>
                <c:pt idx="16">
                  <c:v>38</c:v>
                </c:pt>
                <c:pt idx="17">
                  <c:v>42</c:v>
                </c:pt>
                <c:pt idx="18">
                  <c:v>50</c:v>
                </c:pt>
                <c:pt idx="19">
                  <c:v>58</c:v>
                </c:pt>
                <c:pt idx="20">
                  <c:v>66</c:v>
                </c:pt>
              </c:numCache>
            </c:numRef>
          </c:xVal>
          <c:yVal>
            <c:numRef>
              <c:f>'Relative risk (ESCORT-1)'!$W$4:$W$24</c:f>
              <c:numCache>
                <c:formatCode>General</c:formatCode>
                <c:ptCount val="21"/>
                <c:pt idx="0">
                  <c:v>55.18271</c:v>
                </c:pt>
                <c:pt idx="1">
                  <c:v>48.3583</c:v>
                </c:pt>
                <c:pt idx="2">
                  <c:v>44.946089999999998</c:v>
                </c:pt>
                <c:pt idx="3">
                  <c:v>43.581200000000003</c:v>
                </c:pt>
                <c:pt idx="4">
                  <c:v>42.216320000000003</c:v>
                </c:pt>
                <c:pt idx="5">
                  <c:v>41.533880000000003</c:v>
                </c:pt>
                <c:pt idx="6">
                  <c:v>40.851439999999997</c:v>
                </c:pt>
                <c:pt idx="7">
                  <c:v>40.168990000000001</c:v>
                </c:pt>
                <c:pt idx="8">
                  <c:v>37.439230000000002</c:v>
                </c:pt>
                <c:pt idx="9">
                  <c:v>34.70946</c:v>
                </c:pt>
                <c:pt idx="10">
                  <c:v>31.979700000000001</c:v>
                </c:pt>
                <c:pt idx="11">
                  <c:v>29.249929999999999</c:v>
                </c:pt>
                <c:pt idx="12">
                  <c:v>26.520160000000001</c:v>
                </c:pt>
                <c:pt idx="13">
                  <c:v>23.790400000000002</c:v>
                </c:pt>
                <c:pt idx="14">
                  <c:v>21.06063</c:v>
                </c:pt>
                <c:pt idx="15">
                  <c:v>18.330860000000001</c:v>
                </c:pt>
                <c:pt idx="16">
                  <c:v>15.601100000000001</c:v>
                </c:pt>
                <c:pt idx="17">
                  <c:v>12.87133</c:v>
                </c:pt>
                <c:pt idx="18">
                  <c:v>7.4117990000000002</c:v>
                </c:pt>
                <c:pt idx="19">
                  <c:v>1.9522679999999999</c:v>
                </c:pt>
                <c:pt idx="20">
                  <c:v>-3.507263</c:v>
                </c:pt>
              </c:numCache>
            </c:numRef>
          </c:yVal>
          <c:smooth val="0"/>
          <c:extLst>
            <c:ext xmlns:c16="http://schemas.microsoft.com/office/drawing/2014/chart" uri="{C3380CC4-5D6E-409C-BE32-E72D297353CC}">
              <c16:uniqueId val="{00000001-D0F1-C744-BF08-469F0AE94F6A}"/>
            </c:ext>
          </c:extLst>
        </c:ser>
        <c:dLbls>
          <c:showLegendKey val="0"/>
          <c:showVal val="0"/>
          <c:showCatName val="0"/>
          <c:showSerName val="0"/>
          <c:showPercent val="0"/>
          <c:showBubbleSize val="0"/>
        </c:dLbls>
        <c:axId val="29642352"/>
        <c:axId val="29496032"/>
      </c:scatterChart>
      <c:scatterChart>
        <c:scatterStyle val="lineMarker"/>
        <c:varyColors val="0"/>
        <c:ser>
          <c:idx val="2"/>
          <c:order val="2"/>
          <c:tx>
            <c:v>CKD Stage</c:v>
          </c:tx>
          <c:spPr>
            <a:ln w="19050" cap="rnd">
              <a:solidFill>
                <a:schemeClr val="accent1">
                  <a:alpha val="0"/>
                </a:schemeClr>
              </a:solidFill>
              <a:round/>
            </a:ln>
            <a:effectLst/>
          </c:spPr>
          <c:marker>
            <c:symbol val="circle"/>
            <c:size val="5"/>
            <c:spPr>
              <a:noFill/>
              <a:ln w="9525">
                <a:noFill/>
              </a:ln>
              <a:effectLst/>
            </c:spPr>
          </c:marker>
          <c:xVal>
            <c:numRef>
              <c:f>'Relative risk (ESCORT-1)'!$T$4:$T$24</c:f>
              <c:numCache>
                <c:formatCode>General</c:formatCode>
                <c:ptCount val="21"/>
                <c:pt idx="0">
                  <c:v>-20</c:v>
                </c:pt>
                <c:pt idx="1">
                  <c:v>-10</c:v>
                </c:pt>
                <c:pt idx="2">
                  <c:v>-5</c:v>
                </c:pt>
                <c:pt idx="3">
                  <c:v>-3</c:v>
                </c:pt>
                <c:pt idx="4">
                  <c:v>-1</c:v>
                </c:pt>
                <c:pt idx="5">
                  <c:v>0</c:v>
                </c:pt>
                <c:pt idx="6">
                  <c:v>1</c:v>
                </c:pt>
                <c:pt idx="7">
                  <c:v>2</c:v>
                </c:pt>
                <c:pt idx="8">
                  <c:v>6</c:v>
                </c:pt>
                <c:pt idx="9">
                  <c:v>10</c:v>
                </c:pt>
                <c:pt idx="10">
                  <c:v>14</c:v>
                </c:pt>
                <c:pt idx="11">
                  <c:v>18</c:v>
                </c:pt>
                <c:pt idx="12">
                  <c:v>22</c:v>
                </c:pt>
                <c:pt idx="13">
                  <c:v>26</c:v>
                </c:pt>
                <c:pt idx="14">
                  <c:v>30</c:v>
                </c:pt>
                <c:pt idx="15">
                  <c:v>34</c:v>
                </c:pt>
                <c:pt idx="16">
                  <c:v>38</c:v>
                </c:pt>
                <c:pt idx="17">
                  <c:v>42</c:v>
                </c:pt>
                <c:pt idx="18">
                  <c:v>50</c:v>
                </c:pt>
                <c:pt idx="19">
                  <c:v>58</c:v>
                </c:pt>
                <c:pt idx="20">
                  <c:v>66</c:v>
                </c:pt>
              </c:numCache>
            </c:numRef>
          </c:xVal>
          <c:yVal>
            <c:numRef>
              <c:f>'Relative risk (ESCORT-1)'!$U$4:$U$24</c:f>
              <c:numCache>
                <c:formatCode>General</c:formatCode>
                <c:ptCount val="21"/>
                <c:pt idx="0">
                  <c:v>2</c:v>
                </c:pt>
                <c:pt idx="1">
                  <c:v>2</c:v>
                </c:pt>
                <c:pt idx="2">
                  <c:v>3</c:v>
                </c:pt>
                <c:pt idx="3">
                  <c:v>3</c:v>
                </c:pt>
                <c:pt idx="4">
                  <c:v>3</c:v>
                </c:pt>
                <c:pt idx="5">
                  <c:v>3</c:v>
                </c:pt>
                <c:pt idx="6">
                  <c:v>3</c:v>
                </c:pt>
                <c:pt idx="7">
                  <c:v>3</c:v>
                </c:pt>
                <c:pt idx="8">
                  <c:v>3</c:v>
                </c:pt>
                <c:pt idx="9">
                  <c:v>3</c:v>
                </c:pt>
                <c:pt idx="10">
                  <c:v>3</c:v>
                </c:pt>
                <c:pt idx="11">
                  <c:v>4</c:v>
                </c:pt>
                <c:pt idx="12">
                  <c:v>4</c:v>
                </c:pt>
                <c:pt idx="13">
                  <c:v>4</c:v>
                </c:pt>
                <c:pt idx="14">
                  <c:v>4</c:v>
                </c:pt>
                <c:pt idx="15">
                  <c:v>4</c:v>
                </c:pt>
                <c:pt idx="16">
                  <c:v>4</c:v>
                </c:pt>
                <c:pt idx="17">
                  <c:v>5</c:v>
                </c:pt>
                <c:pt idx="18">
                  <c:v>5</c:v>
                </c:pt>
                <c:pt idx="19">
                  <c:v>6</c:v>
                </c:pt>
                <c:pt idx="20">
                  <c:v>6</c:v>
                </c:pt>
              </c:numCache>
            </c:numRef>
          </c:yVal>
          <c:smooth val="0"/>
          <c:extLst>
            <c:ext xmlns:c16="http://schemas.microsoft.com/office/drawing/2014/chart" uri="{C3380CC4-5D6E-409C-BE32-E72D297353CC}">
              <c16:uniqueId val="{00000000-7C41-744C-8A6F-66938FA68094}"/>
            </c:ext>
          </c:extLst>
        </c:ser>
        <c:dLbls>
          <c:showLegendKey val="0"/>
          <c:showVal val="0"/>
          <c:showCatName val="0"/>
          <c:showSerName val="0"/>
          <c:showPercent val="0"/>
          <c:showBubbleSize val="0"/>
        </c:dLbls>
        <c:axId val="1289172751"/>
        <c:axId val="1340151071"/>
      </c:scatterChart>
      <c:valAx>
        <c:axId val="29642352"/>
        <c:scaling>
          <c:orientation val="minMax"/>
          <c:max val="7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Years</a:t>
                </a:r>
                <a:r>
                  <a:rPr lang="en-GB" baseline="0"/>
                  <a:t> since study entry</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96032"/>
        <c:crosses val="autoZero"/>
        <c:crossBetween val="midCat"/>
      </c:valAx>
      <c:valAx>
        <c:axId val="29496032"/>
        <c:scaling>
          <c:orientation val="minMax"/>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Predicted eGFR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42352"/>
        <c:crosses val="autoZero"/>
        <c:crossBetween val="midCat"/>
      </c:valAx>
      <c:valAx>
        <c:axId val="1340151071"/>
        <c:scaling>
          <c:orientation val="maxMin"/>
          <c:max val="6"/>
          <c:min val="2"/>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CKD</a:t>
                </a:r>
                <a:r>
                  <a:rPr lang="en-GB" baseline="0"/>
                  <a:t> stage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172751"/>
        <c:crosses val="max"/>
        <c:crossBetween val="midCat"/>
        <c:majorUnit val="1"/>
        <c:minorUnit val="1"/>
      </c:valAx>
      <c:valAx>
        <c:axId val="1289172751"/>
        <c:scaling>
          <c:orientation val="minMax"/>
        </c:scaling>
        <c:delete val="1"/>
        <c:axPos val="t"/>
        <c:numFmt formatCode="General" sourceLinked="1"/>
        <c:majorTickMark val="out"/>
        <c:minorTickMark val="none"/>
        <c:tickLblPos val="nextTo"/>
        <c:crossAx val="1340151071"/>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Conventional treatment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Aged 42-46</c:v>
          </c:tx>
          <c:spPr>
            <a:solidFill>
              <a:schemeClr val="accent1"/>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(ESCORT-1)'!$B$31:$G$31</c:f>
              <c:numCache>
                <c:formatCode>0.00</c:formatCode>
                <c:ptCount val="6"/>
                <c:pt idx="0">
                  <c:v>1</c:v>
                </c:pt>
                <c:pt idx="1">
                  <c:v>0</c:v>
                </c:pt>
                <c:pt idx="2">
                  <c:v>0</c:v>
                </c:pt>
                <c:pt idx="3">
                  <c:v>0</c:v>
                </c:pt>
                <c:pt idx="4">
                  <c:v>0</c:v>
                </c:pt>
                <c:pt idx="5">
                  <c:v>0</c:v>
                </c:pt>
              </c:numCache>
            </c:numRef>
          </c:val>
          <c:extLst>
            <c:ext xmlns:c16="http://schemas.microsoft.com/office/drawing/2014/chart" uri="{C3380CC4-5D6E-409C-BE32-E72D297353CC}">
              <c16:uniqueId val="{00000000-0A4E-1249-8DA1-310BD7217063}"/>
            </c:ext>
          </c:extLst>
        </c:ser>
        <c:ser>
          <c:idx val="1"/>
          <c:order val="1"/>
          <c:tx>
            <c:v>Aged 47-51</c:v>
          </c:tx>
          <c:spPr>
            <a:solidFill>
              <a:schemeClr val="accent2"/>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(ESCORT-1)'!$B$32:$G$32</c:f>
              <c:numCache>
                <c:formatCode>0.00</c:formatCode>
                <c:ptCount val="6"/>
                <c:pt idx="0">
                  <c:v>0.65515211559325948</c:v>
                </c:pt>
                <c:pt idx="1">
                  <c:v>0.10727076280322349</c:v>
                </c:pt>
                <c:pt idx="2">
                  <c:v>1.4513545866686482E-2</c:v>
                </c:pt>
                <c:pt idx="3">
                  <c:v>4.4791385448700689E-3</c:v>
                </c:pt>
                <c:pt idx="4">
                  <c:v>8.6992319624460534E-3</c:v>
                </c:pt>
                <c:pt idx="5">
                  <c:v>2.9217245532731022E-2</c:v>
                </c:pt>
              </c:numCache>
            </c:numRef>
          </c:val>
          <c:extLst>
            <c:ext xmlns:c16="http://schemas.microsoft.com/office/drawing/2014/chart" uri="{C3380CC4-5D6E-409C-BE32-E72D297353CC}">
              <c16:uniqueId val="{00000001-0A4E-1249-8DA1-310BD7217063}"/>
            </c:ext>
          </c:extLst>
        </c:ser>
        <c:ser>
          <c:idx val="2"/>
          <c:order val="2"/>
          <c:tx>
            <c:v>Aged 52-56</c:v>
          </c:tx>
          <c:spPr>
            <a:solidFill>
              <a:schemeClr val="accent3"/>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(ESCORT-1)'!$B$33:$G$33</c:f>
              <c:numCache>
                <c:formatCode>0.00</c:formatCode>
                <c:ptCount val="6"/>
                <c:pt idx="0">
                  <c:v>0.42578687435626256</c:v>
                </c:pt>
                <c:pt idx="1">
                  <c:v>9.2299602007028927E-2</c:v>
                </c:pt>
                <c:pt idx="2">
                  <c:v>1.5619576735721469E-2</c:v>
                </c:pt>
                <c:pt idx="3">
                  <c:v>6.9854815691153685E-3</c:v>
                </c:pt>
                <c:pt idx="4">
                  <c:v>0.11701663746306476</c:v>
                </c:pt>
                <c:pt idx="5">
                  <c:v>0.16213438208053749</c:v>
                </c:pt>
              </c:numCache>
            </c:numRef>
          </c:val>
          <c:extLst>
            <c:ext xmlns:c16="http://schemas.microsoft.com/office/drawing/2014/chart" uri="{C3380CC4-5D6E-409C-BE32-E72D297353CC}">
              <c16:uniqueId val="{00000002-0A4E-1249-8DA1-310BD7217063}"/>
            </c:ext>
          </c:extLst>
        </c:ser>
        <c:ser>
          <c:idx val="3"/>
          <c:order val="3"/>
          <c:tx>
            <c:v>Aged 57-61</c:v>
          </c:tx>
          <c:spPr>
            <a:solidFill>
              <a:schemeClr val="accent4"/>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(ESCORT-1)'!$B$34:$G$34</c:f>
              <c:numCache>
                <c:formatCode>0.00</c:formatCode>
                <c:ptCount val="6"/>
                <c:pt idx="0">
                  <c:v>0.27336723497199034</c:v>
                </c:pt>
                <c:pt idx="1">
                  <c:v>6.2371669979552923E-2</c:v>
                </c:pt>
                <c:pt idx="2">
                  <c:v>1.0888252206127082E-2</c:v>
                </c:pt>
                <c:pt idx="3">
                  <c:v>5.0673705935447557E-3</c:v>
                </c:pt>
                <c:pt idx="4">
                  <c:v>0.19624118351437805</c:v>
                </c:pt>
                <c:pt idx="5">
                  <c:v>0.32260005539659609</c:v>
                </c:pt>
              </c:numCache>
            </c:numRef>
          </c:val>
          <c:extLst>
            <c:ext xmlns:c16="http://schemas.microsoft.com/office/drawing/2014/chart" uri="{C3380CC4-5D6E-409C-BE32-E72D297353CC}">
              <c16:uniqueId val="{00000003-0A4E-1249-8DA1-310BD7217063}"/>
            </c:ext>
          </c:extLst>
        </c:ser>
        <c:ser>
          <c:idx val="4"/>
          <c:order val="4"/>
          <c:tx>
            <c:v>Aged 62-66</c:v>
          </c:tx>
          <c:spPr>
            <a:solidFill>
              <a:schemeClr val="accent5"/>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(ESCORT-1)'!$B$35:$G$35</c:f>
              <c:numCache>
                <c:formatCode>0.00</c:formatCode>
                <c:ptCount val="6"/>
                <c:pt idx="0">
                  <c:v>0.17287372070455714</c:v>
                </c:pt>
                <c:pt idx="1">
                  <c:v>3.9865576353627571E-2</c:v>
                </c:pt>
                <c:pt idx="2">
                  <c:v>7.0023482581156229E-3</c:v>
                </c:pt>
                <c:pt idx="3">
                  <c:v>3.2836354550497089E-3</c:v>
                </c:pt>
                <c:pt idx="4">
                  <c:v>0.21954382078455323</c:v>
                </c:pt>
                <c:pt idx="5">
                  <c:v>0.46984555258918276</c:v>
                </c:pt>
              </c:numCache>
            </c:numRef>
          </c:val>
          <c:extLst>
            <c:ext xmlns:c16="http://schemas.microsoft.com/office/drawing/2014/chart" uri="{C3380CC4-5D6E-409C-BE32-E72D297353CC}">
              <c16:uniqueId val="{00000004-0A4E-1249-8DA1-310BD7217063}"/>
            </c:ext>
          </c:extLst>
        </c:ser>
        <c:ser>
          <c:idx val="5"/>
          <c:order val="5"/>
          <c:tx>
            <c:v>Aged 66-71</c:v>
          </c:tx>
          <c:spPr>
            <a:solidFill>
              <a:schemeClr val="accent6"/>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(ESCORT-1)'!$B$36:$G$36</c:f>
              <c:numCache>
                <c:formatCode>0.00</c:formatCode>
                <c:ptCount val="6"/>
                <c:pt idx="0">
                  <c:v>0.10657972227200085</c:v>
                </c:pt>
                <c:pt idx="1">
                  <c:v>2.4633766428102381E-2</c:v>
                </c:pt>
                <c:pt idx="2">
                  <c:v>4.3325264941200571E-3</c:v>
                </c:pt>
                <c:pt idx="3">
                  <c:v>2.0348886789845109E-3</c:v>
                </c:pt>
                <c:pt idx="4">
                  <c:v>0.20513756538333824</c:v>
                </c:pt>
                <c:pt idx="5">
                  <c:v>0.59969266572716406</c:v>
                </c:pt>
              </c:numCache>
            </c:numRef>
          </c:val>
          <c:extLst>
            <c:ext xmlns:c16="http://schemas.microsoft.com/office/drawing/2014/chart" uri="{C3380CC4-5D6E-409C-BE32-E72D297353CC}">
              <c16:uniqueId val="{00000005-0A4E-1249-8DA1-310BD7217063}"/>
            </c:ext>
          </c:extLst>
        </c:ser>
        <c:ser>
          <c:idx val="6"/>
          <c:order val="6"/>
          <c:tx>
            <c:v>Aged 72-76</c:v>
          </c:tx>
          <c:spPr>
            <a:solidFill>
              <a:schemeClr val="accent1">
                <a:lumMod val="60000"/>
              </a:schemeClr>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(ESCORT-1)'!$B$37:$G$37</c:f>
              <c:numCache>
                <c:formatCode>0.00</c:formatCode>
                <c:ptCount val="6"/>
                <c:pt idx="0">
                  <c:v>6.2777607283341863E-2</c:v>
                </c:pt>
                <c:pt idx="1">
                  <c:v>1.4516857880596838E-2</c:v>
                </c:pt>
                <c:pt idx="2">
                  <c:v>2.553899734019665E-3</c:v>
                </c:pt>
                <c:pt idx="3">
                  <c:v>1.1999143071999144E-3</c:v>
                </c:pt>
                <c:pt idx="4">
                  <c:v>0.1690016044108445</c:v>
                </c:pt>
                <c:pt idx="5">
                  <c:v>0.71359439246032252</c:v>
                </c:pt>
              </c:numCache>
            </c:numRef>
          </c:val>
          <c:extLst>
            <c:ext xmlns:c16="http://schemas.microsoft.com/office/drawing/2014/chart" uri="{C3380CC4-5D6E-409C-BE32-E72D297353CC}">
              <c16:uniqueId val="{00000006-0A4E-1249-8DA1-310BD7217063}"/>
            </c:ext>
          </c:extLst>
        </c:ser>
        <c:ser>
          <c:idx val="7"/>
          <c:order val="7"/>
          <c:tx>
            <c:v>Aged 77-81</c:v>
          </c:tx>
          <c:spPr>
            <a:solidFill>
              <a:schemeClr val="accent2">
                <a:lumMod val="60000"/>
              </a:schemeClr>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(ESCORT-1)'!$B$38:$G$38</c:f>
              <c:numCache>
                <c:formatCode>0.00</c:formatCode>
                <c:ptCount val="6"/>
                <c:pt idx="0">
                  <c:v>3.4451514160934948E-2</c:v>
                </c:pt>
                <c:pt idx="1">
                  <c:v>7.9674913298188564E-3</c:v>
                </c:pt>
                <c:pt idx="2">
                  <c:v>1.4017763639019264E-3</c:v>
                </c:pt>
                <c:pt idx="3">
                  <c:v>6.5865294054129201E-4</c:v>
                </c:pt>
                <c:pt idx="4">
                  <c:v>0.12358221253743797</c:v>
                </c:pt>
                <c:pt idx="5">
                  <c:v>0.81041857424545316</c:v>
                </c:pt>
              </c:numCache>
            </c:numRef>
          </c:val>
          <c:extLst>
            <c:ext xmlns:c16="http://schemas.microsoft.com/office/drawing/2014/chart" uri="{C3380CC4-5D6E-409C-BE32-E72D297353CC}">
              <c16:uniqueId val="{00000007-0A4E-1249-8DA1-310BD7217063}"/>
            </c:ext>
          </c:extLst>
        </c:ser>
        <c:ser>
          <c:idx val="8"/>
          <c:order val="8"/>
          <c:tx>
            <c:v>Aged 82-86</c:v>
          </c:tx>
          <c:spPr>
            <a:solidFill>
              <a:schemeClr val="accent3">
                <a:lumMod val="60000"/>
              </a:schemeClr>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(ESCORT-1)'!$B$39:$G$39</c:f>
              <c:numCache>
                <c:formatCode>0.00</c:formatCode>
                <c:ptCount val="6"/>
                <c:pt idx="0">
                  <c:v>1.6896572468525418E-2</c:v>
                </c:pt>
                <c:pt idx="1">
                  <c:v>3.9077039210123491E-3</c:v>
                </c:pt>
                <c:pt idx="2">
                  <c:v>6.8751843308745514E-4</c:v>
                </c:pt>
                <c:pt idx="3">
                  <c:v>3.2304945475749989E-4</c:v>
                </c:pt>
                <c:pt idx="4">
                  <c:v>7.8200210677538212E-2</c:v>
                </c:pt>
                <c:pt idx="5">
                  <c:v>0.88852807177706605</c:v>
                </c:pt>
              </c:numCache>
            </c:numRef>
          </c:val>
          <c:extLst>
            <c:ext xmlns:c16="http://schemas.microsoft.com/office/drawing/2014/chart" uri="{C3380CC4-5D6E-409C-BE32-E72D297353CC}">
              <c16:uniqueId val="{00000008-0A4E-1249-8DA1-310BD7217063}"/>
            </c:ext>
          </c:extLst>
        </c:ser>
        <c:ser>
          <c:idx val="9"/>
          <c:order val="9"/>
          <c:tx>
            <c:v>Aged 87-91</c:v>
          </c:tx>
          <c:spPr>
            <a:solidFill>
              <a:schemeClr val="accent4">
                <a:lumMod val="60000"/>
              </a:schemeClr>
            </a:solidFill>
            <a:ln>
              <a:noFill/>
            </a:ln>
            <a:effectLst/>
          </c:spPr>
          <c:invertIfNegative val="0"/>
          <c:cat>
            <c:strRef>
              <c:f>'Relative risk (ESCORT-1)'!$B$30:$G$30</c:f>
              <c:strCache>
                <c:ptCount val="6"/>
                <c:pt idx="0">
                  <c:v>3a</c:v>
                </c:pt>
                <c:pt idx="1">
                  <c:v>3b</c:v>
                </c:pt>
                <c:pt idx="2">
                  <c:v>4</c:v>
                </c:pt>
                <c:pt idx="3">
                  <c:v>5</c:v>
                </c:pt>
                <c:pt idx="4">
                  <c:v>Dialysis</c:v>
                </c:pt>
                <c:pt idx="5">
                  <c:v>Accumulative death</c:v>
                </c:pt>
              </c:strCache>
            </c:strRef>
          </c:cat>
          <c:val>
            <c:numRef>
              <c:f>'Relative risk (ESCORT-1)'!$B$40:$G$40</c:f>
              <c:numCache>
                <c:formatCode>0.00</c:formatCode>
                <c:ptCount val="6"/>
                <c:pt idx="0">
                  <c:v>0</c:v>
                </c:pt>
                <c:pt idx="1">
                  <c:v>0</c:v>
                </c:pt>
                <c:pt idx="2">
                  <c:v>0</c:v>
                </c:pt>
                <c:pt idx="3">
                  <c:v>0</c:v>
                </c:pt>
                <c:pt idx="4">
                  <c:v>0</c:v>
                </c:pt>
                <c:pt idx="5">
                  <c:v>1.0000000000000011</c:v>
                </c:pt>
              </c:numCache>
            </c:numRef>
          </c:val>
          <c:extLst>
            <c:ext xmlns:c16="http://schemas.microsoft.com/office/drawing/2014/chart" uri="{C3380CC4-5D6E-409C-BE32-E72D297353CC}">
              <c16:uniqueId val="{00000009-0A4E-1249-8DA1-310BD7217063}"/>
            </c:ext>
          </c:extLst>
        </c:ser>
        <c:dLbls>
          <c:showLegendKey val="0"/>
          <c:showVal val="0"/>
          <c:showCatName val="0"/>
          <c:showSerName val="0"/>
          <c:showPercent val="0"/>
          <c:showBubbleSize val="0"/>
        </c:dLbls>
        <c:gapWidth val="219"/>
        <c:overlap val="-27"/>
        <c:axId val="1275902623"/>
        <c:axId val="1275217087"/>
      </c:barChart>
      <c:catAx>
        <c:axId val="12759026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Health</a:t>
                </a:r>
                <a:r>
                  <a:rPr lang="en-GB" baseline="0"/>
                  <a:t> state</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217087"/>
        <c:crosses val="autoZero"/>
        <c:auto val="1"/>
        <c:lblAlgn val="ctr"/>
        <c:lblOffset val="100"/>
        <c:noMultiLvlLbl val="0"/>
      </c:catAx>
      <c:valAx>
        <c:axId val="1275217087"/>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Proportion of</a:t>
                </a:r>
                <a:r>
                  <a:rPr lang="en-US" baseline="0"/>
                  <a:t> patients in each health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902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Conventional</a:t>
            </a:r>
            <a:r>
              <a:rPr lang="en-GB" baseline="0"/>
              <a:t> treatment + ICP</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Aged 42-46</c:v>
          </c:tx>
          <c:spPr>
            <a:solidFill>
              <a:schemeClr val="accent1"/>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(ESCORT-1)'!$B$43:$G$43</c:f>
              <c:numCache>
                <c:formatCode>0.00</c:formatCode>
                <c:ptCount val="6"/>
                <c:pt idx="0">
                  <c:v>1</c:v>
                </c:pt>
                <c:pt idx="1">
                  <c:v>0</c:v>
                </c:pt>
                <c:pt idx="2">
                  <c:v>0</c:v>
                </c:pt>
                <c:pt idx="3">
                  <c:v>0</c:v>
                </c:pt>
                <c:pt idx="4">
                  <c:v>0</c:v>
                </c:pt>
                <c:pt idx="5">
                  <c:v>0</c:v>
                </c:pt>
              </c:numCache>
            </c:numRef>
          </c:val>
          <c:extLst>
            <c:ext xmlns:c16="http://schemas.microsoft.com/office/drawing/2014/chart" uri="{C3380CC4-5D6E-409C-BE32-E72D297353CC}">
              <c16:uniqueId val="{00000000-CB91-9146-AC96-25782198F8F8}"/>
            </c:ext>
          </c:extLst>
        </c:ser>
        <c:ser>
          <c:idx val="1"/>
          <c:order val="1"/>
          <c:tx>
            <c:v>Aged 47-51</c:v>
          </c:tx>
          <c:spPr>
            <a:solidFill>
              <a:schemeClr val="accent2"/>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(ESCORT-1)'!$B$44:$G$44</c:f>
              <c:numCache>
                <c:formatCode>0.00</c:formatCode>
                <c:ptCount val="6"/>
                <c:pt idx="0">
                  <c:v>0.65515211559325948</c:v>
                </c:pt>
                <c:pt idx="1">
                  <c:v>0.18207433814302726</c:v>
                </c:pt>
                <c:pt idx="2">
                  <c:v>3.4448754945127835E-2</c:v>
                </c:pt>
                <c:pt idx="3">
                  <c:v>8.9137773734165643E-4</c:v>
                </c:pt>
                <c:pt idx="4">
                  <c:v>1.2887751055475636E-3</c:v>
                </c:pt>
                <c:pt idx="5">
                  <c:v>2.3426287630228942E-2</c:v>
                </c:pt>
              </c:numCache>
            </c:numRef>
          </c:val>
          <c:extLst>
            <c:ext xmlns:c16="http://schemas.microsoft.com/office/drawing/2014/chart" uri="{C3380CC4-5D6E-409C-BE32-E72D297353CC}">
              <c16:uniqueId val="{00000001-CB91-9146-AC96-25782198F8F8}"/>
            </c:ext>
          </c:extLst>
        </c:ser>
        <c:ser>
          <c:idx val="2"/>
          <c:order val="2"/>
          <c:tx>
            <c:v>Aged 52-56</c:v>
          </c:tx>
          <c:spPr>
            <a:solidFill>
              <a:schemeClr val="accent3"/>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(ESCORT-1)'!$B$45:$G$45</c:f>
              <c:numCache>
                <c:formatCode>0.00</c:formatCode>
                <c:ptCount val="6"/>
                <c:pt idx="0">
                  <c:v>0.42578687435626256</c:v>
                </c:pt>
                <c:pt idx="1">
                  <c:v>0.22451789406025216</c:v>
                </c:pt>
                <c:pt idx="2">
                  <c:v>8.8565092994320943E-2</c:v>
                </c:pt>
                <c:pt idx="3">
                  <c:v>3.782604214676427E-3</c:v>
                </c:pt>
                <c:pt idx="4">
                  <c:v>3.926320299379326E-2</c:v>
                </c:pt>
                <c:pt idx="5">
                  <c:v>8.7438658293808369E-2</c:v>
                </c:pt>
              </c:numCache>
            </c:numRef>
          </c:val>
          <c:extLst>
            <c:ext xmlns:c16="http://schemas.microsoft.com/office/drawing/2014/chart" uri="{C3380CC4-5D6E-409C-BE32-E72D297353CC}">
              <c16:uniqueId val="{00000002-CB91-9146-AC96-25782198F8F8}"/>
            </c:ext>
          </c:extLst>
        </c:ser>
        <c:ser>
          <c:idx val="3"/>
          <c:order val="3"/>
          <c:tx>
            <c:v>Aged 57-61</c:v>
          </c:tx>
          <c:spPr>
            <a:solidFill>
              <a:schemeClr val="accent4"/>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(ESCORT-1)'!$B$46:$G$46</c:f>
              <c:numCache>
                <c:formatCode>0.00</c:formatCode>
                <c:ptCount val="6"/>
                <c:pt idx="0">
                  <c:v>0.27336723497199034</c:v>
                </c:pt>
                <c:pt idx="1">
                  <c:v>0.19121220187793217</c:v>
                </c:pt>
                <c:pt idx="2">
                  <c:v>9.8651699607130119E-2</c:v>
                </c:pt>
                <c:pt idx="3">
                  <c:v>4.6788625857678307E-3</c:v>
                </c:pt>
                <c:pt idx="4">
                  <c:v>0.10403118515932773</c:v>
                </c:pt>
                <c:pt idx="5">
                  <c:v>0.20300101669871287</c:v>
                </c:pt>
              </c:numCache>
            </c:numRef>
          </c:val>
          <c:extLst>
            <c:ext xmlns:c16="http://schemas.microsoft.com/office/drawing/2014/chart" uri="{C3380CC4-5D6E-409C-BE32-E72D297353CC}">
              <c16:uniqueId val="{00000003-CB91-9146-AC96-25782198F8F8}"/>
            </c:ext>
          </c:extLst>
        </c:ser>
        <c:ser>
          <c:idx val="4"/>
          <c:order val="4"/>
          <c:tx>
            <c:v>Aged 62-66</c:v>
          </c:tx>
          <c:spPr>
            <a:solidFill>
              <a:schemeClr val="accent5"/>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(ESCORT-1)'!$B$47:$G$47</c:f>
              <c:numCache>
                <c:formatCode>0.00</c:formatCode>
                <c:ptCount val="6"/>
                <c:pt idx="0">
                  <c:v>0.17287372070455714</c:v>
                </c:pt>
                <c:pt idx="1">
                  <c:v>0.14146756352049075</c:v>
                </c:pt>
                <c:pt idx="2">
                  <c:v>8.342046544053329E-2</c:v>
                </c:pt>
                <c:pt idx="3">
                  <c:v>4.1272724647931566E-3</c:v>
                </c:pt>
                <c:pt idx="4">
                  <c:v>0.1544424932314368</c:v>
                </c:pt>
                <c:pt idx="5">
                  <c:v>0.34173882257721605</c:v>
                </c:pt>
              </c:numCache>
            </c:numRef>
          </c:val>
          <c:extLst>
            <c:ext xmlns:c16="http://schemas.microsoft.com/office/drawing/2014/chart" uri="{C3380CC4-5D6E-409C-BE32-E72D297353CC}">
              <c16:uniqueId val="{00000004-CB91-9146-AC96-25782198F8F8}"/>
            </c:ext>
          </c:extLst>
        </c:ser>
        <c:ser>
          <c:idx val="5"/>
          <c:order val="5"/>
          <c:tx>
            <c:v>Aged 67-71</c:v>
          </c:tx>
          <c:spPr>
            <a:solidFill>
              <a:schemeClr val="accent6"/>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(ESCORT-1)'!$B$48:$G$48</c:f>
              <c:numCache>
                <c:formatCode>0.00</c:formatCode>
                <c:ptCount val="6"/>
                <c:pt idx="0">
                  <c:v>0.10657972227200085</c:v>
                </c:pt>
                <c:pt idx="1">
                  <c:v>9.5962727208621687E-2</c:v>
                </c:pt>
                <c:pt idx="2">
                  <c:v>6.0991925120126744E-2</c:v>
                </c:pt>
                <c:pt idx="3">
                  <c:v>3.0824433780728016E-3</c:v>
                </c:pt>
                <c:pt idx="4">
                  <c:v>0.17394058843012711</c:v>
                </c:pt>
                <c:pt idx="5">
                  <c:v>0.4843525019555181</c:v>
                </c:pt>
              </c:numCache>
            </c:numRef>
          </c:val>
          <c:extLst>
            <c:ext xmlns:c16="http://schemas.microsoft.com/office/drawing/2014/chart" uri="{C3380CC4-5D6E-409C-BE32-E72D297353CC}">
              <c16:uniqueId val="{00000005-CB91-9146-AC96-25782198F8F8}"/>
            </c:ext>
          </c:extLst>
        </c:ser>
        <c:ser>
          <c:idx val="6"/>
          <c:order val="6"/>
          <c:tx>
            <c:v>Aged 72-76</c:v>
          </c:tx>
          <c:spPr>
            <a:solidFill>
              <a:schemeClr val="accent1">
                <a:lumMod val="60000"/>
              </a:schemeClr>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(ESCORT-1)'!$B$49:$G$49</c:f>
              <c:numCache>
                <c:formatCode>0.00</c:formatCode>
                <c:ptCount val="6"/>
                <c:pt idx="0">
                  <c:v>6.2777607283341863E-2</c:v>
                </c:pt>
                <c:pt idx="1">
                  <c:v>6.0080209119732698E-2</c:v>
                </c:pt>
                <c:pt idx="2">
                  <c:v>3.9940648635301029E-2</c:v>
                </c:pt>
                <c:pt idx="3">
                  <c:v>2.0428222428464779E-3</c:v>
                </c:pt>
                <c:pt idx="4">
                  <c:v>0.16302970281463564</c:v>
                </c:pt>
                <c:pt idx="5">
                  <c:v>0.62137340824698617</c:v>
                </c:pt>
              </c:numCache>
            </c:numRef>
          </c:val>
          <c:extLst>
            <c:ext xmlns:c16="http://schemas.microsoft.com/office/drawing/2014/chart" uri="{C3380CC4-5D6E-409C-BE32-E72D297353CC}">
              <c16:uniqueId val="{00000006-CB91-9146-AC96-25782198F8F8}"/>
            </c:ext>
          </c:extLst>
        </c:ser>
        <c:ser>
          <c:idx val="7"/>
          <c:order val="7"/>
          <c:tx>
            <c:v>Aged 77-81</c:v>
          </c:tx>
          <c:spPr>
            <a:solidFill>
              <a:schemeClr val="accent2">
                <a:lumMod val="60000"/>
              </a:schemeClr>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(ESCORT-1)'!$B$50:$G$50</c:f>
              <c:numCache>
                <c:formatCode>0.00</c:formatCode>
                <c:ptCount val="6"/>
                <c:pt idx="0">
                  <c:v>3.4451514160934948E-2</c:v>
                </c:pt>
                <c:pt idx="1">
                  <c:v>3.4318534145877266E-2</c:v>
                </c:pt>
                <c:pt idx="2">
                  <c:v>2.3464772696504314E-2</c:v>
                </c:pt>
                <c:pt idx="3">
                  <c:v>1.2087967848725262E-3</c:v>
                </c:pt>
                <c:pt idx="4">
                  <c:v>0.13073454220165492</c:v>
                </c:pt>
                <c:pt idx="5">
                  <c:v>0.74453845595422641</c:v>
                </c:pt>
              </c:numCache>
            </c:numRef>
          </c:val>
          <c:extLst>
            <c:ext xmlns:c16="http://schemas.microsoft.com/office/drawing/2014/chart" uri="{C3380CC4-5D6E-409C-BE32-E72D297353CC}">
              <c16:uniqueId val="{00000007-CB91-9146-AC96-25782198F8F8}"/>
            </c:ext>
          </c:extLst>
        </c:ser>
        <c:ser>
          <c:idx val="8"/>
          <c:order val="8"/>
          <c:tx>
            <c:v>Aged 82-86</c:v>
          </c:tx>
          <c:spPr>
            <a:solidFill>
              <a:schemeClr val="accent3">
                <a:lumMod val="60000"/>
              </a:schemeClr>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(ESCORT-1)'!$B$51:$G$51</c:f>
              <c:numCache>
                <c:formatCode>0.00</c:formatCode>
                <c:ptCount val="6"/>
                <c:pt idx="0">
                  <c:v>1.6896572468525418E-2</c:v>
                </c:pt>
                <c:pt idx="1">
                  <c:v>1.7287533252150256E-2</c:v>
                </c:pt>
                <c:pt idx="2">
                  <c:v>1.2035876562387377E-2</c:v>
                </c:pt>
                <c:pt idx="3">
                  <c:v>6.2283578980641143E-4</c:v>
                </c:pt>
                <c:pt idx="4">
                  <c:v>8.8531583360341393E-2</c:v>
                </c:pt>
                <c:pt idx="5">
                  <c:v>0.84757878074026138</c:v>
                </c:pt>
              </c:numCache>
            </c:numRef>
          </c:val>
          <c:extLst>
            <c:ext xmlns:c16="http://schemas.microsoft.com/office/drawing/2014/chart" uri="{C3380CC4-5D6E-409C-BE32-E72D297353CC}">
              <c16:uniqueId val="{00000008-CB91-9146-AC96-25782198F8F8}"/>
            </c:ext>
          </c:extLst>
        </c:ser>
        <c:ser>
          <c:idx val="9"/>
          <c:order val="9"/>
          <c:tx>
            <c:v>Aged 87-91</c:v>
          </c:tx>
          <c:spPr>
            <a:solidFill>
              <a:schemeClr val="accent4">
                <a:lumMod val="60000"/>
              </a:schemeClr>
            </a:solidFill>
            <a:ln>
              <a:noFill/>
            </a:ln>
            <a:effectLst/>
          </c:spPr>
          <c:invertIfNegative val="0"/>
          <c:cat>
            <c:strRef>
              <c:f>'Relative risk (ESCORT-1)'!$B$42:$G$42</c:f>
              <c:strCache>
                <c:ptCount val="6"/>
                <c:pt idx="0">
                  <c:v>3a</c:v>
                </c:pt>
                <c:pt idx="1">
                  <c:v>3b</c:v>
                </c:pt>
                <c:pt idx="2">
                  <c:v>4</c:v>
                </c:pt>
                <c:pt idx="3">
                  <c:v>5</c:v>
                </c:pt>
                <c:pt idx="4">
                  <c:v>Dialysis</c:v>
                </c:pt>
                <c:pt idx="5">
                  <c:v>Accumulative death</c:v>
                </c:pt>
              </c:strCache>
            </c:strRef>
          </c:cat>
          <c:val>
            <c:numRef>
              <c:f>'Relative risk (ESCORT-1)'!$B$52:$G$52</c:f>
              <c:numCache>
                <c:formatCode>0.00</c:formatCode>
                <c:ptCount val="6"/>
                <c:pt idx="0">
                  <c:v>0</c:v>
                </c:pt>
                <c:pt idx="1">
                  <c:v>0</c:v>
                </c:pt>
                <c:pt idx="2">
                  <c:v>0</c:v>
                </c:pt>
                <c:pt idx="3">
                  <c:v>0</c:v>
                </c:pt>
                <c:pt idx="4">
                  <c:v>0</c:v>
                </c:pt>
                <c:pt idx="5">
                  <c:v>1.0000000000000011</c:v>
                </c:pt>
              </c:numCache>
            </c:numRef>
          </c:val>
          <c:extLst>
            <c:ext xmlns:c16="http://schemas.microsoft.com/office/drawing/2014/chart" uri="{C3380CC4-5D6E-409C-BE32-E72D297353CC}">
              <c16:uniqueId val="{00000009-CB91-9146-AC96-25782198F8F8}"/>
            </c:ext>
          </c:extLst>
        </c:ser>
        <c:dLbls>
          <c:showLegendKey val="0"/>
          <c:showVal val="0"/>
          <c:showCatName val="0"/>
          <c:showSerName val="0"/>
          <c:showPercent val="0"/>
          <c:showBubbleSize val="0"/>
        </c:dLbls>
        <c:gapWidth val="219"/>
        <c:overlap val="-27"/>
        <c:axId val="1275656703"/>
        <c:axId val="1275727263"/>
      </c:barChart>
      <c:catAx>
        <c:axId val="12756567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Health</a:t>
                </a:r>
                <a:r>
                  <a:rPr lang="en-GB" baseline="0"/>
                  <a:t> state</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727263"/>
        <c:crosses val="autoZero"/>
        <c:auto val="1"/>
        <c:lblAlgn val="ctr"/>
        <c:lblOffset val="100"/>
        <c:noMultiLvlLbl val="0"/>
      </c:catAx>
      <c:valAx>
        <c:axId val="127572726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Proportion of patients in each health</a:t>
                </a:r>
                <a:r>
                  <a:rPr lang="en-GB" baseline="0"/>
                  <a:t> state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656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(ESCORT-1)'!$C$31:$F$31</c:f>
              <c:numCache>
                <c:formatCode>0.00</c:formatCode>
                <c:ptCount val="4"/>
                <c:pt idx="0">
                  <c:v>0</c:v>
                </c:pt>
                <c:pt idx="1">
                  <c:v>0</c:v>
                </c:pt>
                <c:pt idx="2">
                  <c:v>0</c:v>
                </c:pt>
                <c:pt idx="3">
                  <c:v>0</c:v>
                </c:pt>
              </c:numCache>
            </c:numRef>
          </c:val>
          <c:extLst>
            <c:ext xmlns:c16="http://schemas.microsoft.com/office/drawing/2014/chart" uri="{C3380CC4-5D6E-409C-BE32-E72D297353CC}">
              <c16:uniqueId val="{00000000-5352-7B4B-9F7F-5D72E47F6999}"/>
            </c:ext>
          </c:extLst>
        </c:ser>
        <c:ser>
          <c:idx val="1"/>
          <c:order val="1"/>
          <c:spPr>
            <a:solidFill>
              <a:schemeClr val="accent2"/>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(ESCORT-1)'!$C$32:$F$32</c:f>
              <c:numCache>
                <c:formatCode>0.00</c:formatCode>
                <c:ptCount val="4"/>
                <c:pt idx="0">
                  <c:v>0.10727076280322349</c:v>
                </c:pt>
                <c:pt idx="1">
                  <c:v>1.4513545866686482E-2</c:v>
                </c:pt>
                <c:pt idx="2">
                  <c:v>4.4791385448700689E-3</c:v>
                </c:pt>
                <c:pt idx="3">
                  <c:v>8.6992319624460534E-3</c:v>
                </c:pt>
              </c:numCache>
            </c:numRef>
          </c:val>
          <c:extLst>
            <c:ext xmlns:c16="http://schemas.microsoft.com/office/drawing/2014/chart" uri="{C3380CC4-5D6E-409C-BE32-E72D297353CC}">
              <c16:uniqueId val="{00000001-5352-7B4B-9F7F-5D72E47F6999}"/>
            </c:ext>
          </c:extLst>
        </c:ser>
        <c:ser>
          <c:idx val="2"/>
          <c:order val="2"/>
          <c:spPr>
            <a:solidFill>
              <a:schemeClr val="accent3"/>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(ESCORT-1)'!$C$33:$F$33</c:f>
              <c:numCache>
                <c:formatCode>0.00</c:formatCode>
                <c:ptCount val="4"/>
                <c:pt idx="0">
                  <c:v>9.2299602007028927E-2</c:v>
                </c:pt>
                <c:pt idx="1">
                  <c:v>1.5619576735721469E-2</c:v>
                </c:pt>
                <c:pt idx="2">
                  <c:v>6.9854815691153685E-3</c:v>
                </c:pt>
                <c:pt idx="3">
                  <c:v>0.11701663746306476</c:v>
                </c:pt>
              </c:numCache>
            </c:numRef>
          </c:val>
          <c:extLst>
            <c:ext xmlns:c16="http://schemas.microsoft.com/office/drawing/2014/chart" uri="{C3380CC4-5D6E-409C-BE32-E72D297353CC}">
              <c16:uniqueId val="{00000002-5352-7B4B-9F7F-5D72E47F6999}"/>
            </c:ext>
          </c:extLst>
        </c:ser>
        <c:ser>
          <c:idx val="3"/>
          <c:order val="3"/>
          <c:spPr>
            <a:solidFill>
              <a:schemeClr val="accent4"/>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(ESCORT-1)'!$C$34:$F$34</c:f>
              <c:numCache>
                <c:formatCode>0.00</c:formatCode>
                <c:ptCount val="4"/>
                <c:pt idx="0">
                  <c:v>6.2371669979552923E-2</c:v>
                </c:pt>
                <c:pt idx="1">
                  <c:v>1.0888252206127082E-2</c:v>
                </c:pt>
                <c:pt idx="2">
                  <c:v>5.0673705935447557E-3</c:v>
                </c:pt>
                <c:pt idx="3">
                  <c:v>0.19624118351437805</c:v>
                </c:pt>
              </c:numCache>
            </c:numRef>
          </c:val>
          <c:extLst>
            <c:ext xmlns:c16="http://schemas.microsoft.com/office/drawing/2014/chart" uri="{C3380CC4-5D6E-409C-BE32-E72D297353CC}">
              <c16:uniqueId val="{00000003-5352-7B4B-9F7F-5D72E47F6999}"/>
            </c:ext>
          </c:extLst>
        </c:ser>
        <c:ser>
          <c:idx val="4"/>
          <c:order val="4"/>
          <c:spPr>
            <a:solidFill>
              <a:schemeClr val="accent5"/>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(ESCORT-1)'!$C$35:$F$35</c:f>
              <c:numCache>
                <c:formatCode>0.00</c:formatCode>
                <c:ptCount val="4"/>
                <c:pt idx="0">
                  <c:v>3.9865576353627571E-2</c:v>
                </c:pt>
                <c:pt idx="1">
                  <c:v>7.0023482581156229E-3</c:v>
                </c:pt>
                <c:pt idx="2">
                  <c:v>3.2836354550497089E-3</c:v>
                </c:pt>
                <c:pt idx="3">
                  <c:v>0.21954382078455323</c:v>
                </c:pt>
              </c:numCache>
            </c:numRef>
          </c:val>
          <c:extLst>
            <c:ext xmlns:c16="http://schemas.microsoft.com/office/drawing/2014/chart" uri="{C3380CC4-5D6E-409C-BE32-E72D297353CC}">
              <c16:uniqueId val="{00000004-5352-7B4B-9F7F-5D72E47F6999}"/>
            </c:ext>
          </c:extLst>
        </c:ser>
        <c:ser>
          <c:idx val="5"/>
          <c:order val="5"/>
          <c:spPr>
            <a:solidFill>
              <a:schemeClr val="accent6"/>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(ESCORT-1)'!$C$36:$F$36</c:f>
              <c:numCache>
                <c:formatCode>0.00</c:formatCode>
                <c:ptCount val="4"/>
                <c:pt idx="0">
                  <c:v>2.4633766428102381E-2</c:v>
                </c:pt>
                <c:pt idx="1">
                  <c:v>4.3325264941200571E-3</c:v>
                </c:pt>
                <c:pt idx="2">
                  <c:v>2.0348886789845109E-3</c:v>
                </c:pt>
                <c:pt idx="3">
                  <c:v>0.20513756538333824</c:v>
                </c:pt>
              </c:numCache>
            </c:numRef>
          </c:val>
          <c:extLst>
            <c:ext xmlns:c16="http://schemas.microsoft.com/office/drawing/2014/chart" uri="{C3380CC4-5D6E-409C-BE32-E72D297353CC}">
              <c16:uniqueId val="{00000005-5352-7B4B-9F7F-5D72E47F6999}"/>
            </c:ext>
          </c:extLst>
        </c:ser>
        <c:ser>
          <c:idx val="6"/>
          <c:order val="6"/>
          <c:spPr>
            <a:solidFill>
              <a:schemeClr val="accent1">
                <a:lumMod val="60000"/>
              </a:schemeClr>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(ESCORT-1)'!$C$37:$F$37</c:f>
              <c:numCache>
                <c:formatCode>0.00</c:formatCode>
                <c:ptCount val="4"/>
                <c:pt idx="0">
                  <c:v>1.4516857880596838E-2</c:v>
                </c:pt>
                <c:pt idx="1">
                  <c:v>2.553899734019665E-3</c:v>
                </c:pt>
                <c:pt idx="2">
                  <c:v>1.1999143071999144E-3</c:v>
                </c:pt>
                <c:pt idx="3">
                  <c:v>0.1690016044108445</c:v>
                </c:pt>
              </c:numCache>
            </c:numRef>
          </c:val>
          <c:extLst>
            <c:ext xmlns:c16="http://schemas.microsoft.com/office/drawing/2014/chart" uri="{C3380CC4-5D6E-409C-BE32-E72D297353CC}">
              <c16:uniqueId val="{00000006-5352-7B4B-9F7F-5D72E47F6999}"/>
            </c:ext>
          </c:extLst>
        </c:ser>
        <c:ser>
          <c:idx val="7"/>
          <c:order val="7"/>
          <c:spPr>
            <a:solidFill>
              <a:schemeClr val="accent2">
                <a:lumMod val="60000"/>
              </a:schemeClr>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(ESCORT-1)'!$C$38:$F$38</c:f>
              <c:numCache>
                <c:formatCode>0.00</c:formatCode>
                <c:ptCount val="4"/>
                <c:pt idx="0">
                  <c:v>7.9674913298188564E-3</c:v>
                </c:pt>
                <c:pt idx="1">
                  <c:v>1.4017763639019264E-3</c:v>
                </c:pt>
                <c:pt idx="2">
                  <c:v>6.5865294054129201E-4</c:v>
                </c:pt>
                <c:pt idx="3">
                  <c:v>0.12358221253743797</c:v>
                </c:pt>
              </c:numCache>
            </c:numRef>
          </c:val>
          <c:extLst>
            <c:ext xmlns:c16="http://schemas.microsoft.com/office/drawing/2014/chart" uri="{C3380CC4-5D6E-409C-BE32-E72D297353CC}">
              <c16:uniqueId val="{00000007-5352-7B4B-9F7F-5D72E47F6999}"/>
            </c:ext>
          </c:extLst>
        </c:ser>
        <c:ser>
          <c:idx val="8"/>
          <c:order val="8"/>
          <c:spPr>
            <a:solidFill>
              <a:schemeClr val="accent3">
                <a:lumMod val="60000"/>
              </a:schemeClr>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(ESCORT-1)'!$C$39:$F$39</c:f>
              <c:numCache>
                <c:formatCode>0.00</c:formatCode>
                <c:ptCount val="4"/>
                <c:pt idx="0">
                  <c:v>3.9077039210123491E-3</c:v>
                </c:pt>
                <c:pt idx="1">
                  <c:v>6.8751843308745514E-4</c:v>
                </c:pt>
                <c:pt idx="2">
                  <c:v>3.2304945475749989E-4</c:v>
                </c:pt>
                <c:pt idx="3">
                  <c:v>7.8200210677538212E-2</c:v>
                </c:pt>
              </c:numCache>
            </c:numRef>
          </c:val>
          <c:extLst>
            <c:ext xmlns:c16="http://schemas.microsoft.com/office/drawing/2014/chart" uri="{C3380CC4-5D6E-409C-BE32-E72D297353CC}">
              <c16:uniqueId val="{00000008-5352-7B4B-9F7F-5D72E47F6999}"/>
            </c:ext>
          </c:extLst>
        </c:ser>
        <c:ser>
          <c:idx val="9"/>
          <c:order val="9"/>
          <c:spPr>
            <a:solidFill>
              <a:schemeClr val="accent4">
                <a:lumMod val="60000"/>
              </a:schemeClr>
            </a:solidFill>
            <a:ln>
              <a:noFill/>
            </a:ln>
            <a:effectLst/>
          </c:spPr>
          <c:invertIfNegative val="0"/>
          <c:cat>
            <c:strRef>
              <c:f>'Relative risk (ESCORT-1)'!$C$30:$F$30</c:f>
              <c:strCache>
                <c:ptCount val="4"/>
                <c:pt idx="0">
                  <c:v>3b</c:v>
                </c:pt>
                <c:pt idx="1">
                  <c:v>4</c:v>
                </c:pt>
                <c:pt idx="2">
                  <c:v>5</c:v>
                </c:pt>
                <c:pt idx="3">
                  <c:v>Dialysis</c:v>
                </c:pt>
              </c:strCache>
            </c:strRef>
          </c:cat>
          <c:val>
            <c:numRef>
              <c:f>'Relative risk (ESCORT-1)'!$C$40:$F$40</c:f>
              <c:numCache>
                <c:formatCode>0.00</c:formatCode>
                <c:ptCount val="4"/>
                <c:pt idx="0">
                  <c:v>0</c:v>
                </c:pt>
                <c:pt idx="1">
                  <c:v>0</c:v>
                </c:pt>
                <c:pt idx="2">
                  <c:v>0</c:v>
                </c:pt>
                <c:pt idx="3">
                  <c:v>0</c:v>
                </c:pt>
              </c:numCache>
            </c:numRef>
          </c:val>
          <c:extLst>
            <c:ext xmlns:c16="http://schemas.microsoft.com/office/drawing/2014/chart" uri="{C3380CC4-5D6E-409C-BE32-E72D297353CC}">
              <c16:uniqueId val="{00000009-5352-7B4B-9F7F-5D72E47F6999}"/>
            </c:ext>
          </c:extLst>
        </c:ser>
        <c:dLbls>
          <c:showLegendKey val="0"/>
          <c:showVal val="0"/>
          <c:showCatName val="0"/>
          <c:showSerName val="0"/>
          <c:showPercent val="0"/>
          <c:showBubbleSize val="0"/>
        </c:dLbls>
        <c:gapWidth val="219"/>
        <c:overlap val="-27"/>
        <c:axId val="1328857231"/>
        <c:axId val="1329507279"/>
      </c:barChart>
      <c:catAx>
        <c:axId val="1328857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Health state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507279"/>
        <c:crosses val="autoZero"/>
        <c:auto val="1"/>
        <c:lblAlgn val="ctr"/>
        <c:lblOffset val="100"/>
        <c:noMultiLvlLbl val="0"/>
      </c:catAx>
      <c:valAx>
        <c:axId val="1329507279"/>
        <c:scaling>
          <c:orientation val="minMax"/>
          <c:max val="0.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Proportion</a:t>
                </a:r>
                <a:r>
                  <a:rPr lang="en-GB" baseline="0"/>
                  <a:t> of patients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88572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(ESCORT-1)'!$C$43:$F$43</c:f>
              <c:numCache>
                <c:formatCode>0.00</c:formatCode>
                <c:ptCount val="4"/>
                <c:pt idx="0">
                  <c:v>0</c:v>
                </c:pt>
                <c:pt idx="1">
                  <c:v>0</c:v>
                </c:pt>
                <c:pt idx="2">
                  <c:v>0</c:v>
                </c:pt>
                <c:pt idx="3">
                  <c:v>0</c:v>
                </c:pt>
              </c:numCache>
            </c:numRef>
          </c:val>
          <c:extLst>
            <c:ext xmlns:c16="http://schemas.microsoft.com/office/drawing/2014/chart" uri="{C3380CC4-5D6E-409C-BE32-E72D297353CC}">
              <c16:uniqueId val="{00000000-0B06-9846-9B7B-33AC47E5A26C}"/>
            </c:ext>
          </c:extLst>
        </c:ser>
        <c:ser>
          <c:idx val="1"/>
          <c:order val="1"/>
          <c:spPr>
            <a:solidFill>
              <a:schemeClr val="accent2"/>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(ESCORT-1)'!$C$44:$F$44</c:f>
              <c:numCache>
                <c:formatCode>0.00</c:formatCode>
                <c:ptCount val="4"/>
                <c:pt idx="0">
                  <c:v>0.18207433814302726</c:v>
                </c:pt>
                <c:pt idx="1">
                  <c:v>3.4448754945127835E-2</c:v>
                </c:pt>
                <c:pt idx="2">
                  <c:v>8.9137773734165643E-4</c:v>
                </c:pt>
                <c:pt idx="3">
                  <c:v>1.2887751055475636E-3</c:v>
                </c:pt>
              </c:numCache>
            </c:numRef>
          </c:val>
          <c:extLst>
            <c:ext xmlns:c16="http://schemas.microsoft.com/office/drawing/2014/chart" uri="{C3380CC4-5D6E-409C-BE32-E72D297353CC}">
              <c16:uniqueId val="{00000001-0B06-9846-9B7B-33AC47E5A26C}"/>
            </c:ext>
          </c:extLst>
        </c:ser>
        <c:ser>
          <c:idx val="2"/>
          <c:order val="2"/>
          <c:spPr>
            <a:solidFill>
              <a:schemeClr val="accent3"/>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(ESCORT-1)'!$C$45:$F$45</c:f>
              <c:numCache>
                <c:formatCode>0.00</c:formatCode>
                <c:ptCount val="4"/>
                <c:pt idx="0">
                  <c:v>0.22451789406025216</c:v>
                </c:pt>
                <c:pt idx="1">
                  <c:v>8.8565092994320943E-2</c:v>
                </c:pt>
                <c:pt idx="2">
                  <c:v>3.782604214676427E-3</c:v>
                </c:pt>
                <c:pt idx="3">
                  <c:v>3.926320299379326E-2</c:v>
                </c:pt>
              </c:numCache>
            </c:numRef>
          </c:val>
          <c:extLst>
            <c:ext xmlns:c16="http://schemas.microsoft.com/office/drawing/2014/chart" uri="{C3380CC4-5D6E-409C-BE32-E72D297353CC}">
              <c16:uniqueId val="{00000002-0B06-9846-9B7B-33AC47E5A26C}"/>
            </c:ext>
          </c:extLst>
        </c:ser>
        <c:ser>
          <c:idx val="3"/>
          <c:order val="3"/>
          <c:spPr>
            <a:solidFill>
              <a:schemeClr val="accent4"/>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(ESCORT-1)'!$C$46:$F$46</c:f>
              <c:numCache>
                <c:formatCode>0.00</c:formatCode>
                <c:ptCount val="4"/>
                <c:pt idx="0">
                  <c:v>0.19121220187793217</c:v>
                </c:pt>
                <c:pt idx="1">
                  <c:v>9.8651699607130119E-2</c:v>
                </c:pt>
                <c:pt idx="2">
                  <c:v>4.6788625857678307E-3</c:v>
                </c:pt>
                <c:pt idx="3">
                  <c:v>0.10403118515932773</c:v>
                </c:pt>
              </c:numCache>
            </c:numRef>
          </c:val>
          <c:extLst>
            <c:ext xmlns:c16="http://schemas.microsoft.com/office/drawing/2014/chart" uri="{C3380CC4-5D6E-409C-BE32-E72D297353CC}">
              <c16:uniqueId val="{00000003-0B06-9846-9B7B-33AC47E5A26C}"/>
            </c:ext>
          </c:extLst>
        </c:ser>
        <c:ser>
          <c:idx val="4"/>
          <c:order val="4"/>
          <c:spPr>
            <a:solidFill>
              <a:schemeClr val="accent5"/>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(ESCORT-1)'!$C$47:$F$47</c:f>
              <c:numCache>
                <c:formatCode>0.00</c:formatCode>
                <c:ptCount val="4"/>
                <c:pt idx="0">
                  <c:v>0.14146756352049075</c:v>
                </c:pt>
                <c:pt idx="1">
                  <c:v>8.342046544053329E-2</c:v>
                </c:pt>
                <c:pt idx="2">
                  <c:v>4.1272724647931566E-3</c:v>
                </c:pt>
                <c:pt idx="3">
                  <c:v>0.1544424932314368</c:v>
                </c:pt>
              </c:numCache>
            </c:numRef>
          </c:val>
          <c:extLst>
            <c:ext xmlns:c16="http://schemas.microsoft.com/office/drawing/2014/chart" uri="{C3380CC4-5D6E-409C-BE32-E72D297353CC}">
              <c16:uniqueId val="{00000004-0B06-9846-9B7B-33AC47E5A26C}"/>
            </c:ext>
          </c:extLst>
        </c:ser>
        <c:ser>
          <c:idx val="5"/>
          <c:order val="5"/>
          <c:spPr>
            <a:solidFill>
              <a:schemeClr val="accent6"/>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(ESCORT-1)'!$C$48:$F$48</c:f>
              <c:numCache>
                <c:formatCode>0.00</c:formatCode>
                <c:ptCount val="4"/>
                <c:pt idx="0">
                  <c:v>9.5962727208621687E-2</c:v>
                </c:pt>
                <c:pt idx="1">
                  <c:v>6.0991925120126744E-2</c:v>
                </c:pt>
                <c:pt idx="2">
                  <c:v>3.0824433780728016E-3</c:v>
                </c:pt>
                <c:pt idx="3">
                  <c:v>0.17394058843012711</c:v>
                </c:pt>
              </c:numCache>
            </c:numRef>
          </c:val>
          <c:extLst>
            <c:ext xmlns:c16="http://schemas.microsoft.com/office/drawing/2014/chart" uri="{C3380CC4-5D6E-409C-BE32-E72D297353CC}">
              <c16:uniqueId val="{00000005-0B06-9846-9B7B-33AC47E5A26C}"/>
            </c:ext>
          </c:extLst>
        </c:ser>
        <c:ser>
          <c:idx val="6"/>
          <c:order val="6"/>
          <c:spPr>
            <a:solidFill>
              <a:schemeClr val="accent1">
                <a:lumMod val="60000"/>
              </a:schemeClr>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(ESCORT-1)'!$C$49:$F$49</c:f>
              <c:numCache>
                <c:formatCode>0.00</c:formatCode>
                <c:ptCount val="4"/>
                <c:pt idx="0">
                  <c:v>6.0080209119732698E-2</c:v>
                </c:pt>
                <c:pt idx="1">
                  <c:v>3.9940648635301029E-2</c:v>
                </c:pt>
                <c:pt idx="2">
                  <c:v>2.0428222428464779E-3</c:v>
                </c:pt>
                <c:pt idx="3">
                  <c:v>0.16302970281463564</c:v>
                </c:pt>
              </c:numCache>
            </c:numRef>
          </c:val>
          <c:extLst>
            <c:ext xmlns:c16="http://schemas.microsoft.com/office/drawing/2014/chart" uri="{C3380CC4-5D6E-409C-BE32-E72D297353CC}">
              <c16:uniqueId val="{00000006-0B06-9846-9B7B-33AC47E5A26C}"/>
            </c:ext>
          </c:extLst>
        </c:ser>
        <c:ser>
          <c:idx val="7"/>
          <c:order val="7"/>
          <c:spPr>
            <a:solidFill>
              <a:schemeClr val="accent2">
                <a:lumMod val="60000"/>
              </a:schemeClr>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(ESCORT-1)'!$C$50:$F$50</c:f>
              <c:numCache>
                <c:formatCode>0.00</c:formatCode>
                <c:ptCount val="4"/>
                <c:pt idx="0">
                  <c:v>3.4318534145877266E-2</c:v>
                </c:pt>
                <c:pt idx="1">
                  <c:v>2.3464772696504314E-2</c:v>
                </c:pt>
                <c:pt idx="2">
                  <c:v>1.2087967848725262E-3</c:v>
                </c:pt>
                <c:pt idx="3">
                  <c:v>0.13073454220165492</c:v>
                </c:pt>
              </c:numCache>
            </c:numRef>
          </c:val>
          <c:extLst>
            <c:ext xmlns:c16="http://schemas.microsoft.com/office/drawing/2014/chart" uri="{C3380CC4-5D6E-409C-BE32-E72D297353CC}">
              <c16:uniqueId val="{00000007-0B06-9846-9B7B-33AC47E5A26C}"/>
            </c:ext>
          </c:extLst>
        </c:ser>
        <c:ser>
          <c:idx val="8"/>
          <c:order val="8"/>
          <c:spPr>
            <a:solidFill>
              <a:schemeClr val="accent3">
                <a:lumMod val="60000"/>
              </a:schemeClr>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(ESCORT-1)'!$C$51:$F$51</c:f>
              <c:numCache>
                <c:formatCode>0.00</c:formatCode>
                <c:ptCount val="4"/>
                <c:pt idx="0">
                  <c:v>1.7287533252150256E-2</c:v>
                </c:pt>
                <c:pt idx="1">
                  <c:v>1.2035876562387377E-2</c:v>
                </c:pt>
                <c:pt idx="2">
                  <c:v>6.2283578980641143E-4</c:v>
                </c:pt>
                <c:pt idx="3">
                  <c:v>8.8531583360341393E-2</c:v>
                </c:pt>
              </c:numCache>
            </c:numRef>
          </c:val>
          <c:extLst>
            <c:ext xmlns:c16="http://schemas.microsoft.com/office/drawing/2014/chart" uri="{C3380CC4-5D6E-409C-BE32-E72D297353CC}">
              <c16:uniqueId val="{00000008-0B06-9846-9B7B-33AC47E5A26C}"/>
            </c:ext>
          </c:extLst>
        </c:ser>
        <c:ser>
          <c:idx val="9"/>
          <c:order val="9"/>
          <c:spPr>
            <a:solidFill>
              <a:schemeClr val="accent4">
                <a:lumMod val="60000"/>
              </a:schemeClr>
            </a:solidFill>
            <a:ln>
              <a:noFill/>
            </a:ln>
            <a:effectLst/>
          </c:spPr>
          <c:invertIfNegative val="0"/>
          <c:cat>
            <c:strRef>
              <c:f>'Relative risk (ESCORT-1)'!$C$42:$F$42</c:f>
              <c:strCache>
                <c:ptCount val="4"/>
                <c:pt idx="0">
                  <c:v>3b</c:v>
                </c:pt>
                <c:pt idx="1">
                  <c:v>4</c:v>
                </c:pt>
                <c:pt idx="2">
                  <c:v>5</c:v>
                </c:pt>
                <c:pt idx="3">
                  <c:v>Dialysis</c:v>
                </c:pt>
              </c:strCache>
            </c:strRef>
          </c:cat>
          <c:val>
            <c:numRef>
              <c:f>'Relative risk (ESCORT-1)'!$C$52:$F$52</c:f>
              <c:numCache>
                <c:formatCode>0.00</c:formatCode>
                <c:ptCount val="4"/>
                <c:pt idx="0">
                  <c:v>0</c:v>
                </c:pt>
                <c:pt idx="1">
                  <c:v>0</c:v>
                </c:pt>
                <c:pt idx="2">
                  <c:v>0</c:v>
                </c:pt>
                <c:pt idx="3">
                  <c:v>0</c:v>
                </c:pt>
              </c:numCache>
            </c:numRef>
          </c:val>
          <c:extLst>
            <c:ext xmlns:c16="http://schemas.microsoft.com/office/drawing/2014/chart" uri="{C3380CC4-5D6E-409C-BE32-E72D297353CC}">
              <c16:uniqueId val="{00000009-0B06-9846-9B7B-33AC47E5A26C}"/>
            </c:ext>
          </c:extLst>
        </c:ser>
        <c:dLbls>
          <c:showLegendKey val="0"/>
          <c:showVal val="0"/>
          <c:showCatName val="0"/>
          <c:showSerName val="0"/>
          <c:showPercent val="0"/>
          <c:showBubbleSize val="0"/>
        </c:dLbls>
        <c:gapWidth val="219"/>
        <c:overlap val="-27"/>
        <c:axId val="1314429247"/>
        <c:axId val="1327279103"/>
      </c:barChart>
      <c:catAx>
        <c:axId val="13144292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Health</a:t>
                </a:r>
                <a:r>
                  <a:rPr lang="en-GB" baseline="0"/>
                  <a:t> state</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279103"/>
        <c:crosses val="autoZero"/>
        <c:auto val="1"/>
        <c:lblAlgn val="ctr"/>
        <c:lblOffset val="100"/>
        <c:noMultiLvlLbl val="0"/>
      </c:catAx>
      <c:valAx>
        <c:axId val="13272791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Proportion of patinets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429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Predicted eGFR: Intervention</a:t>
            </a:r>
            <a:r>
              <a:rPr lang="en-US" baseline="0"/>
              <a:t>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'Transitional probabilities'!$U$3</c:f>
              <c:strCache>
                <c:ptCount val="1"/>
                <c:pt idx="0">
                  <c:v>Predicted eGFR</c:v>
                </c:pt>
              </c:strCache>
            </c:strRef>
          </c:tx>
          <c:spPr>
            <a:ln w="19050" cap="rnd">
              <a:solidFill>
                <a:schemeClr val="accent1"/>
              </a:solidFill>
              <a:round/>
            </a:ln>
            <a:effectLst/>
          </c:spPr>
          <c:marker>
            <c:symbol val="circle"/>
            <c:size val="5"/>
            <c:spPr>
              <a:noFill/>
              <a:ln w="9525">
                <a:noFill/>
              </a:ln>
              <a:effectLst/>
            </c:spPr>
          </c:marker>
          <c:xVal>
            <c:numRef>
              <c:f>'Transitional probabilities'!$T$4:$T$35</c:f>
              <c:numCache>
                <c:formatCode>General</c:formatCode>
                <c:ptCount val="32"/>
                <c:pt idx="0">
                  <c:v>-20</c:v>
                </c:pt>
                <c:pt idx="1">
                  <c:v>-19</c:v>
                </c:pt>
                <c:pt idx="2">
                  <c:v>-18</c:v>
                </c:pt>
                <c:pt idx="3">
                  <c:v>-17</c:v>
                </c:pt>
                <c:pt idx="4">
                  <c:v>-16</c:v>
                </c:pt>
                <c:pt idx="5">
                  <c:v>-15</c:v>
                </c:pt>
                <c:pt idx="6">
                  <c:v>-14</c:v>
                </c:pt>
                <c:pt idx="7">
                  <c:v>-13</c:v>
                </c:pt>
                <c:pt idx="8">
                  <c:v>-12</c:v>
                </c:pt>
                <c:pt idx="9">
                  <c:v>-11</c:v>
                </c:pt>
                <c:pt idx="10">
                  <c:v>-10</c:v>
                </c:pt>
                <c:pt idx="11">
                  <c:v>-9</c:v>
                </c:pt>
                <c:pt idx="12">
                  <c:v>-8</c:v>
                </c:pt>
                <c:pt idx="13">
                  <c:v>-7</c:v>
                </c:pt>
                <c:pt idx="14">
                  <c:v>-6</c:v>
                </c:pt>
                <c:pt idx="15">
                  <c:v>-5</c:v>
                </c:pt>
                <c:pt idx="16">
                  <c:v>-4</c:v>
                </c:pt>
                <c:pt idx="17">
                  <c:v>-3</c:v>
                </c:pt>
                <c:pt idx="18">
                  <c:v>-2</c:v>
                </c:pt>
                <c:pt idx="19">
                  <c:v>-1</c:v>
                </c:pt>
                <c:pt idx="20">
                  <c:v>0</c:v>
                </c:pt>
                <c:pt idx="21">
                  <c:v>1</c:v>
                </c:pt>
                <c:pt idx="22">
                  <c:v>2</c:v>
                </c:pt>
                <c:pt idx="23">
                  <c:v>6</c:v>
                </c:pt>
                <c:pt idx="24">
                  <c:v>10</c:v>
                </c:pt>
                <c:pt idx="25">
                  <c:v>14</c:v>
                </c:pt>
                <c:pt idx="26">
                  <c:v>18</c:v>
                </c:pt>
                <c:pt idx="27">
                  <c:v>22</c:v>
                </c:pt>
                <c:pt idx="28">
                  <c:v>26</c:v>
                </c:pt>
                <c:pt idx="29">
                  <c:v>30</c:v>
                </c:pt>
                <c:pt idx="30">
                  <c:v>34</c:v>
                </c:pt>
                <c:pt idx="31">
                  <c:v>38</c:v>
                </c:pt>
              </c:numCache>
            </c:numRef>
          </c:xVal>
          <c:yVal>
            <c:numRef>
              <c:f>'Transitional probabilities'!$U$4:$U$35</c:f>
              <c:numCache>
                <c:formatCode>General</c:formatCode>
                <c:ptCount val="32"/>
                <c:pt idx="0">
                  <c:v>64.456130000000101</c:v>
                </c:pt>
                <c:pt idx="1">
                  <c:v>63.302750000000103</c:v>
                </c:pt>
                <c:pt idx="2">
                  <c:v>62.149370000000097</c:v>
                </c:pt>
                <c:pt idx="3">
                  <c:v>60.995990000000099</c:v>
                </c:pt>
                <c:pt idx="4">
                  <c:v>59.8426100000001</c:v>
                </c:pt>
                <c:pt idx="5">
                  <c:v>58.689230000000101</c:v>
                </c:pt>
                <c:pt idx="6">
                  <c:v>57.535850000000103</c:v>
                </c:pt>
                <c:pt idx="7">
                  <c:v>56.382470000000097</c:v>
                </c:pt>
                <c:pt idx="8">
                  <c:v>55.229090000000099</c:v>
                </c:pt>
                <c:pt idx="9">
                  <c:v>54.0757100000001</c:v>
                </c:pt>
                <c:pt idx="10">
                  <c:v>52.922330000000102</c:v>
                </c:pt>
                <c:pt idx="11">
                  <c:v>51.768950000000103</c:v>
                </c:pt>
                <c:pt idx="12">
                  <c:v>50.615569999999998</c:v>
                </c:pt>
                <c:pt idx="13">
                  <c:v>49.46219</c:v>
                </c:pt>
                <c:pt idx="14">
                  <c:v>48.308810000000001</c:v>
                </c:pt>
                <c:pt idx="15">
                  <c:v>47.155430000000003</c:v>
                </c:pt>
                <c:pt idx="16">
                  <c:v>46.002049999999997</c:v>
                </c:pt>
                <c:pt idx="17">
                  <c:v>44.848669999999998</c:v>
                </c:pt>
                <c:pt idx="18">
                  <c:v>43.69529</c:v>
                </c:pt>
                <c:pt idx="19">
                  <c:v>42.541910000000001</c:v>
                </c:pt>
                <c:pt idx="20">
                  <c:v>41.388530000000003</c:v>
                </c:pt>
                <c:pt idx="21">
                  <c:v>40.235149999999997</c:v>
                </c:pt>
                <c:pt idx="22">
                  <c:v>39.081769999999999</c:v>
                </c:pt>
                <c:pt idx="23">
                  <c:v>34.468240000000002</c:v>
                </c:pt>
                <c:pt idx="24">
                  <c:v>29.854700000000001</c:v>
                </c:pt>
                <c:pt idx="25">
                  <c:v>25.24117</c:v>
                </c:pt>
                <c:pt idx="26">
                  <c:v>20.62764</c:v>
                </c:pt>
                <c:pt idx="27">
                  <c:v>16.014099999999999</c:v>
                </c:pt>
                <c:pt idx="28">
                  <c:v>11.40057</c:v>
                </c:pt>
                <c:pt idx="29">
                  <c:v>6.7870379999999999</c:v>
                </c:pt>
                <c:pt idx="30">
                  <c:v>2.173505</c:v>
                </c:pt>
                <c:pt idx="31">
                  <c:v>-2.4400279999999999</c:v>
                </c:pt>
              </c:numCache>
            </c:numRef>
          </c:yVal>
          <c:smooth val="0"/>
          <c:extLst>
            <c:ext xmlns:c16="http://schemas.microsoft.com/office/drawing/2014/chart" uri="{C3380CC4-5D6E-409C-BE32-E72D297353CC}">
              <c16:uniqueId val="{00000000-6C70-B647-BCF0-1AE615AE6BDA}"/>
            </c:ext>
          </c:extLst>
        </c:ser>
        <c:dLbls>
          <c:showLegendKey val="0"/>
          <c:showVal val="0"/>
          <c:showCatName val="0"/>
          <c:showSerName val="0"/>
          <c:showPercent val="0"/>
          <c:showBubbleSize val="0"/>
        </c:dLbls>
        <c:axId val="515680192"/>
        <c:axId val="541044672"/>
      </c:scatterChart>
      <c:scatterChart>
        <c:scatterStyle val="lineMarker"/>
        <c:varyColors val="0"/>
        <c:ser>
          <c:idx val="1"/>
          <c:order val="1"/>
          <c:tx>
            <c:strRef>
              <c:f>'Transitional probabilities'!$V$3</c:f>
              <c:strCache>
                <c:ptCount val="1"/>
                <c:pt idx="0">
                  <c:v>Predicted CKD stage</c:v>
                </c:pt>
              </c:strCache>
            </c:strRef>
          </c:tx>
          <c:spPr>
            <a:ln w="19050" cap="rnd">
              <a:noFill/>
              <a:round/>
            </a:ln>
            <a:effectLst/>
          </c:spPr>
          <c:marker>
            <c:symbol val="circle"/>
            <c:size val="5"/>
            <c:spPr>
              <a:noFill/>
              <a:ln w="9525">
                <a:noFill/>
              </a:ln>
              <a:effectLst/>
            </c:spPr>
          </c:marker>
          <c:xVal>
            <c:numRef>
              <c:f>'Transitional probabilities'!$T$4:$T$35</c:f>
              <c:numCache>
                <c:formatCode>General</c:formatCode>
                <c:ptCount val="32"/>
                <c:pt idx="0">
                  <c:v>-20</c:v>
                </c:pt>
                <c:pt idx="1">
                  <c:v>-19</c:v>
                </c:pt>
                <c:pt idx="2">
                  <c:v>-18</c:v>
                </c:pt>
                <c:pt idx="3">
                  <c:v>-17</c:v>
                </c:pt>
                <c:pt idx="4">
                  <c:v>-16</c:v>
                </c:pt>
                <c:pt idx="5">
                  <c:v>-15</c:v>
                </c:pt>
                <c:pt idx="6">
                  <c:v>-14</c:v>
                </c:pt>
                <c:pt idx="7">
                  <c:v>-13</c:v>
                </c:pt>
                <c:pt idx="8">
                  <c:v>-12</c:v>
                </c:pt>
                <c:pt idx="9">
                  <c:v>-11</c:v>
                </c:pt>
                <c:pt idx="10">
                  <c:v>-10</c:v>
                </c:pt>
                <c:pt idx="11">
                  <c:v>-9</c:v>
                </c:pt>
                <c:pt idx="12">
                  <c:v>-8</c:v>
                </c:pt>
                <c:pt idx="13">
                  <c:v>-7</c:v>
                </c:pt>
                <c:pt idx="14">
                  <c:v>-6</c:v>
                </c:pt>
                <c:pt idx="15">
                  <c:v>-5</c:v>
                </c:pt>
                <c:pt idx="16">
                  <c:v>-4</c:v>
                </c:pt>
                <c:pt idx="17">
                  <c:v>-3</c:v>
                </c:pt>
                <c:pt idx="18">
                  <c:v>-2</c:v>
                </c:pt>
                <c:pt idx="19">
                  <c:v>-1</c:v>
                </c:pt>
                <c:pt idx="20">
                  <c:v>0</c:v>
                </c:pt>
                <c:pt idx="21">
                  <c:v>1</c:v>
                </c:pt>
                <c:pt idx="22">
                  <c:v>2</c:v>
                </c:pt>
                <c:pt idx="23">
                  <c:v>6</c:v>
                </c:pt>
                <c:pt idx="24">
                  <c:v>10</c:v>
                </c:pt>
                <c:pt idx="25">
                  <c:v>14</c:v>
                </c:pt>
                <c:pt idx="26">
                  <c:v>18</c:v>
                </c:pt>
                <c:pt idx="27">
                  <c:v>22</c:v>
                </c:pt>
                <c:pt idx="28">
                  <c:v>26</c:v>
                </c:pt>
                <c:pt idx="29">
                  <c:v>30</c:v>
                </c:pt>
                <c:pt idx="30">
                  <c:v>34</c:v>
                </c:pt>
                <c:pt idx="31">
                  <c:v>38</c:v>
                </c:pt>
              </c:numCache>
            </c:numRef>
          </c:xVal>
          <c:yVal>
            <c:numRef>
              <c:f>'Transitional probabilities'!$V$4:$V$35</c:f>
              <c:numCache>
                <c:formatCode>General</c:formatCode>
                <c:ptCount val="32"/>
                <c:pt idx="0">
                  <c:v>1</c:v>
                </c:pt>
                <c:pt idx="1">
                  <c:v>1</c:v>
                </c:pt>
                <c:pt idx="2">
                  <c:v>1</c:v>
                </c:pt>
                <c:pt idx="3">
                  <c:v>1</c:v>
                </c:pt>
                <c:pt idx="4">
                  <c:v>2</c:v>
                </c:pt>
                <c:pt idx="5">
                  <c:v>2</c:v>
                </c:pt>
                <c:pt idx="6">
                  <c:v>2</c:v>
                </c:pt>
                <c:pt idx="7">
                  <c:v>2</c:v>
                </c:pt>
                <c:pt idx="8">
                  <c:v>2</c:v>
                </c:pt>
                <c:pt idx="9">
                  <c:v>2</c:v>
                </c:pt>
                <c:pt idx="10">
                  <c:v>2</c:v>
                </c:pt>
                <c:pt idx="11">
                  <c:v>2</c:v>
                </c:pt>
                <c:pt idx="12">
                  <c:v>2</c:v>
                </c:pt>
                <c:pt idx="13">
                  <c:v>2</c:v>
                </c:pt>
                <c:pt idx="14">
                  <c:v>2</c:v>
                </c:pt>
                <c:pt idx="15">
                  <c:v>2</c:v>
                </c:pt>
                <c:pt idx="16">
                  <c:v>2</c:v>
                </c:pt>
                <c:pt idx="17">
                  <c:v>3</c:v>
                </c:pt>
                <c:pt idx="18">
                  <c:v>3</c:v>
                </c:pt>
                <c:pt idx="19">
                  <c:v>3</c:v>
                </c:pt>
                <c:pt idx="20">
                  <c:v>3</c:v>
                </c:pt>
                <c:pt idx="21">
                  <c:v>3</c:v>
                </c:pt>
                <c:pt idx="22">
                  <c:v>3</c:v>
                </c:pt>
                <c:pt idx="23">
                  <c:v>3</c:v>
                </c:pt>
                <c:pt idx="24">
                  <c:v>4</c:v>
                </c:pt>
                <c:pt idx="25">
                  <c:v>4</c:v>
                </c:pt>
                <c:pt idx="26">
                  <c:v>4</c:v>
                </c:pt>
                <c:pt idx="27">
                  <c:v>4</c:v>
                </c:pt>
                <c:pt idx="28">
                  <c:v>5</c:v>
                </c:pt>
                <c:pt idx="29">
                  <c:v>5</c:v>
                </c:pt>
                <c:pt idx="30">
                  <c:v>6</c:v>
                </c:pt>
                <c:pt idx="31">
                  <c:v>6</c:v>
                </c:pt>
              </c:numCache>
            </c:numRef>
          </c:yVal>
          <c:smooth val="0"/>
          <c:extLst>
            <c:ext xmlns:c16="http://schemas.microsoft.com/office/drawing/2014/chart" uri="{C3380CC4-5D6E-409C-BE32-E72D297353CC}">
              <c16:uniqueId val="{00000000-7AC3-C142-8EFB-99566697B31A}"/>
            </c:ext>
          </c:extLst>
        </c:ser>
        <c:dLbls>
          <c:showLegendKey val="0"/>
          <c:showVal val="0"/>
          <c:showCatName val="0"/>
          <c:showSerName val="0"/>
          <c:showPercent val="0"/>
          <c:showBubbleSize val="0"/>
        </c:dLbls>
        <c:axId val="1372714991"/>
        <c:axId val="1372706431"/>
      </c:scatterChart>
      <c:valAx>
        <c:axId val="515680192"/>
        <c:scaling>
          <c:orientation val="minMax"/>
          <c:max val="8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Years since study (ESCORT-1 or ESCORT-2) entry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4672"/>
        <c:crosses val="autoZero"/>
        <c:crossBetween val="midCat"/>
      </c:valAx>
      <c:valAx>
        <c:axId val="541044672"/>
        <c:scaling>
          <c:orientation val="minMax"/>
          <c:max val="60"/>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Predicted eGFR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680192"/>
        <c:crosses val="autoZero"/>
        <c:crossBetween val="midCat"/>
      </c:valAx>
      <c:valAx>
        <c:axId val="1372706431"/>
        <c:scaling>
          <c:orientation val="maxMin"/>
          <c:max val="6"/>
          <c:min val="2"/>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Predicted CKD stage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714991"/>
        <c:crosses val="max"/>
        <c:crossBetween val="midCat"/>
        <c:majorUnit val="1"/>
      </c:valAx>
      <c:valAx>
        <c:axId val="1372714991"/>
        <c:scaling>
          <c:orientation val="minMax"/>
        </c:scaling>
        <c:delete val="1"/>
        <c:axPos val="t"/>
        <c:numFmt formatCode="General" sourceLinked="1"/>
        <c:majorTickMark val="out"/>
        <c:minorTickMark val="none"/>
        <c:tickLblPos val="nextTo"/>
        <c:crossAx val="13727064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Sheet1!$D$1</c:f>
              <c:strCache>
                <c:ptCount val="1"/>
                <c:pt idx="0">
                  <c:v>% change when lower bound 95% CI applied</c:v>
                </c:pt>
              </c:strCache>
            </c:strRef>
          </c:tx>
          <c:spPr>
            <a:solidFill>
              <a:schemeClr val="accent1"/>
            </a:solidFill>
            <a:ln>
              <a:noFill/>
            </a:ln>
            <a:effectLst/>
          </c:spPr>
          <c:invertIfNegative val="0"/>
          <c:cat>
            <c:strRef>
              <c:f>Sheet1!$A$2:$A$39</c:f>
              <c:strCache>
                <c:ptCount val="38"/>
                <c:pt idx="0">
                  <c:v>cMaterialsICP</c:v>
                </c:pt>
                <c:pt idx="1">
                  <c:v>cMaterialsCT</c:v>
                </c:pt>
                <c:pt idx="2">
                  <c:v>gamma</c:v>
                </c:pt>
                <c:pt idx="3">
                  <c:v>cons</c:v>
                </c:pt>
                <c:pt idx="4">
                  <c:v>cMainHD</c:v>
                </c:pt>
                <c:pt idx="5">
                  <c:v>rPDComp</c:v>
                </c:pt>
                <c:pt idx="6">
                  <c:v>cMonCompPD</c:v>
                </c:pt>
                <c:pt idx="7">
                  <c:v>cWageICP</c:v>
                </c:pt>
                <c:pt idx="8">
                  <c:v>cIndirectMICP</c:v>
                </c:pt>
                <c:pt idx="9">
                  <c:v>p5/Death</c:v>
                </c:pt>
                <c:pt idx="10">
                  <c:v>ageC</c:v>
                </c:pt>
                <c:pt idx="11">
                  <c:v>cIndirectMCT</c:v>
                </c:pt>
                <c:pt idx="12">
                  <c:v>p5/Dialysis</c:v>
                </c:pt>
                <c:pt idx="13">
                  <c:v>cMonCompHD</c:v>
                </c:pt>
                <c:pt idx="14">
                  <c:v>rHDComp</c:v>
                </c:pt>
                <c:pt idx="15">
                  <c:v>cWageCT</c:v>
                </c:pt>
                <c:pt idx="16">
                  <c:v>RR3a</c:v>
                </c:pt>
                <c:pt idx="17">
                  <c:v>Utility for PD without complication</c:v>
                </c:pt>
                <c:pt idx="18">
                  <c:v>cDirectNMICP</c:v>
                </c:pt>
                <c:pt idx="19">
                  <c:v>cIndirectNMHD</c:v>
                </c:pt>
                <c:pt idx="20">
                  <c:v>cDirectNMHD</c:v>
                </c:pt>
                <c:pt idx="21">
                  <c:v>cIndirectNMICP</c:v>
                </c:pt>
                <c:pt idx="22">
                  <c:v>cMainPD</c:v>
                </c:pt>
                <c:pt idx="23">
                  <c:v>u3b</c:v>
                </c:pt>
                <c:pt idx="24">
                  <c:v>p3b/4</c:v>
                </c:pt>
                <c:pt idx="25">
                  <c:v>cDirectNMCT</c:v>
                </c:pt>
                <c:pt idx="26">
                  <c:v>cIndirectNMCT</c:v>
                </c:pt>
                <c:pt idx="27">
                  <c:v>RR3b</c:v>
                </c:pt>
                <c:pt idx="28">
                  <c:v>u5</c:v>
                </c:pt>
                <c:pt idx="29">
                  <c:v>u4</c:v>
                </c:pt>
                <c:pt idx="30">
                  <c:v>cDirectNMPD</c:v>
                </c:pt>
                <c:pt idx="31">
                  <c:v>p3a/3b</c:v>
                </c:pt>
                <c:pt idx="32">
                  <c:v>cindirectNMPD</c:v>
                </c:pt>
                <c:pt idx="33">
                  <c:v>cSetupPD</c:v>
                </c:pt>
                <c:pt idx="34">
                  <c:v>cSetupHD</c:v>
                </c:pt>
                <c:pt idx="35">
                  <c:v>p4/5</c:v>
                </c:pt>
                <c:pt idx="36">
                  <c:v>u3a</c:v>
                </c:pt>
                <c:pt idx="37">
                  <c:v>Utility for HD without complication</c:v>
                </c:pt>
              </c:strCache>
            </c:strRef>
          </c:cat>
          <c:val>
            <c:numRef>
              <c:f>Sheet1!$D$2:$D$39</c:f>
              <c:numCache>
                <c:formatCode>0.00000000000</c:formatCode>
                <c:ptCount val="38"/>
                <c:pt idx="0">
                  <c:v>0.23048781895722231</c:v>
                </c:pt>
                <c:pt idx="1">
                  <c:v>-0.26728833738762303</c:v>
                </c:pt>
                <c:pt idx="2">
                  <c:v>0.27117013946548302</c:v>
                </c:pt>
                <c:pt idx="3">
                  <c:v>0.26626734906658794</c:v>
                </c:pt>
                <c:pt idx="4">
                  <c:v>-0.29246496507856024</c:v>
                </c:pt>
                <c:pt idx="5">
                  <c:v>-0.16937624598271961</c:v>
                </c:pt>
                <c:pt idx="6">
                  <c:v>-0.1568321281468377</c:v>
                </c:pt>
                <c:pt idx="7">
                  <c:v>4.9497220036026059E-2</c:v>
                </c:pt>
                <c:pt idx="8">
                  <c:v>2.999163365368121E-2</c:v>
                </c:pt>
                <c:pt idx="9">
                  <c:v>9.5542414312793131E-2</c:v>
                </c:pt>
                <c:pt idx="10">
                  <c:v>7.1784678509890801E-2</c:v>
                </c:pt>
                <c:pt idx="11">
                  <c:v>-9.6088122230897813E-2</c:v>
                </c:pt>
                <c:pt idx="12">
                  <c:v>-0.14542238858933215</c:v>
                </c:pt>
                <c:pt idx="13">
                  <c:v>-9.1862670333777527E-2</c:v>
                </c:pt>
                <c:pt idx="14">
                  <c:v>-9.3122832465531227E-2</c:v>
                </c:pt>
                <c:pt idx="15">
                  <c:v>-8.3124213640746208E-2</c:v>
                </c:pt>
                <c:pt idx="16">
                  <c:v>-0.13743873183409133</c:v>
                </c:pt>
                <c:pt idx="17">
                  <c:v>-8.3700108667415563E-2</c:v>
                </c:pt>
                <c:pt idx="18">
                  <c:v>-2.6050985002806386E-2</c:v>
                </c:pt>
                <c:pt idx="19">
                  <c:v>-5.989553274477593E-2</c:v>
                </c:pt>
                <c:pt idx="20">
                  <c:v>-5.944818692694074E-2</c:v>
                </c:pt>
                <c:pt idx="21">
                  <c:v>-2.9027425875217547E-2</c:v>
                </c:pt>
                <c:pt idx="22">
                  <c:v>-5.9235398242712074E-2</c:v>
                </c:pt>
                <c:pt idx="23">
                  <c:v>-3.0672940614906944E-2</c:v>
                </c:pt>
                <c:pt idx="24">
                  <c:v>-3.6344375261356539E-2</c:v>
                </c:pt>
                <c:pt idx="25">
                  <c:v>-4.7705288902696978E-2</c:v>
                </c:pt>
                <c:pt idx="26">
                  <c:v>-4.7032578588417751E-2</c:v>
                </c:pt>
                <c:pt idx="27">
                  <c:v>-4.7779705253877258E-2</c:v>
                </c:pt>
                <c:pt idx="28">
                  <c:v>-4.7268603867691321E-2</c:v>
                </c:pt>
                <c:pt idx="29">
                  <c:v>-4.6255723463590977E-2</c:v>
                </c:pt>
                <c:pt idx="30">
                  <c:v>-4.5406054053714104E-2</c:v>
                </c:pt>
                <c:pt idx="31">
                  <c:v>-4.5456814481005081E-2</c:v>
                </c:pt>
                <c:pt idx="32">
                  <c:v>-4.4580707115710709E-2</c:v>
                </c:pt>
                <c:pt idx="33">
                  <c:v>-4.4158354819663244E-2</c:v>
                </c:pt>
                <c:pt idx="34">
                  <c:v>-4.3719943132459804E-2</c:v>
                </c:pt>
                <c:pt idx="35">
                  <c:v>-4.3311791524405341E-2</c:v>
                </c:pt>
                <c:pt idx="36">
                  <c:v>-4.3342686708706668E-2</c:v>
                </c:pt>
                <c:pt idx="37">
                  <c:v>2.9464157828393042E-3</c:v>
                </c:pt>
              </c:numCache>
            </c:numRef>
          </c:val>
          <c:extLst>
            <c:ext xmlns:c16="http://schemas.microsoft.com/office/drawing/2014/chart" uri="{C3380CC4-5D6E-409C-BE32-E72D297353CC}">
              <c16:uniqueId val="{00000000-5D24-D64A-BB71-967F8E19357E}"/>
            </c:ext>
          </c:extLst>
        </c:ser>
        <c:ser>
          <c:idx val="1"/>
          <c:order val="1"/>
          <c:tx>
            <c:strRef>
              <c:f>Sheet1!$E$1</c:f>
              <c:strCache>
                <c:ptCount val="1"/>
                <c:pt idx="0">
                  <c:v>% change when upper bound 95% CI applied</c:v>
                </c:pt>
              </c:strCache>
            </c:strRef>
          </c:tx>
          <c:spPr>
            <a:solidFill>
              <a:schemeClr val="accent2"/>
            </a:solidFill>
            <a:ln>
              <a:noFill/>
            </a:ln>
            <a:effectLst/>
          </c:spPr>
          <c:invertIfNegative val="0"/>
          <c:cat>
            <c:strRef>
              <c:f>Sheet1!$A$2:$A$39</c:f>
              <c:strCache>
                <c:ptCount val="38"/>
                <c:pt idx="0">
                  <c:v>cMaterialsICP</c:v>
                </c:pt>
                <c:pt idx="1">
                  <c:v>cMaterialsCT</c:v>
                </c:pt>
                <c:pt idx="2">
                  <c:v>gamma</c:v>
                </c:pt>
                <c:pt idx="3">
                  <c:v>cons</c:v>
                </c:pt>
                <c:pt idx="4">
                  <c:v>cMainHD</c:v>
                </c:pt>
                <c:pt idx="5">
                  <c:v>rPDComp</c:v>
                </c:pt>
                <c:pt idx="6">
                  <c:v>cMonCompPD</c:v>
                </c:pt>
                <c:pt idx="7">
                  <c:v>cWageICP</c:v>
                </c:pt>
                <c:pt idx="8">
                  <c:v>cIndirectMICP</c:v>
                </c:pt>
                <c:pt idx="9">
                  <c:v>p5/Death</c:v>
                </c:pt>
                <c:pt idx="10">
                  <c:v>ageC</c:v>
                </c:pt>
                <c:pt idx="11">
                  <c:v>cIndirectMCT</c:v>
                </c:pt>
                <c:pt idx="12">
                  <c:v>p5/Dialysis</c:v>
                </c:pt>
                <c:pt idx="13">
                  <c:v>cMonCompHD</c:v>
                </c:pt>
                <c:pt idx="14">
                  <c:v>rHDComp</c:v>
                </c:pt>
                <c:pt idx="15">
                  <c:v>cWageCT</c:v>
                </c:pt>
                <c:pt idx="16">
                  <c:v>RR3a</c:v>
                </c:pt>
                <c:pt idx="17">
                  <c:v>Utility for PD without complication</c:v>
                </c:pt>
                <c:pt idx="18">
                  <c:v>cDirectNMICP</c:v>
                </c:pt>
                <c:pt idx="19">
                  <c:v>cIndirectNMHD</c:v>
                </c:pt>
                <c:pt idx="20">
                  <c:v>cDirectNMHD</c:v>
                </c:pt>
                <c:pt idx="21">
                  <c:v>cIndirectNMICP</c:v>
                </c:pt>
                <c:pt idx="22">
                  <c:v>cMainPD</c:v>
                </c:pt>
                <c:pt idx="23">
                  <c:v>u3b</c:v>
                </c:pt>
                <c:pt idx="24">
                  <c:v>p3b/4</c:v>
                </c:pt>
                <c:pt idx="25">
                  <c:v>cDirectNMCT</c:v>
                </c:pt>
                <c:pt idx="26">
                  <c:v>cIndirectNMCT</c:v>
                </c:pt>
                <c:pt idx="27">
                  <c:v>RR3b</c:v>
                </c:pt>
                <c:pt idx="28">
                  <c:v>u5</c:v>
                </c:pt>
                <c:pt idx="29">
                  <c:v>u4</c:v>
                </c:pt>
                <c:pt idx="30">
                  <c:v>cDirectNMPD</c:v>
                </c:pt>
                <c:pt idx="31">
                  <c:v>p3a/3b</c:v>
                </c:pt>
                <c:pt idx="32">
                  <c:v>cindirectNMPD</c:v>
                </c:pt>
                <c:pt idx="33">
                  <c:v>cSetupPD</c:v>
                </c:pt>
                <c:pt idx="34">
                  <c:v>cSetupHD</c:v>
                </c:pt>
                <c:pt idx="35">
                  <c:v>p4/5</c:v>
                </c:pt>
                <c:pt idx="36">
                  <c:v>u3a</c:v>
                </c:pt>
                <c:pt idx="37">
                  <c:v>Utility for HD without complication</c:v>
                </c:pt>
              </c:strCache>
            </c:strRef>
          </c:cat>
          <c:val>
            <c:numRef>
              <c:f>Sheet1!$E$2:$E$39</c:f>
              <c:numCache>
                <c:formatCode>0.00000000000</c:formatCode>
                <c:ptCount val="38"/>
                <c:pt idx="0">
                  <c:v>-0.79876555851889608</c:v>
                </c:pt>
                <c:pt idx="1">
                  <c:v>0.57446162312831939</c:v>
                </c:pt>
                <c:pt idx="2">
                  <c:v>-0.36301973961873713</c:v>
                </c:pt>
                <c:pt idx="3">
                  <c:v>-0.34863893998712647</c:v>
                </c:pt>
                <c:pt idx="4">
                  <c:v>0.30644413889909516</c:v>
                </c:pt>
                <c:pt idx="5">
                  <c:v>0.21897674834739544</c:v>
                </c:pt>
                <c:pt idx="6">
                  <c:v>0.19791475508120532</c:v>
                </c:pt>
                <c:pt idx="7">
                  <c:v>-0.29946239404788783</c:v>
                </c:pt>
                <c:pt idx="8">
                  <c:v>-0.24565185878463053</c:v>
                </c:pt>
                <c:pt idx="9">
                  <c:v>-0.1577480392363978</c:v>
                </c:pt>
                <c:pt idx="10">
                  <c:v>-0.15792043411235077</c:v>
                </c:pt>
                <c:pt idx="11">
                  <c:v>0.10216742831719676</c:v>
                </c:pt>
                <c:pt idx="12">
                  <c:v>4.6600982441965956E-2</c:v>
                </c:pt>
                <c:pt idx="13">
                  <c:v>9.0510571463137929E-2</c:v>
                </c:pt>
                <c:pt idx="14">
                  <c:v>8.2296845205250949E-2</c:v>
                </c:pt>
                <c:pt idx="15">
                  <c:v>6.6403578583790937E-2</c:v>
                </c:pt>
                <c:pt idx="16">
                  <c:v>-1.6993421627619161E-3</c:v>
                </c:pt>
                <c:pt idx="17">
                  <c:v>-6.6606839550202223E-3</c:v>
                </c:pt>
                <c:pt idx="18">
                  <c:v>-6.3321615941330553E-2</c:v>
                </c:pt>
                <c:pt idx="19">
                  <c:v>-2.3341163890071771E-2</c:v>
                </c:pt>
                <c:pt idx="20">
                  <c:v>-2.2959084552418182E-2</c:v>
                </c:pt>
                <c:pt idx="21">
                  <c:v>-6.3429193801408115E-2</c:v>
                </c:pt>
                <c:pt idx="22">
                  <c:v>-2.7145047258008669E-2</c:v>
                </c:pt>
                <c:pt idx="23">
                  <c:v>-5.5256141485202311E-2</c:v>
                </c:pt>
                <c:pt idx="24">
                  <c:v>-5.0263873824200909E-2</c:v>
                </c:pt>
                <c:pt idx="25">
                  <c:v>-3.8655659014494886E-2</c:v>
                </c:pt>
                <c:pt idx="26">
                  <c:v>-3.8282791124203859E-2</c:v>
                </c:pt>
                <c:pt idx="27">
                  <c:v>-3.9490534433457007E-2</c:v>
                </c:pt>
                <c:pt idx="28">
                  <c:v>-3.9915657132670451E-2</c:v>
                </c:pt>
                <c:pt idx="29">
                  <c:v>-4.054892126101229E-2</c:v>
                </c:pt>
                <c:pt idx="30">
                  <c:v>-4.0837520785026483E-2</c:v>
                </c:pt>
                <c:pt idx="31">
                  <c:v>-4.161354527476098E-2</c:v>
                </c:pt>
                <c:pt idx="32">
                  <c:v>-4.1839587154502658E-2</c:v>
                </c:pt>
                <c:pt idx="33">
                  <c:v>-4.2229130833560502E-2</c:v>
                </c:pt>
                <c:pt idx="34">
                  <c:v>-4.2820342499167018E-2</c:v>
                </c:pt>
                <c:pt idx="35">
                  <c:v>-4.3404685039329045E-2</c:v>
                </c:pt>
                <c:pt idx="36">
                  <c:v>-4.3342686708706668E-2</c:v>
                </c:pt>
                <c:pt idx="37">
                  <c:v>2.9464157828393042E-3</c:v>
                </c:pt>
              </c:numCache>
            </c:numRef>
          </c:val>
          <c:extLst>
            <c:ext xmlns:c16="http://schemas.microsoft.com/office/drawing/2014/chart" uri="{C3380CC4-5D6E-409C-BE32-E72D297353CC}">
              <c16:uniqueId val="{00000001-5D24-D64A-BB71-967F8E19357E}"/>
            </c:ext>
          </c:extLst>
        </c:ser>
        <c:dLbls>
          <c:showLegendKey val="0"/>
          <c:showVal val="0"/>
          <c:showCatName val="0"/>
          <c:showSerName val="0"/>
          <c:showPercent val="0"/>
          <c:showBubbleSize val="0"/>
        </c:dLbls>
        <c:gapWidth val="219"/>
        <c:overlap val="100"/>
        <c:axId val="839521520"/>
        <c:axId val="839471232"/>
      </c:barChart>
      <c:catAx>
        <c:axId val="839521520"/>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471232"/>
        <c:crosses val="autoZero"/>
        <c:auto val="1"/>
        <c:lblAlgn val="ctr"/>
        <c:lblOffset val="100"/>
        <c:noMultiLvlLbl val="0"/>
      </c:catAx>
      <c:valAx>
        <c:axId val="839471232"/>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52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Sheet1!$B$1</c:f>
              <c:strCache>
                <c:ptCount val="1"/>
                <c:pt idx="0">
                  <c:v>Lower bound 95% CI applied</c:v>
                </c:pt>
              </c:strCache>
            </c:strRef>
          </c:tx>
          <c:spPr>
            <a:solidFill>
              <a:schemeClr val="accent1"/>
            </a:solidFill>
            <a:ln>
              <a:noFill/>
            </a:ln>
            <a:effectLst/>
          </c:spPr>
          <c:invertIfNegative val="0"/>
          <c:cat>
            <c:strRef>
              <c:f>Sheet1!$A$2:$A$39</c:f>
              <c:strCache>
                <c:ptCount val="38"/>
                <c:pt idx="0">
                  <c:v>cMaterialsICP</c:v>
                </c:pt>
                <c:pt idx="1">
                  <c:v>cMaterialsCT</c:v>
                </c:pt>
                <c:pt idx="2">
                  <c:v>gamma</c:v>
                </c:pt>
                <c:pt idx="3">
                  <c:v>cons</c:v>
                </c:pt>
                <c:pt idx="4">
                  <c:v>cMainHD</c:v>
                </c:pt>
                <c:pt idx="5">
                  <c:v>rPDComp</c:v>
                </c:pt>
                <c:pt idx="6">
                  <c:v>cMonCompPD</c:v>
                </c:pt>
                <c:pt idx="7">
                  <c:v>cWageICP</c:v>
                </c:pt>
                <c:pt idx="8">
                  <c:v>cIndirectMICP</c:v>
                </c:pt>
                <c:pt idx="9">
                  <c:v>p5/Death</c:v>
                </c:pt>
                <c:pt idx="10">
                  <c:v>ageC</c:v>
                </c:pt>
                <c:pt idx="11">
                  <c:v>cIndirectMCT</c:v>
                </c:pt>
                <c:pt idx="12">
                  <c:v>p5/Dialysis</c:v>
                </c:pt>
                <c:pt idx="13">
                  <c:v>cMonCompHD</c:v>
                </c:pt>
                <c:pt idx="14">
                  <c:v>rHDComp</c:v>
                </c:pt>
                <c:pt idx="15">
                  <c:v>cWageCT</c:v>
                </c:pt>
                <c:pt idx="16">
                  <c:v>RR3a</c:v>
                </c:pt>
                <c:pt idx="17">
                  <c:v>Utility for PD without complication</c:v>
                </c:pt>
                <c:pt idx="18">
                  <c:v>cDirectNMICP</c:v>
                </c:pt>
                <c:pt idx="19">
                  <c:v>cIndirectNMHD</c:v>
                </c:pt>
                <c:pt idx="20">
                  <c:v>cDirectNMHD</c:v>
                </c:pt>
                <c:pt idx="21">
                  <c:v>cIndirectNMICP</c:v>
                </c:pt>
                <c:pt idx="22">
                  <c:v>cMainPD</c:v>
                </c:pt>
                <c:pt idx="23">
                  <c:v>u3b</c:v>
                </c:pt>
                <c:pt idx="24">
                  <c:v>p3b/4</c:v>
                </c:pt>
                <c:pt idx="25">
                  <c:v>cDirectNMCT</c:v>
                </c:pt>
                <c:pt idx="26">
                  <c:v>cIndirectNMCT</c:v>
                </c:pt>
                <c:pt idx="27">
                  <c:v>RR3b</c:v>
                </c:pt>
                <c:pt idx="28">
                  <c:v>u5</c:v>
                </c:pt>
                <c:pt idx="29">
                  <c:v>u4</c:v>
                </c:pt>
                <c:pt idx="30">
                  <c:v>cDirectNMPD</c:v>
                </c:pt>
                <c:pt idx="31">
                  <c:v>p3a/3b</c:v>
                </c:pt>
                <c:pt idx="32">
                  <c:v>cindirectNMPD</c:v>
                </c:pt>
                <c:pt idx="33">
                  <c:v>cSetupPD</c:v>
                </c:pt>
                <c:pt idx="34">
                  <c:v>cSetupHD</c:v>
                </c:pt>
                <c:pt idx="35">
                  <c:v>p4/5</c:v>
                </c:pt>
                <c:pt idx="36">
                  <c:v>u3a</c:v>
                </c:pt>
                <c:pt idx="37">
                  <c:v>Utility for HD without complication</c:v>
                </c:pt>
              </c:strCache>
            </c:strRef>
          </c:cat>
          <c:val>
            <c:numRef>
              <c:f>Sheet1!$B$2:$B$39</c:f>
              <c:numCache>
                <c:formatCode>0</c:formatCode>
                <c:ptCount val="38"/>
                <c:pt idx="0">
                  <c:v>-342019.7342297631</c:v>
                </c:pt>
                <c:pt idx="1">
                  <c:v>-203660.5679901047</c:v>
                </c:pt>
                <c:pt idx="2">
                  <c:v>-353327.57184808014</c:v>
                </c:pt>
                <c:pt idx="3">
                  <c:v>-351964.81876480673</c:v>
                </c:pt>
                <c:pt idx="4">
                  <c:v>-196662.60882383407</c:v>
                </c:pt>
                <c:pt idx="5">
                  <c:v>-230875.68297479805</c:v>
                </c:pt>
                <c:pt idx="6">
                  <c:v>-234362.3780743164</c:v>
                </c:pt>
                <c:pt idx="7">
                  <c:v>-291712.56695233943</c:v>
                </c:pt>
                <c:pt idx="8">
                  <c:v>-286290.89973409841</c:v>
                </c:pt>
                <c:pt idx="9">
                  <c:v>-304511.0399371786</c:v>
                </c:pt>
                <c:pt idx="10">
                  <c:v>-297907.46828045498</c:v>
                </c:pt>
                <c:pt idx="11">
                  <c:v>-251246.45318611007</c:v>
                </c:pt>
                <c:pt idx="12">
                  <c:v>-237533.76752731879</c:v>
                </c:pt>
                <c:pt idx="13">
                  <c:v>-252420.9369254765</c:v>
                </c:pt>
                <c:pt idx="14">
                  <c:v>-252070.66907987194</c:v>
                </c:pt>
                <c:pt idx="15">
                  <c:v>-254849.83105159769</c:v>
                </c:pt>
                <c:pt idx="16">
                  <c:v>-239752.86154803258</c:v>
                </c:pt>
                <c:pt idx="17">
                  <c:v>-254689.75838697545</c:v>
                </c:pt>
                <c:pt idx="18">
                  <c:v>-270713.59677901876</c:v>
                </c:pt>
                <c:pt idx="19">
                  <c:v>-261306.34946986244</c:v>
                </c:pt>
                <c:pt idx="20">
                  <c:v>-261430.69129216057</c:v>
                </c:pt>
                <c:pt idx="21">
                  <c:v>-269886.28138389735</c:v>
                </c:pt>
                <c:pt idx="22">
                  <c:v>-261489.83688312519</c:v>
                </c:pt>
                <c:pt idx="23">
                  <c:v>-269428.90301308449</c:v>
                </c:pt>
                <c:pt idx="24">
                  <c:v>-267852.50173499301</c:v>
                </c:pt>
                <c:pt idx="25">
                  <c:v>-264694.68366938108</c:v>
                </c:pt>
                <c:pt idx="26">
                  <c:v>-264881.66658734152</c:v>
                </c:pt>
                <c:pt idx="27">
                  <c:v>-264673.9993031802</c:v>
                </c:pt>
                <c:pt idx="28">
                  <c:v>-264816.06227818463</c:v>
                </c:pt>
                <c:pt idx="29">
                  <c:v>-265097.5970331654</c:v>
                </c:pt>
                <c:pt idx="30">
                  <c:v>-265333.76654355967</c:v>
                </c:pt>
                <c:pt idx="31">
                  <c:v>-265319.65744992706</c:v>
                </c:pt>
                <c:pt idx="32">
                  <c:v>-265563.17551131564</c:v>
                </c:pt>
                <c:pt idx="33">
                  <c:v>-265680.57026957331</c:v>
                </c:pt>
                <c:pt idx="34">
                  <c:v>-265802.42880927637</c:v>
                </c:pt>
                <c:pt idx="35">
                  <c:v>-265915.87642115972</c:v>
                </c:pt>
                <c:pt idx="36">
                  <c:v>-265907.2889629493</c:v>
                </c:pt>
                <c:pt idx="37">
                  <c:v>-278773.55735503259</c:v>
                </c:pt>
              </c:numCache>
            </c:numRef>
          </c:val>
          <c:extLst>
            <c:ext xmlns:c16="http://schemas.microsoft.com/office/drawing/2014/chart" uri="{C3380CC4-5D6E-409C-BE32-E72D297353CC}">
              <c16:uniqueId val="{00000000-7CCD-874A-83F8-CE331B3BC668}"/>
            </c:ext>
          </c:extLst>
        </c:ser>
        <c:ser>
          <c:idx val="1"/>
          <c:order val="1"/>
          <c:tx>
            <c:strRef>
              <c:f>Sheet1!$C$1</c:f>
              <c:strCache>
                <c:ptCount val="1"/>
                <c:pt idx="0">
                  <c:v>Upper bound 95% CI applied</c:v>
                </c:pt>
              </c:strCache>
            </c:strRef>
          </c:tx>
          <c:spPr>
            <a:solidFill>
              <a:schemeClr val="accent2"/>
            </a:solidFill>
            <a:ln>
              <a:noFill/>
            </a:ln>
            <a:effectLst/>
          </c:spPr>
          <c:invertIfNegative val="0"/>
          <c:cat>
            <c:strRef>
              <c:f>Sheet1!$A$2:$A$39</c:f>
              <c:strCache>
                <c:ptCount val="38"/>
                <c:pt idx="0">
                  <c:v>cMaterialsICP</c:v>
                </c:pt>
                <c:pt idx="1">
                  <c:v>cMaterialsCT</c:v>
                </c:pt>
                <c:pt idx="2">
                  <c:v>gamma</c:v>
                </c:pt>
                <c:pt idx="3">
                  <c:v>cons</c:v>
                </c:pt>
                <c:pt idx="4">
                  <c:v>cMainHD</c:v>
                </c:pt>
                <c:pt idx="5">
                  <c:v>rPDComp</c:v>
                </c:pt>
                <c:pt idx="6">
                  <c:v>cMonCompPD</c:v>
                </c:pt>
                <c:pt idx="7">
                  <c:v>cWageICP</c:v>
                </c:pt>
                <c:pt idx="8">
                  <c:v>cIndirectMICP</c:v>
                </c:pt>
                <c:pt idx="9">
                  <c:v>p5/Death</c:v>
                </c:pt>
                <c:pt idx="10">
                  <c:v>ageC</c:v>
                </c:pt>
                <c:pt idx="11">
                  <c:v>cIndirectMCT</c:v>
                </c:pt>
                <c:pt idx="12">
                  <c:v>p5/Dialysis</c:v>
                </c:pt>
                <c:pt idx="13">
                  <c:v>cMonCompHD</c:v>
                </c:pt>
                <c:pt idx="14">
                  <c:v>rHDComp</c:v>
                </c:pt>
                <c:pt idx="15">
                  <c:v>cWageCT</c:v>
                </c:pt>
                <c:pt idx="16">
                  <c:v>RR3a</c:v>
                </c:pt>
                <c:pt idx="17">
                  <c:v>Utility for PD without complication</c:v>
                </c:pt>
                <c:pt idx="18">
                  <c:v>cDirectNMICP</c:v>
                </c:pt>
                <c:pt idx="19">
                  <c:v>cIndirectNMHD</c:v>
                </c:pt>
                <c:pt idx="20">
                  <c:v>cDirectNMHD</c:v>
                </c:pt>
                <c:pt idx="21">
                  <c:v>cIndirectNMICP</c:v>
                </c:pt>
                <c:pt idx="22">
                  <c:v>cMainPD</c:v>
                </c:pt>
                <c:pt idx="23">
                  <c:v>u3b</c:v>
                </c:pt>
                <c:pt idx="24">
                  <c:v>p3b/4</c:v>
                </c:pt>
                <c:pt idx="25">
                  <c:v>cDirectNMCT</c:v>
                </c:pt>
                <c:pt idx="26">
                  <c:v>cIndirectNMCT</c:v>
                </c:pt>
                <c:pt idx="27">
                  <c:v>RR3b</c:v>
                </c:pt>
                <c:pt idx="28">
                  <c:v>u5</c:v>
                </c:pt>
                <c:pt idx="29">
                  <c:v>u4</c:v>
                </c:pt>
                <c:pt idx="30">
                  <c:v>cDirectNMPD</c:v>
                </c:pt>
                <c:pt idx="31">
                  <c:v>p3a/3b</c:v>
                </c:pt>
                <c:pt idx="32">
                  <c:v>cindirectNMPD</c:v>
                </c:pt>
                <c:pt idx="33">
                  <c:v>cSetupPD</c:v>
                </c:pt>
                <c:pt idx="34">
                  <c:v>cSetupHD</c:v>
                </c:pt>
                <c:pt idx="35">
                  <c:v>p4/5</c:v>
                </c:pt>
                <c:pt idx="36">
                  <c:v>u3a</c:v>
                </c:pt>
                <c:pt idx="37">
                  <c:v>Utility for HD without complication</c:v>
                </c:pt>
              </c:strCache>
            </c:strRef>
          </c:cat>
          <c:val>
            <c:numRef>
              <c:f>Sheet1!$C$2:$C$39</c:f>
              <c:numCache>
                <c:formatCode>0</c:formatCode>
                <c:ptCount val="38"/>
                <c:pt idx="0">
                  <c:v>-55934.036187021105</c:v>
                </c:pt>
                <c:pt idx="1">
                  <c:v>-437628.83110347146</c:v>
                </c:pt>
                <c:pt idx="2">
                  <c:v>-177051.58556533317</c:v>
                </c:pt>
                <c:pt idx="3">
                  <c:v>-181048.794795883</c:v>
                </c:pt>
                <c:pt idx="4">
                  <c:v>-363132.14181264007</c:v>
                </c:pt>
                <c:pt idx="5">
                  <c:v>-338820.17934590456</c:v>
                </c:pt>
                <c:pt idx="6">
                  <c:v>-332965.90169417119</c:v>
                </c:pt>
                <c:pt idx="7">
                  <c:v>-194717.64134060516</c:v>
                </c:pt>
                <c:pt idx="8">
                  <c:v>-209674.52647669474</c:v>
                </c:pt>
                <c:pt idx="9">
                  <c:v>-234107.79638516574</c:v>
                </c:pt>
                <c:pt idx="10">
                  <c:v>-234059.87843852083</c:v>
                </c:pt>
                <c:pt idx="11" formatCode="#,##0">
                  <c:v>-306352.4929724267</c:v>
                </c:pt>
                <c:pt idx="12">
                  <c:v>-290907.54442637396</c:v>
                </c:pt>
                <c:pt idx="13">
                  <c:v>-303112.4161331791</c:v>
                </c:pt>
                <c:pt idx="14">
                  <c:v>-300829.37323874456</c:v>
                </c:pt>
                <c:pt idx="15">
                  <c:v>-296411.76686981594</c:v>
                </c:pt>
                <c:pt idx="16">
                  <c:v>-277482.24762130692</c:v>
                </c:pt>
                <c:pt idx="17">
                  <c:v>-276103.21990963951</c:v>
                </c:pt>
                <c:pt idx="18">
                  <c:v>-260354.05392797914</c:v>
                </c:pt>
                <c:pt idx="19">
                  <c:v>-271466.80398880091</c:v>
                </c:pt>
                <c:pt idx="20">
                  <c:v>-271573.00469351793</c:v>
                </c:pt>
                <c:pt idx="21">
                  <c:v>-260324.15216824948</c:v>
                </c:pt>
                <c:pt idx="22">
                  <c:v>-270409.49715609668</c:v>
                </c:pt>
                <c:pt idx="23">
                  <c:v>-262595.88955399912</c:v>
                </c:pt>
                <c:pt idx="24">
                  <c:v>-263983.5132527583</c:v>
                </c:pt>
                <c:pt idx="25">
                  <c:v>-267210.0698126292</c:v>
                </c:pt>
                <c:pt idx="26">
                  <c:v>-267313.71015329362</c:v>
                </c:pt>
                <c:pt idx="27">
                  <c:v>-266978.01235987816</c:v>
                </c:pt>
                <c:pt idx="28">
                  <c:v>-266859.84755535109</c:v>
                </c:pt>
                <c:pt idx="29">
                  <c:v>-266683.82888573414</c:v>
                </c:pt>
                <c:pt idx="30">
                  <c:v>-266603.6113240635</c:v>
                </c:pt>
                <c:pt idx="31">
                  <c:v>-266387.91175707412</c:v>
                </c:pt>
                <c:pt idx="32">
                  <c:v>-266325.08237961668</c:v>
                </c:pt>
                <c:pt idx="33">
                  <c:v>-266216.80692696315</c:v>
                </c:pt>
                <c:pt idx="34">
                  <c:v>-266052.47693228215</c:v>
                </c:pt>
                <c:pt idx="35">
                  <c:v>-265890.05624253105</c:v>
                </c:pt>
                <c:pt idx="36">
                  <c:v>-265907.2889629493</c:v>
                </c:pt>
                <c:pt idx="37">
                  <c:v>-278773.55735503259</c:v>
                </c:pt>
              </c:numCache>
            </c:numRef>
          </c:val>
          <c:extLst>
            <c:ext xmlns:c16="http://schemas.microsoft.com/office/drawing/2014/chart" uri="{C3380CC4-5D6E-409C-BE32-E72D297353CC}">
              <c16:uniqueId val="{00000001-7CCD-874A-83F8-CE331B3BC668}"/>
            </c:ext>
          </c:extLst>
        </c:ser>
        <c:ser>
          <c:idx val="2"/>
          <c:order val="2"/>
          <c:spPr>
            <a:solidFill>
              <a:schemeClr val="accent3"/>
            </a:solidFill>
            <a:ln>
              <a:noFill/>
            </a:ln>
            <a:effectLst/>
          </c:spPr>
          <c:invertIfNegative val="0"/>
          <c:cat>
            <c:strRef>
              <c:f>Sheet1!$A$2:$A$39</c:f>
              <c:strCache>
                <c:ptCount val="38"/>
                <c:pt idx="0">
                  <c:v>cMaterialsICP</c:v>
                </c:pt>
                <c:pt idx="1">
                  <c:v>cMaterialsCT</c:v>
                </c:pt>
                <c:pt idx="2">
                  <c:v>gamma</c:v>
                </c:pt>
                <c:pt idx="3">
                  <c:v>cons</c:v>
                </c:pt>
                <c:pt idx="4">
                  <c:v>cMainHD</c:v>
                </c:pt>
                <c:pt idx="5">
                  <c:v>rPDComp</c:v>
                </c:pt>
                <c:pt idx="6">
                  <c:v>cMonCompPD</c:v>
                </c:pt>
                <c:pt idx="7">
                  <c:v>cWageICP</c:v>
                </c:pt>
                <c:pt idx="8">
                  <c:v>cIndirectMICP</c:v>
                </c:pt>
                <c:pt idx="9">
                  <c:v>p5/Death</c:v>
                </c:pt>
                <c:pt idx="10">
                  <c:v>ageC</c:v>
                </c:pt>
                <c:pt idx="11">
                  <c:v>cIndirectMCT</c:v>
                </c:pt>
                <c:pt idx="12">
                  <c:v>p5/Dialysis</c:v>
                </c:pt>
                <c:pt idx="13">
                  <c:v>cMonCompHD</c:v>
                </c:pt>
                <c:pt idx="14">
                  <c:v>rHDComp</c:v>
                </c:pt>
                <c:pt idx="15">
                  <c:v>cWageCT</c:v>
                </c:pt>
                <c:pt idx="16">
                  <c:v>RR3a</c:v>
                </c:pt>
                <c:pt idx="17">
                  <c:v>Utility for PD without complication</c:v>
                </c:pt>
                <c:pt idx="18">
                  <c:v>cDirectNMICP</c:v>
                </c:pt>
                <c:pt idx="19">
                  <c:v>cIndirectNMHD</c:v>
                </c:pt>
                <c:pt idx="20">
                  <c:v>cDirectNMHD</c:v>
                </c:pt>
                <c:pt idx="21">
                  <c:v>cIndirectNMICP</c:v>
                </c:pt>
                <c:pt idx="22">
                  <c:v>cMainPD</c:v>
                </c:pt>
                <c:pt idx="23">
                  <c:v>u3b</c:v>
                </c:pt>
                <c:pt idx="24">
                  <c:v>p3b/4</c:v>
                </c:pt>
                <c:pt idx="25">
                  <c:v>cDirectNMCT</c:v>
                </c:pt>
                <c:pt idx="26">
                  <c:v>cIndirectNMCT</c:v>
                </c:pt>
                <c:pt idx="27">
                  <c:v>RR3b</c:v>
                </c:pt>
                <c:pt idx="28">
                  <c:v>u5</c:v>
                </c:pt>
                <c:pt idx="29">
                  <c:v>u4</c:v>
                </c:pt>
                <c:pt idx="30">
                  <c:v>cDirectNMPD</c:v>
                </c:pt>
                <c:pt idx="31">
                  <c:v>p3a/3b</c:v>
                </c:pt>
                <c:pt idx="32">
                  <c:v>cindirectNMPD</c:v>
                </c:pt>
                <c:pt idx="33">
                  <c:v>cSetupPD</c:v>
                </c:pt>
                <c:pt idx="34">
                  <c:v>cSetupHD</c:v>
                </c:pt>
                <c:pt idx="35">
                  <c:v>p4/5</c:v>
                </c:pt>
                <c:pt idx="36">
                  <c:v>u3a</c:v>
                </c:pt>
                <c:pt idx="37">
                  <c:v>Utility for HD without complication</c:v>
                </c:pt>
              </c:strCache>
            </c:strRef>
          </c:cat>
          <c:val>
            <c:numRef>
              <c:f>CUA!$C$9</c:f>
              <c:numCache>
                <c:formatCode>#,##0</c:formatCode>
                <c:ptCount val="1"/>
                <c:pt idx="0">
                  <c:v>-277954.58757129993</c:v>
                </c:pt>
              </c:numCache>
            </c:numRef>
          </c:val>
          <c:extLst>
            <c:ext xmlns:c16="http://schemas.microsoft.com/office/drawing/2014/chart" uri="{C3380CC4-5D6E-409C-BE32-E72D297353CC}">
              <c16:uniqueId val="{00000002-7CCD-874A-83F8-CE331B3BC668}"/>
            </c:ext>
          </c:extLst>
        </c:ser>
        <c:dLbls>
          <c:showLegendKey val="0"/>
          <c:showVal val="0"/>
          <c:showCatName val="0"/>
          <c:showSerName val="0"/>
          <c:showPercent val="0"/>
          <c:showBubbleSize val="0"/>
        </c:dLbls>
        <c:gapWidth val="182"/>
        <c:axId val="777364608"/>
        <c:axId val="388385616"/>
      </c:barChart>
      <c:catAx>
        <c:axId val="77736460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85616"/>
        <c:crosses val="autoZero"/>
        <c:auto val="1"/>
        <c:lblAlgn val="ctr"/>
        <c:lblOffset val="100"/>
        <c:noMultiLvlLbl val="0"/>
      </c:catAx>
      <c:valAx>
        <c:axId val="388385616"/>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364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One</a:t>
            </a:r>
            <a:r>
              <a:rPr lang="en-GB" baseline="0"/>
              <a:t>-way sensitivity analysis: RR3b</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'Parameters &amp; DSA'!$C$124</c:f>
              <c:strCache>
                <c:ptCount val="1"/>
                <c:pt idx="0">
                  <c:v>NMB Intervention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'Parameters &amp; DSA'!$F$126:$F$143</c:f>
              <c:numCache>
                <c:formatCode>0.00</c:formatCode>
                <c:ptCount val="18"/>
                <c:pt idx="0">
                  <c:v>2.2479079866764717</c:v>
                </c:pt>
                <c:pt idx="1">
                  <c:v>2.2255409284924679</c:v>
                </c:pt>
                <c:pt idx="2">
                  <c:v>2.1170000166126748</c:v>
                </c:pt>
                <c:pt idx="3">
                  <c:v>2.0137527074704766</c:v>
                </c:pt>
                <c:pt idx="4">
                  <c:v>1.9155408290138962</c:v>
                </c:pt>
                <c:pt idx="5">
                  <c:v>1.8221188003905089</c:v>
                </c:pt>
                <c:pt idx="6">
                  <c:v>1.7332530178673953</c:v>
                </c:pt>
                <c:pt idx="7">
                  <c:v>1.6487212707001282</c:v>
                </c:pt>
                <c:pt idx="8">
                  <c:v>1.5683121854901689</c:v>
                </c:pt>
                <c:pt idx="9">
                  <c:v>1.4918246976412703</c:v>
                </c:pt>
                <c:pt idx="10">
                  <c:v>1.4190675485932571</c:v>
                </c:pt>
                <c:pt idx="11">
                  <c:v>1.3498588075760032</c:v>
                </c:pt>
                <c:pt idx="12">
                  <c:v>1.2840254166877414</c:v>
                </c:pt>
                <c:pt idx="13">
                  <c:v>1.2214027581601699</c:v>
                </c:pt>
                <c:pt idx="14">
                  <c:v>1.1618342427282831</c:v>
                </c:pt>
                <c:pt idx="15">
                  <c:v>1.1051709180756477</c:v>
                </c:pt>
                <c:pt idx="16">
                  <c:v>1.0512710963760241</c:v>
                </c:pt>
                <c:pt idx="17">
                  <c:v>1</c:v>
                </c:pt>
              </c:numCache>
            </c:numRef>
          </c:xVal>
          <c:yVal>
            <c:numRef>
              <c:f>'Parameters &amp; DSA'!$C$126:$C$151</c:f>
              <c:numCache>
                <c:formatCode>#,##0</c:formatCode>
                <c:ptCount val="26"/>
              </c:numCache>
            </c:numRef>
          </c:yVal>
          <c:smooth val="1"/>
          <c:extLst>
            <c:ext xmlns:c16="http://schemas.microsoft.com/office/drawing/2014/chart" uri="{C3380CC4-5D6E-409C-BE32-E72D297353CC}">
              <c16:uniqueId val="{00000000-4C67-BA43-B278-BC2CB098B3FA}"/>
            </c:ext>
          </c:extLst>
        </c:ser>
        <c:ser>
          <c:idx val="1"/>
          <c:order val="1"/>
          <c:tx>
            <c:strRef>
              <c:f>'Parameters &amp; DSA'!$D$124</c:f>
              <c:strCache>
                <c:ptCount val="1"/>
                <c:pt idx="0">
                  <c:v>NMB control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'Parameters &amp; DSA'!$F$126:$F$143</c:f>
              <c:numCache>
                <c:formatCode>0.00</c:formatCode>
                <c:ptCount val="18"/>
                <c:pt idx="0">
                  <c:v>2.2479079866764717</c:v>
                </c:pt>
                <c:pt idx="1">
                  <c:v>2.2255409284924679</c:v>
                </c:pt>
                <c:pt idx="2">
                  <c:v>2.1170000166126748</c:v>
                </c:pt>
                <c:pt idx="3">
                  <c:v>2.0137527074704766</c:v>
                </c:pt>
                <c:pt idx="4">
                  <c:v>1.9155408290138962</c:v>
                </c:pt>
                <c:pt idx="5">
                  <c:v>1.8221188003905089</c:v>
                </c:pt>
                <c:pt idx="6">
                  <c:v>1.7332530178673953</c:v>
                </c:pt>
                <c:pt idx="7">
                  <c:v>1.6487212707001282</c:v>
                </c:pt>
                <c:pt idx="8">
                  <c:v>1.5683121854901689</c:v>
                </c:pt>
                <c:pt idx="9">
                  <c:v>1.4918246976412703</c:v>
                </c:pt>
                <c:pt idx="10">
                  <c:v>1.4190675485932571</c:v>
                </c:pt>
                <c:pt idx="11">
                  <c:v>1.3498588075760032</c:v>
                </c:pt>
                <c:pt idx="12">
                  <c:v>1.2840254166877414</c:v>
                </c:pt>
                <c:pt idx="13">
                  <c:v>1.2214027581601699</c:v>
                </c:pt>
                <c:pt idx="14">
                  <c:v>1.1618342427282831</c:v>
                </c:pt>
                <c:pt idx="15">
                  <c:v>1.1051709180756477</c:v>
                </c:pt>
                <c:pt idx="16">
                  <c:v>1.0512710963760241</c:v>
                </c:pt>
                <c:pt idx="17">
                  <c:v>1</c:v>
                </c:pt>
              </c:numCache>
            </c:numRef>
          </c:xVal>
          <c:yVal>
            <c:numRef>
              <c:f>'Parameters &amp; DSA'!$D$126:$D$151</c:f>
              <c:numCache>
                <c:formatCode>#,##0</c:formatCode>
                <c:ptCount val="26"/>
              </c:numCache>
            </c:numRef>
          </c:yVal>
          <c:smooth val="1"/>
          <c:extLst>
            <c:ext xmlns:c16="http://schemas.microsoft.com/office/drawing/2014/chart" uri="{C3380CC4-5D6E-409C-BE32-E72D297353CC}">
              <c16:uniqueId val="{00000001-4C67-BA43-B278-BC2CB098B3FA}"/>
            </c:ext>
          </c:extLst>
        </c:ser>
        <c:dLbls>
          <c:showLegendKey val="0"/>
          <c:showVal val="0"/>
          <c:showCatName val="0"/>
          <c:showSerName val="0"/>
          <c:showPercent val="0"/>
          <c:showBubbleSize val="0"/>
        </c:dLbls>
        <c:axId val="1564606527"/>
        <c:axId val="1564580815"/>
      </c:scatterChart>
      <c:valAx>
        <c:axId val="1564606527"/>
        <c:scaling>
          <c:orientation val="minMax"/>
          <c:max val="2.25"/>
          <c:min val="1"/>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RR3b</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580815"/>
        <c:crosses val="autoZero"/>
        <c:crossBetween val="midCat"/>
      </c:valAx>
      <c:valAx>
        <c:axId val="1564580815"/>
        <c:scaling>
          <c:orientation val="minMax"/>
          <c:max val="105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Net monetary</a:t>
                </a:r>
                <a:r>
                  <a:rPr lang="en-GB" baseline="0"/>
                  <a:t> benefit (THB)</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60652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costs per</a:t>
            </a:r>
            <a:r>
              <a:rPr lang="en-GB" baseline="0"/>
              <a:t> health state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Control group</c:v>
          </c:tx>
          <c:spPr>
            <a:solidFill>
              <a:schemeClr val="accent1"/>
            </a:solidFill>
            <a:ln>
              <a:noFill/>
            </a:ln>
            <a:effectLst/>
          </c:spPr>
          <c:invertIfNegative val="0"/>
          <c:cat>
            <c:strRef>
              <c:f>'Total costs and outcomes'!$B$19:$B$23</c:f>
              <c:strCache>
                <c:ptCount val="5"/>
                <c:pt idx="0">
                  <c:v>3a</c:v>
                </c:pt>
                <c:pt idx="1">
                  <c:v>3b</c:v>
                </c:pt>
                <c:pt idx="2">
                  <c:v>4</c:v>
                </c:pt>
                <c:pt idx="3">
                  <c:v>5ND</c:v>
                </c:pt>
                <c:pt idx="4">
                  <c:v>Dialysis</c:v>
                </c:pt>
              </c:strCache>
            </c:strRef>
          </c:cat>
          <c:val>
            <c:numRef>
              <c:f>'Total costs and outcomes'!$C$19:$C$23</c:f>
              <c:numCache>
                <c:formatCode>_([$THB]\ * #,##0.00_);_([$THB]\ * \(#,##0.00\);_([$THB]\ * "-"??_);_(@_)</c:formatCode>
                <c:ptCount val="5"/>
                <c:pt idx="0">
                  <c:v>65313.817806942978</c:v>
                </c:pt>
                <c:pt idx="1">
                  <c:v>13923.832347452222</c:v>
                </c:pt>
                <c:pt idx="2">
                  <c:v>5663.6360529687136</c:v>
                </c:pt>
                <c:pt idx="3">
                  <c:v>4637.4070633984011</c:v>
                </c:pt>
                <c:pt idx="4">
                  <c:v>1904070.4407521973</c:v>
                </c:pt>
              </c:numCache>
            </c:numRef>
          </c:val>
          <c:extLst>
            <c:ext xmlns:c16="http://schemas.microsoft.com/office/drawing/2014/chart" uri="{C3380CC4-5D6E-409C-BE32-E72D297353CC}">
              <c16:uniqueId val="{00000000-6FEF-634E-A254-243EAB083660}"/>
            </c:ext>
          </c:extLst>
        </c:ser>
        <c:ser>
          <c:idx val="1"/>
          <c:order val="1"/>
          <c:tx>
            <c:v>Intervention group</c:v>
          </c:tx>
          <c:spPr>
            <a:solidFill>
              <a:schemeClr val="accent2"/>
            </a:solidFill>
            <a:ln>
              <a:noFill/>
            </a:ln>
            <a:effectLst/>
          </c:spPr>
          <c:invertIfNegative val="0"/>
          <c:cat>
            <c:strRef>
              <c:f>'Total costs and outcomes'!$B$19:$B$23</c:f>
              <c:strCache>
                <c:ptCount val="5"/>
                <c:pt idx="0">
                  <c:v>3a</c:v>
                </c:pt>
                <c:pt idx="1">
                  <c:v>3b</c:v>
                </c:pt>
                <c:pt idx="2">
                  <c:v>4</c:v>
                </c:pt>
                <c:pt idx="3">
                  <c:v>5ND</c:v>
                </c:pt>
                <c:pt idx="4">
                  <c:v>Dialysis</c:v>
                </c:pt>
              </c:strCache>
            </c:strRef>
          </c:cat>
          <c:val>
            <c:numRef>
              <c:f>'Total costs and outcomes'!$D$19:$D$23</c:f>
              <c:numCache>
                <c:formatCode>_([$THB]\ * #,##0.00_);_([$THB]\ * \(#,##0.00\);_([$THB]\ * "-"??_);_(@_)</c:formatCode>
                <c:ptCount val="5"/>
                <c:pt idx="0">
                  <c:v>87980.300557106864</c:v>
                </c:pt>
                <c:pt idx="1">
                  <c:v>36657.802604633507</c:v>
                </c:pt>
                <c:pt idx="2">
                  <c:v>17752.013349629553</c:v>
                </c:pt>
                <c:pt idx="3">
                  <c:v>4818.0445783951827</c:v>
                </c:pt>
                <c:pt idx="4">
                  <c:v>1335833.5685796686</c:v>
                </c:pt>
              </c:numCache>
            </c:numRef>
          </c:val>
          <c:extLst>
            <c:ext xmlns:c16="http://schemas.microsoft.com/office/drawing/2014/chart" uri="{C3380CC4-5D6E-409C-BE32-E72D297353CC}">
              <c16:uniqueId val="{00000001-6FEF-634E-A254-243EAB083660}"/>
            </c:ext>
          </c:extLst>
        </c:ser>
        <c:dLbls>
          <c:showLegendKey val="0"/>
          <c:showVal val="0"/>
          <c:showCatName val="0"/>
          <c:showSerName val="0"/>
          <c:showPercent val="0"/>
          <c:showBubbleSize val="0"/>
        </c:dLbls>
        <c:gapWidth val="150"/>
        <c:axId val="1113354159"/>
        <c:axId val="1127949999"/>
      </c:barChart>
      <c:catAx>
        <c:axId val="11133541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Health state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949999"/>
        <c:crosses val="autoZero"/>
        <c:auto val="1"/>
        <c:lblAlgn val="ctr"/>
        <c:lblOffset val="100"/>
        <c:noMultiLvlLbl val="0"/>
      </c:catAx>
      <c:valAx>
        <c:axId val="11279499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 (THB)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THB]\ * #,##0.00_);_([$THB]\ * \(#,##0.00\);_([$THB]\ *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354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a:t>
            </a:r>
            <a:r>
              <a:rPr lang="en-GB" baseline="0"/>
              <a:t> y</a:t>
            </a:r>
            <a:r>
              <a:rPr lang="en-GB"/>
              <a:t>ears spent in each health state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Control group</c:v>
          </c:tx>
          <c:spPr>
            <a:solidFill>
              <a:schemeClr val="accent1"/>
            </a:solidFill>
            <a:ln>
              <a:noFill/>
            </a:ln>
            <a:effectLst/>
          </c:spPr>
          <c:invertIfNegative val="0"/>
          <c:cat>
            <c:strRef>
              <c:f>('MM Conventional'!$K$3,'MM Conventional'!$N$3,'MM Conventional'!$Q$3,'MM Conventional'!$T$3,'MM Conventional'!$W$3)</c:f>
              <c:strCache>
                <c:ptCount val="5"/>
                <c:pt idx="0">
                  <c:v>3a</c:v>
                </c:pt>
                <c:pt idx="1">
                  <c:v>3b</c:v>
                </c:pt>
                <c:pt idx="2">
                  <c:v>4</c:v>
                </c:pt>
                <c:pt idx="3">
                  <c:v>5</c:v>
                </c:pt>
                <c:pt idx="4">
                  <c:v>Dialysis</c:v>
                </c:pt>
              </c:strCache>
            </c:strRef>
          </c:cat>
          <c:val>
            <c:numRef>
              <c:f>('MM Conventional'!$K$107,'MM Conventional'!$N$107,'MM Conventional'!$Q$107,'MM Conventional'!$T$107,'MM Conventional'!$W$107)</c:f>
              <c:numCache>
                <c:formatCode>0.0000</c:formatCode>
                <c:ptCount val="5"/>
                <c:pt idx="0">
                  <c:v>11.576935695562472</c:v>
                </c:pt>
                <c:pt idx="1">
                  <c:v>2.6725968346895348</c:v>
                </c:pt>
                <c:pt idx="2">
                  <c:v>1.1262781010464376</c:v>
                </c:pt>
                <c:pt idx="3">
                  <c:v>1.3020160457604466</c:v>
                </c:pt>
                <c:pt idx="4">
                  <c:v>6.335981913489813</c:v>
                </c:pt>
              </c:numCache>
            </c:numRef>
          </c:val>
          <c:extLst>
            <c:ext xmlns:c16="http://schemas.microsoft.com/office/drawing/2014/chart" uri="{C3380CC4-5D6E-409C-BE32-E72D297353CC}">
              <c16:uniqueId val="{00000000-5EFF-664C-B85A-74D950C2068F}"/>
            </c:ext>
          </c:extLst>
        </c:ser>
        <c:ser>
          <c:idx val="1"/>
          <c:order val="1"/>
          <c:tx>
            <c:v>Intervention group</c:v>
          </c:tx>
          <c:spPr>
            <a:solidFill>
              <a:schemeClr val="accent2"/>
            </a:solidFill>
            <a:ln>
              <a:noFill/>
            </a:ln>
            <a:effectLst/>
          </c:spPr>
          <c:invertIfNegative val="0"/>
          <c:val>
            <c:numRef>
              <c:f>('MM ICP'!$K$107,'MM ICP'!$N$107,'MM ICP'!$Q$107,'MM ICP'!$T$107,'MM ICP'!$W$107)</c:f>
              <c:numCache>
                <c:formatCode>0.0000</c:formatCode>
                <c:ptCount val="5"/>
                <c:pt idx="0">
                  <c:v>11.576935695562472</c:v>
                </c:pt>
                <c:pt idx="1">
                  <c:v>5.6356389947208863</c:v>
                </c:pt>
                <c:pt idx="2">
                  <c:v>2.9903595893031989</c:v>
                </c:pt>
                <c:pt idx="3">
                  <c:v>1.1411595073392022</c:v>
                </c:pt>
                <c:pt idx="4">
                  <c:v>4.8928712332483499</c:v>
                </c:pt>
              </c:numCache>
            </c:numRef>
          </c:val>
          <c:extLst>
            <c:ext xmlns:c16="http://schemas.microsoft.com/office/drawing/2014/chart" uri="{C3380CC4-5D6E-409C-BE32-E72D297353CC}">
              <c16:uniqueId val="{00000001-5EFF-664C-B85A-74D950C2068F}"/>
            </c:ext>
          </c:extLst>
        </c:ser>
        <c:dLbls>
          <c:showLegendKey val="0"/>
          <c:showVal val="0"/>
          <c:showCatName val="0"/>
          <c:showSerName val="0"/>
          <c:showPercent val="0"/>
          <c:showBubbleSize val="0"/>
        </c:dLbls>
        <c:gapWidth val="150"/>
        <c:axId val="1128613007"/>
        <c:axId val="1128614735"/>
      </c:barChart>
      <c:catAx>
        <c:axId val="11286130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Health</a:t>
                </a:r>
                <a:r>
                  <a:rPr lang="en-GB" baseline="0"/>
                  <a:t> state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614735"/>
        <c:crosses val="autoZero"/>
        <c:auto val="1"/>
        <c:lblAlgn val="ctr"/>
        <c:lblOffset val="100"/>
        <c:noMultiLvlLbl val="0"/>
      </c:catAx>
      <c:valAx>
        <c:axId val="11286147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Years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613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Proportion of total life time spent in each health state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'Total costs and outcomes'!$B$11</c:f>
              <c:strCache>
                <c:ptCount val="1"/>
                <c:pt idx="0">
                  <c:v>3a</c:v>
                </c:pt>
              </c:strCache>
            </c:strRef>
          </c:tx>
          <c:spPr>
            <a:solidFill>
              <a:schemeClr val="accent1"/>
            </a:solidFill>
            <a:ln>
              <a:noFill/>
            </a:ln>
            <a:effectLst/>
          </c:spPr>
          <c:invertIfNegative val="0"/>
          <c:cat>
            <c:strRef>
              <c:f>'Total costs and outcomes'!$C$10:$D$10</c:f>
              <c:strCache>
                <c:ptCount val="2"/>
                <c:pt idx="0">
                  <c:v>Conventional care</c:v>
                </c:pt>
                <c:pt idx="1">
                  <c:v>Integrated care</c:v>
                </c:pt>
              </c:strCache>
            </c:strRef>
          </c:cat>
          <c:val>
            <c:numRef>
              <c:f>'Total costs and outcomes'!$C$11:$D$11</c:f>
              <c:numCache>
                <c:formatCode>General</c:formatCode>
                <c:ptCount val="2"/>
                <c:pt idx="0">
                  <c:v>11.576935695562472</c:v>
                </c:pt>
                <c:pt idx="1">
                  <c:v>11.576935695562472</c:v>
                </c:pt>
              </c:numCache>
            </c:numRef>
          </c:val>
          <c:extLst>
            <c:ext xmlns:c16="http://schemas.microsoft.com/office/drawing/2014/chart" uri="{C3380CC4-5D6E-409C-BE32-E72D297353CC}">
              <c16:uniqueId val="{00000000-D6BE-2545-AAC6-449BB6730A51}"/>
            </c:ext>
          </c:extLst>
        </c:ser>
        <c:ser>
          <c:idx val="1"/>
          <c:order val="1"/>
          <c:tx>
            <c:strRef>
              <c:f>'Total costs and outcomes'!$B$12</c:f>
              <c:strCache>
                <c:ptCount val="1"/>
                <c:pt idx="0">
                  <c:v>3b</c:v>
                </c:pt>
              </c:strCache>
            </c:strRef>
          </c:tx>
          <c:spPr>
            <a:solidFill>
              <a:schemeClr val="accent2"/>
            </a:solidFill>
            <a:ln>
              <a:noFill/>
            </a:ln>
            <a:effectLst/>
          </c:spPr>
          <c:invertIfNegative val="0"/>
          <c:cat>
            <c:strRef>
              <c:f>'Total costs and outcomes'!$C$10:$D$10</c:f>
              <c:strCache>
                <c:ptCount val="2"/>
                <c:pt idx="0">
                  <c:v>Conventional care</c:v>
                </c:pt>
                <c:pt idx="1">
                  <c:v>Integrated care</c:v>
                </c:pt>
              </c:strCache>
            </c:strRef>
          </c:cat>
          <c:val>
            <c:numRef>
              <c:f>'Total costs and outcomes'!$C$12:$D$12</c:f>
              <c:numCache>
                <c:formatCode>General</c:formatCode>
                <c:ptCount val="2"/>
                <c:pt idx="0">
                  <c:v>2.6725968346895348</c:v>
                </c:pt>
                <c:pt idx="1">
                  <c:v>5.6356389947208863</c:v>
                </c:pt>
              </c:numCache>
            </c:numRef>
          </c:val>
          <c:extLst>
            <c:ext xmlns:c16="http://schemas.microsoft.com/office/drawing/2014/chart" uri="{C3380CC4-5D6E-409C-BE32-E72D297353CC}">
              <c16:uniqueId val="{00000001-D6BE-2545-AAC6-449BB6730A51}"/>
            </c:ext>
          </c:extLst>
        </c:ser>
        <c:ser>
          <c:idx val="2"/>
          <c:order val="2"/>
          <c:tx>
            <c:strRef>
              <c:f>'Total costs and outcomes'!$B$13</c:f>
              <c:strCache>
                <c:ptCount val="1"/>
                <c:pt idx="0">
                  <c:v>4</c:v>
                </c:pt>
              </c:strCache>
            </c:strRef>
          </c:tx>
          <c:spPr>
            <a:solidFill>
              <a:schemeClr val="accent3"/>
            </a:solidFill>
            <a:ln>
              <a:noFill/>
            </a:ln>
            <a:effectLst/>
          </c:spPr>
          <c:invertIfNegative val="0"/>
          <c:cat>
            <c:strRef>
              <c:f>'Total costs and outcomes'!$C$10:$D$10</c:f>
              <c:strCache>
                <c:ptCount val="2"/>
                <c:pt idx="0">
                  <c:v>Conventional care</c:v>
                </c:pt>
                <c:pt idx="1">
                  <c:v>Integrated care</c:v>
                </c:pt>
              </c:strCache>
            </c:strRef>
          </c:cat>
          <c:val>
            <c:numRef>
              <c:f>'Total costs and outcomes'!$C$13:$D$13</c:f>
              <c:numCache>
                <c:formatCode>General</c:formatCode>
                <c:ptCount val="2"/>
                <c:pt idx="0">
                  <c:v>1.1262781010464376</c:v>
                </c:pt>
                <c:pt idx="1">
                  <c:v>2.9903595893031989</c:v>
                </c:pt>
              </c:numCache>
            </c:numRef>
          </c:val>
          <c:extLst>
            <c:ext xmlns:c16="http://schemas.microsoft.com/office/drawing/2014/chart" uri="{C3380CC4-5D6E-409C-BE32-E72D297353CC}">
              <c16:uniqueId val="{00000002-D6BE-2545-AAC6-449BB6730A51}"/>
            </c:ext>
          </c:extLst>
        </c:ser>
        <c:ser>
          <c:idx val="3"/>
          <c:order val="3"/>
          <c:tx>
            <c:strRef>
              <c:f>'Total costs and outcomes'!$B$14</c:f>
              <c:strCache>
                <c:ptCount val="1"/>
                <c:pt idx="0">
                  <c:v>5</c:v>
                </c:pt>
              </c:strCache>
            </c:strRef>
          </c:tx>
          <c:spPr>
            <a:solidFill>
              <a:schemeClr val="accent4"/>
            </a:solidFill>
            <a:ln>
              <a:noFill/>
            </a:ln>
            <a:effectLst/>
          </c:spPr>
          <c:invertIfNegative val="0"/>
          <c:cat>
            <c:strRef>
              <c:f>'Total costs and outcomes'!$C$10:$D$10</c:f>
              <c:strCache>
                <c:ptCount val="2"/>
                <c:pt idx="0">
                  <c:v>Conventional care</c:v>
                </c:pt>
                <c:pt idx="1">
                  <c:v>Integrated care</c:v>
                </c:pt>
              </c:strCache>
            </c:strRef>
          </c:cat>
          <c:val>
            <c:numRef>
              <c:f>'Total costs and outcomes'!$C$14:$D$14</c:f>
              <c:numCache>
                <c:formatCode>General</c:formatCode>
                <c:ptCount val="2"/>
                <c:pt idx="0">
                  <c:v>1.3020160457604466</c:v>
                </c:pt>
                <c:pt idx="1">
                  <c:v>1.1411595073392022</c:v>
                </c:pt>
              </c:numCache>
            </c:numRef>
          </c:val>
          <c:extLst>
            <c:ext xmlns:c16="http://schemas.microsoft.com/office/drawing/2014/chart" uri="{C3380CC4-5D6E-409C-BE32-E72D297353CC}">
              <c16:uniqueId val="{00000003-D6BE-2545-AAC6-449BB6730A51}"/>
            </c:ext>
          </c:extLst>
        </c:ser>
        <c:ser>
          <c:idx val="4"/>
          <c:order val="4"/>
          <c:tx>
            <c:strRef>
              <c:f>'Total costs and outcomes'!$B$15</c:f>
              <c:strCache>
                <c:ptCount val="1"/>
                <c:pt idx="0">
                  <c:v>Dialysis</c:v>
                </c:pt>
              </c:strCache>
            </c:strRef>
          </c:tx>
          <c:spPr>
            <a:solidFill>
              <a:schemeClr val="accent5"/>
            </a:solidFill>
            <a:ln>
              <a:noFill/>
            </a:ln>
            <a:effectLst/>
          </c:spPr>
          <c:invertIfNegative val="0"/>
          <c:cat>
            <c:strRef>
              <c:f>'Total costs and outcomes'!$C$10:$D$10</c:f>
              <c:strCache>
                <c:ptCount val="2"/>
                <c:pt idx="0">
                  <c:v>Conventional care</c:v>
                </c:pt>
                <c:pt idx="1">
                  <c:v>Integrated care</c:v>
                </c:pt>
              </c:strCache>
            </c:strRef>
          </c:cat>
          <c:val>
            <c:numRef>
              <c:f>'Total costs and outcomes'!$C$15:$D$15</c:f>
              <c:numCache>
                <c:formatCode>General</c:formatCode>
                <c:ptCount val="2"/>
                <c:pt idx="0">
                  <c:v>6.335981913489813</c:v>
                </c:pt>
                <c:pt idx="1">
                  <c:v>4.8928712332483499</c:v>
                </c:pt>
              </c:numCache>
            </c:numRef>
          </c:val>
          <c:extLst>
            <c:ext xmlns:c16="http://schemas.microsoft.com/office/drawing/2014/chart" uri="{C3380CC4-5D6E-409C-BE32-E72D297353CC}">
              <c16:uniqueId val="{00000004-D6BE-2545-AAC6-449BB6730A51}"/>
            </c:ext>
          </c:extLst>
        </c:ser>
        <c:dLbls>
          <c:showLegendKey val="0"/>
          <c:showVal val="0"/>
          <c:showCatName val="0"/>
          <c:showSerName val="0"/>
          <c:showPercent val="0"/>
          <c:showBubbleSize val="0"/>
        </c:dLbls>
        <c:gapWidth val="150"/>
        <c:overlap val="100"/>
        <c:axId val="1165515055"/>
        <c:axId val="1165059343"/>
      </c:barChart>
      <c:catAx>
        <c:axId val="11655150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Intervention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059343"/>
        <c:crosses val="autoZero"/>
        <c:auto val="1"/>
        <c:lblAlgn val="ctr"/>
        <c:lblOffset val="100"/>
        <c:noMultiLvlLbl val="0"/>
      </c:catAx>
      <c:valAx>
        <c:axId val="116505934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Proportion of total lifetime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5150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a:t>
            </a:r>
            <a:r>
              <a:rPr lang="en-GB" baseline="0"/>
              <a:t> years spent in each health state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'Total costs and outcomes'!$B$11</c:f>
              <c:strCache>
                <c:ptCount val="1"/>
                <c:pt idx="0">
                  <c:v>3a</c:v>
                </c:pt>
              </c:strCache>
            </c:strRef>
          </c:tx>
          <c:spPr>
            <a:solidFill>
              <a:schemeClr val="accent1">
                <a:tint val="54000"/>
              </a:schemeClr>
            </a:solidFill>
            <a:ln>
              <a:noFill/>
            </a:ln>
            <a:effectLst/>
          </c:spPr>
          <c:invertIfNegative val="0"/>
          <c:cat>
            <c:strRef>
              <c:f>'Total costs and outcomes'!$C$10:$D$10</c:f>
              <c:strCache>
                <c:ptCount val="2"/>
                <c:pt idx="0">
                  <c:v>Conventional care</c:v>
                </c:pt>
                <c:pt idx="1">
                  <c:v>Integrated care</c:v>
                </c:pt>
              </c:strCache>
            </c:strRef>
          </c:cat>
          <c:val>
            <c:numRef>
              <c:f>'Total costs and outcomes'!$C$11:$D$11</c:f>
              <c:numCache>
                <c:formatCode>General</c:formatCode>
                <c:ptCount val="2"/>
                <c:pt idx="0">
                  <c:v>11.576935695562472</c:v>
                </c:pt>
                <c:pt idx="1">
                  <c:v>11.576935695562472</c:v>
                </c:pt>
              </c:numCache>
            </c:numRef>
          </c:val>
          <c:extLst>
            <c:ext xmlns:c16="http://schemas.microsoft.com/office/drawing/2014/chart" uri="{C3380CC4-5D6E-409C-BE32-E72D297353CC}">
              <c16:uniqueId val="{00000000-9DA9-4B4F-96F4-0FE92C875AD4}"/>
            </c:ext>
          </c:extLst>
        </c:ser>
        <c:ser>
          <c:idx val="1"/>
          <c:order val="1"/>
          <c:tx>
            <c:strRef>
              <c:f>'Total costs and outcomes'!$B$12</c:f>
              <c:strCache>
                <c:ptCount val="1"/>
                <c:pt idx="0">
                  <c:v>3b</c:v>
                </c:pt>
              </c:strCache>
            </c:strRef>
          </c:tx>
          <c:spPr>
            <a:solidFill>
              <a:schemeClr val="accent1">
                <a:tint val="77000"/>
              </a:schemeClr>
            </a:solidFill>
            <a:ln>
              <a:noFill/>
            </a:ln>
            <a:effectLst/>
          </c:spPr>
          <c:invertIfNegative val="0"/>
          <c:cat>
            <c:strRef>
              <c:f>'Total costs and outcomes'!$C$10:$D$10</c:f>
              <c:strCache>
                <c:ptCount val="2"/>
                <c:pt idx="0">
                  <c:v>Conventional care</c:v>
                </c:pt>
                <c:pt idx="1">
                  <c:v>Integrated care</c:v>
                </c:pt>
              </c:strCache>
            </c:strRef>
          </c:cat>
          <c:val>
            <c:numRef>
              <c:f>'Total costs and outcomes'!$C$12:$D$12</c:f>
              <c:numCache>
                <c:formatCode>General</c:formatCode>
                <c:ptCount val="2"/>
                <c:pt idx="0">
                  <c:v>2.6725968346895348</c:v>
                </c:pt>
                <c:pt idx="1">
                  <c:v>5.6356389947208863</c:v>
                </c:pt>
              </c:numCache>
            </c:numRef>
          </c:val>
          <c:extLst>
            <c:ext xmlns:c16="http://schemas.microsoft.com/office/drawing/2014/chart" uri="{C3380CC4-5D6E-409C-BE32-E72D297353CC}">
              <c16:uniqueId val="{00000001-9DA9-4B4F-96F4-0FE92C875AD4}"/>
            </c:ext>
          </c:extLst>
        </c:ser>
        <c:ser>
          <c:idx val="2"/>
          <c:order val="2"/>
          <c:tx>
            <c:strRef>
              <c:f>'Total costs and outcomes'!$B$13</c:f>
              <c:strCache>
                <c:ptCount val="1"/>
                <c:pt idx="0">
                  <c:v>4</c:v>
                </c:pt>
              </c:strCache>
            </c:strRef>
          </c:tx>
          <c:spPr>
            <a:solidFill>
              <a:schemeClr val="accent1"/>
            </a:solidFill>
            <a:ln>
              <a:noFill/>
            </a:ln>
            <a:effectLst/>
          </c:spPr>
          <c:invertIfNegative val="0"/>
          <c:cat>
            <c:strRef>
              <c:f>'Total costs and outcomes'!$C$10:$D$10</c:f>
              <c:strCache>
                <c:ptCount val="2"/>
                <c:pt idx="0">
                  <c:v>Conventional care</c:v>
                </c:pt>
                <c:pt idx="1">
                  <c:v>Integrated care</c:v>
                </c:pt>
              </c:strCache>
            </c:strRef>
          </c:cat>
          <c:val>
            <c:numRef>
              <c:f>'Total costs and outcomes'!$C$13:$D$13</c:f>
              <c:numCache>
                <c:formatCode>General</c:formatCode>
                <c:ptCount val="2"/>
                <c:pt idx="0">
                  <c:v>1.1262781010464376</c:v>
                </c:pt>
                <c:pt idx="1">
                  <c:v>2.9903595893031989</c:v>
                </c:pt>
              </c:numCache>
            </c:numRef>
          </c:val>
          <c:extLst>
            <c:ext xmlns:c16="http://schemas.microsoft.com/office/drawing/2014/chart" uri="{C3380CC4-5D6E-409C-BE32-E72D297353CC}">
              <c16:uniqueId val="{00000002-9DA9-4B4F-96F4-0FE92C875AD4}"/>
            </c:ext>
          </c:extLst>
        </c:ser>
        <c:ser>
          <c:idx val="3"/>
          <c:order val="3"/>
          <c:tx>
            <c:strRef>
              <c:f>'Total costs and outcomes'!$B$14</c:f>
              <c:strCache>
                <c:ptCount val="1"/>
                <c:pt idx="0">
                  <c:v>5</c:v>
                </c:pt>
              </c:strCache>
            </c:strRef>
          </c:tx>
          <c:spPr>
            <a:solidFill>
              <a:schemeClr val="accent1">
                <a:shade val="76000"/>
              </a:schemeClr>
            </a:solidFill>
            <a:ln>
              <a:noFill/>
            </a:ln>
            <a:effectLst/>
          </c:spPr>
          <c:invertIfNegative val="0"/>
          <c:cat>
            <c:strRef>
              <c:f>'Total costs and outcomes'!$C$10:$D$10</c:f>
              <c:strCache>
                <c:ptCount val="2"/>
                <c:pt idx="0">
                  <c:v>Conventional care</c:v>
                </c:pt>
                <c:pt idx="1">
                  <c:v>Integrated care</c:v>
                </c:pt>
              </c:strCache>
            </c:strRef>
          </c:cat>
          <c:val>
            <c:numRef>
              <c:f>'Total costs and outcomes'!$C$14:$D$14</c:f>
              <c:numCache>
                <c:formatCode>General</c:formatCode>
                <c:ptCount val="2"/>
                <c:pt idx="0">
                  <c:v>1.3020160457604466</c:v>
                </c:pt>
                <c:pt idx="1">
                  <c:v>1.1411595073392022</c:v>
                </c:pt>
              </c:numCache>
            </c:numRef>
          </c:val>
          <c:extLst>
            <c:ext xmlns:c16="http://schemas.microsoft.com/office/drawing/2014/chart" uri="{C3380CC4-5D6E-409C-BE32-E72D297353CC}">
              <c16:uniqueId val="{00000003-9DA9-4B4F-96F4-0FE92C875AD4}"/>
            </c:ext>
          </c:extLst>
        </c:ser>
        <c:ser>
          <c:idx val="4"/>
          <c:order val="4"/>
          <c:tx>
            <c:strRef>
              <c:f>'Total costs and outcomes'!$B$15</c:f>
              <c:strCache>
                <c:ptCount val="1"/>
                <c:pt idx="0">
                  <c:v>Dialysis</c:v>
                </c:pt>
              </c:strCache>
            </c:strRef>
          </c:tx>
          <c:spPr>
            <a:solidFill>
              <a:schemeClr val="accent1">
                <a:shade val="53000"/>
              </a:schemeClr>
            </a:solidFill>
            <a:ln>
              <a:noFill/>
            </a:ln>
            <a:effectLst/>
          </c:spPr>
          <c:invertIfNegative val="0"/>
          <c:cat>
            <c:strRef>
              <c:f>'Total costs and outcomes'!$C$10:$D$10</c:f>
              <c:strCache>
                <c:ptCount val="2"/>
                <c:pt idx="0">
                  <c:v>Conventional care</c:v>
                </c:pt>
                <c:pt idx="1">
                  <c:v>Integrated care</c:v>
                </c:pt>
              </c:strCache>
            </c:strRef>
          </c:cat>
          <c:val>
            <c:numRef>
              <c:f>'Total costs and outcomes'!$C$15:$D$15</c:f>
              <c:numCache>
                <c:formatCode>General</c:formatCode>
                <c:ptCount val="2"/>
                <c:pt idx="0">
                  <c:v>6.335981913489813</c:v>
                </c:pt>
                <c:pt idx="1">
                  <c:v>4.8928712332483499</c:v>
                </c:pt>
              </c:numCache>
            </c:numRef>
          </c:val>
          <c:extLst>
            <c:ext xmlns:c16="http://schemas.microsoft.com/office/drawing/2014/chart" uri="{C3380CC4-5D6E-409C-BE32-E72D297353CC}">
              <c16:uniqueId val="{00000004-9DA9-4B4F-96F4-0FE92C875AD4}"/>
            </c:ext>
          </c:extLst>
        </c:ser>
        <c:dLbls>
          <c:showLegendKey val="0"/>
          <c:showVal val="0"/>
          <c:showCatName val="0"/>
          <c:showSerName val="0"/>
          <c:showPercent val="0"/>
          <c:showBubbleSize val="0"/>
        </c:dLbls>
        <c:gapWidth val="150"/>
        <c:overlap val="100"/>
        <c:axId val="1155234687"/>
        <c:axId val="1179900863"/>
      </c:barChart>
      <c:catAx>
        <c:axId val="11552346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Intervention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900863"/>
        <c:crosses val="autoZero"/>
        <c:auto val="1"/>
        <c:lblAlgn val="ctr"/>
        <c:lblOffset val="100"/>
        <c:noMultiLvlLbl val="0"/>
      </c:catAx>
      <c:valAx>
        <c:axId val="11799008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Years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52346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costs per health state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'Total costs and outcomes'!$B$19</c:f>
              <c:strCache>
                <c:ptCount val="1"/>
                <c:pt idx="0">
                  <c:v>3a</c:v>
                </c:pt>
              </c:strCache>
            </c:strRef>
          </c:tx>
          <c:spPr>
            <a:solidFill>
              <a:schemeClr val="accent1">
                <a:tint val="54000"/>
              </a:schemeClr>
            </a:solidFill>
            <a:ln>
              <a:noFill/>
            </a:ln>
            <a:effectLst/>
          </c:spPr>
          <c:invertIfNegative val="0"/>
          <c:cat>
            <c:strRef>
              <c:f>'Total costs and outcomes'!$C$18:$D$18</c:f>
              <c:strCache>
                <c:ptCount val="2"/>
                <c:pt idx="0">
                  <c:v>Conventional care</c:v>
                </c:pt>
                <c:pt idx="1">
                  <c:v>Integrated care</c:v>
                </c:pt>
              </c:strCache>
            </c:strRef>
          </c:cat>
          <c:val>
            <c:numRef>
              <c:f>'Total costs and outcomes'!$C$19:$D$19</c:f>
              <c:numCache>
                <c:formatCode>_([$THB]\ * #,##0.00_);_([$THB]\ * \(#,##0.00\);_([$THB]\ * "-"??_);_(@_)</c:formatCode>
                <c:ptCount val="2"/>
                <c:pt idx="0">
                  <c:v>65313.817806942978</c:v>
                </c:pt>
                <c:pt idx="1">
                  <c:v>87980.300557106864</c:v>
                </c:pt>
              </c:numCache>
            </c:numRef>
          </c:val>
          <c:extLst>
            <c:ext xmlns:c16="http://schemas.microsoft.com/office/drawing/2014/chart" uri="{C3380CC4-5D6E-409C-BE32-E72D297353CC}">
              <c16:uniqueId val="{00000000-E134-4A44-AA4C-507F97C438D1}"/>
            </c:ext>
          </c:extLst>
        </c:ser>
        <c:ser>
          <c:idx val="1"/>
          <c:order val="1"/>
          <c:tx>
            <c:strRef>
              <c:f>'Total costs and outcomes'!$B$20</c:f>
              <c:strCache>
                <c:ptCount val="1"/>
                <c:pt idx="0">
                  <c:v>3b</c:v>
                </c:pt>
              </c:strCache>
            </c:strRef>
          </c:tx>
          <c:spPr>
            <a:solidFill>
              <a:schemeClr val="accent1">
                <a:tint val="77000"/>
              </a:schemeClr>
            </a:solidFill>
            <a:ln>
              <a:noFill/>
            </a:ln>
            <a:effectLst/>
          </c:spPr>
          <c:invertIfNegative val="0"/>
          <c:cat>
            <c:strRef>
              <c:f>'Total costs and outcomes'!$C$18:$D$18</c:f>
              <c:strCache>
                <c:ptCount val="2"/>
                <c:pt idx="0">
                  <c:v>Conventional care</c:v>
                </c:pt>
                <c:pt idx="1">
                  <c:v>Integrated care</c:v>
                </c:pt>
              </c:strCache>
            </c:strRef>
          </c:cat>
          <c:val>
            <c:numRef>
              <c:f>'Total costs and outcomes'!$C$20:$D$20</c:f>
              <c:numCache>
                <c:formatCode>_([$THB]\ * #,##0.00_);_([$THB]\ * \(#,##0.00\);_([$THB]\ * "-"??_);_(@_)</c:formatCode>
                <c:ptCount val="2"/>
                <c:pt idx="0">
                  <c:v>13923.832347452222</c:v>
                </c:pt>
                <c:pt idx="1">
                  <c:v>36657.802604633507</c:v>
                </c:pt>
              </c:numCache>
            </c:numRef>
          </c:val>
          <c:extLst>
            <c:ext xmlns:c16="http://schemas.microsoft.com/office/drawing/2014/chart" uri="{C3380CC4-5D6E-409C-BE32-E72D297353CC}">
              <c16:uniqueId val="{00000001-E134-4A44-AA4C-507F97C438D1}"/>
            </c:ext>
          </c:extLst>
        </c:ser>
        <c:ser>
          <c:idx val="2"/>
          <c:order val="2"/>
          <c:tx>
            <c:strRef>
              <c:f>'Total costs and outcomes'!$B$21</c:f>
              <c:strCache>
                <c:ptCount val="1"/>
                <c:pt idx="0">
                  <c:v>4</c:v>
                </c:pt>
              </c:strCache>
            </c:strRef>
          </c:tx>
          <c:spPr>
            <a:solidFill>
              <a:schemeClr val="accent1"/>
            </a:solidFill>
            <a:ln>
              <a:noFill/>
            </a:ln>
            <a:effectLst/>
          </c:spPr>
          <c:invertIfNegative val="0"/>
          <c:cat>
            <c:strRef>
              <c:f>'Total costs and outcomes'!$C$18:$D$18</c:f>
              <c:strCache>
                <c:ptCount val="2"/>
                <c:pt idx="0">
                  <c:v>Conventional care</c:v>
                </c:pt>
                <c:pt idx="1">
                  <c:v>Integrated care</c:v>
                </c:pt>
              </c:strCache>
            </c:strRef>
          </c:cat>
          <c:val>
            <c:numRef>
              <c:f>'Total costs and outcomes'!$C$21:$D$21</c:f>
              <c:numCache>
                <c:formatCode>_([$THB]\ * #,##0.00_);_([$THB]\ * \(#,##0.00\);_([$THB]\ * "-"??_);_(@_)</c:formatCode>
                <c:ptCount val="2"/>
                <c:pt idx="0">
                  <c:v>5663.6360529687136</c:v>
                </c:pt>
                <c:pt idx="1">
                  <c:v>17752.013349629553</c:v>
                </c:pt>
              </c:numCache>
            </c:numRef>
          </c:val>
          <c:extLst>
            <c:ext xmlns:c16="http://schemas.microsoft.com/office/drawing/2014/chart" uri="{C3380CC4-5D6E-409C-BE32-E72D297353CC}">
              <c16:uniqueId val="{00000002-E134-4A44-AA4C-507F97C438D1}"/>
            </c:ext>
          </c:extLst>
        </c:ser>
        <c:ser>
          <c:idx val="3"/>
          <c:order val="3"/>
          <c:tx>
            <c:strRef>
              <c:f>'Total costs and outcomes'!$B$22</c:f>
              <c:strCache>
                <c:ptCount val="1"/>
                <c:pt idx="0">
                  <c:v>5ND</c:v>
                </c:pt>
              </c:strCache>
            </c:strRef>
          </c:tx>
          <c:spPr>
            <a:solidFill>
              <a:schemeClr val="accent1">
                <a:shade val="76000"/>
              </a:schemeClr>
            </a:solidFill>
            <a:ln>
              <a:noFill/>
            </a:ln>
            <a:effectLst/>
          </c:spPr>
          <c:invertIfNegative val="0"/>
          <c:cat>
            <c:strRef>
              <c:f>'Total costs and outcomes'!$C$18:$D$18</c:f>
              <c:strCache>
                <c:ptCount val="2"/>
                <c:pt idx="0">
                  <c:v>Conventional care</c:v>
                </c:pt>
                <c:pt idx="1">
                  <c:v>Integrated care</c:v>
                </c:pt>
              </c:strCache>
            </c:strRef>
          </c:cat>
          <c:val>
            <c:numRef>
              <c:f>'Total costs and outcomes'!$C$22:$D$22</c:f>
              <c:numCache>
                <c:formatCode>_([$THB]\ * #,##0.00_);_([$THB]\ * \(#,##0.00\);_([$THB]\ * "-"??_);_(@_)</c:formatCode>
                <c:ptCount val="2"/>
                <c:pt idx="0">
                  <c:v>4637.4070633984011</c:v>
                </c:pt>
                <c:pt idx="1">
                  <c:v>4818.0445783951827</c:v>
                </c:pt>
              </c:numCache>
            </c:numRef>
          </c:val>
          <c:extLst>
            <c:ext xmlns:c16="http://schemas.microsoft.com/office/drawing/2014/chart" uri="{C3380CC4-5D6E-409C-BE32-E72D297353CC}">
              <c16:uniqueId val="{00000003-E134-4A44-AA4C-507F97C438D1}"/>
            </c:ext>
          </c:extLst>
        </c:ser>
        <c:ser>
          <c:idx val="4"/>
          <c:order val="4"/>
          <c:tx>
            <c:strRef>
              <c:f>'Total costs and outcomes'!$B$23</c:f>
              <c:strCache>
                <c:ptCount val="1"/>
                <c:pt idx="0">
                  <c:v>Dialysis</c:v>
                </c:pt>
              </c:strCache>
            </c:strRef>
          </c:tx>
          <c:spPr>
            <a:solidFill>
              <a:schemeClr val="accent1">
                <a:shade val="53000"/>
              </a:schemeClr>
            </a:solidFill>
            <a:ln>
              <a:noFill/>
            </a:ln>
            <a:effectLst/>
          </c:spPr>
          <c:invertIfNegative val="0"/>
          <c:cat>
            <c:strRef>
              <c:f>'Total costs and outcomes'!$C$18:$D$18</c:f>
              <c:strCache>
                <c:ptCount val="2"/>
                <c:pt idx="0">
                  <c:v>Conventional care</c:v>
                </c:pt>
                <c:pt idx="1">
                  <c:v>Integrated care</c:v>
                </c:pt>
              </c:strCache>
            </c:strRef>
          </c:cat>
          <c:val>
            <c:numRef>
              <c:f>'Total costs and outcomes'!$C$23:$D$23</c:f>
              <c:numCache>
                <c:formatCode>_([$THB]\ * #,##0.00_);_([$THB]\ * \(#,##0.00\);_([$THB]\ * "-"??_);_(@_)</c:formatCode>
                <c:ptCount val="2"/>
                <c:pt idx="0">
                  <c:v>1904070.4407521973</c:v>
                </c:pt>
                <c:pt idx="1">
                  <c:v>1335833.5685796686</c:v>
                </c:pt>
              </c:numCache>
            </c:numRef>
          </c:val>
          <c:extLst>
            <c:ext xmlns:c16="http://schemas.microsoft.com/office/drawing/2014/chart" uri="{C3380CC4-5D6E-409C-BE32-E72D297353CC}">
              <c16:uniqueId val="{00000004-E134-4A44-AA4C-507F97C438D1}"/>
            </c:ext>
          </c:extLst>
        </c:ser>
        <c:dLbls>
          <c:showLegendKey val="0"/>
          <c:showVal val="0"/>
          <c:showCatName val="0"/>
          <c:showSerName val="0"/>
          <c:showPercent val="0"/>
          <c:showBubbleSize val="0"/>
        </c:dLbls>
        <c:gapWidth val="150"/>
        <c:overlap val="100"/>
        <c:axId val="1190784591"/>
        <c:axId val="1159430271"/>
      </c:barChart>
      <c:catAx>
        <c:axId val="119078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30271"/>
        <c:crosses val="autoZero"/>
        <c:auto val="1"/>
        <c:lblAlgn val="ctr"/>
        <c:lblOffset val="100"/>
        <c:noMultiLvlLbl val="0"/>
      </c:catAx>
      <c:valAx>
        <c:axId val="1159430271"/>
        <c:scaling>
          <c:orientation val="minMax"/>
        </c:scaling>
        <c:delete val="0"/>
        <c:axPos val="l"/>
        <c:majorGridlines>
          <c:spPr>
            <a:ln w="9525" cap="flat" cmpd="sng" algn="ctr">
              <a:solidFill>
                <a:schemeClr val="tx1">
                  <a:lumMod val="15000"/>
                  <a:lumOff val="85000"/>
                </a:schemeClr>
              </a:solidFill>
              <a:round/>
            </a:ln>
            <a:effectLst/>
          </c:spPr>
        </c:majorGridlines>
        <c:numFmt formatCode="_([$THB]\ * #,##0.00_);_([$THB]\ * \(#,##0.00\);_([$THB]\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78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Proportion of total costs spent in each health state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'Total costs and outcomes'!$B$19</c:f>
              <c:strCache>
                <c:ptCount val="1"/>
                <c:pt idx="0">
                  <c:v>3a</c:v>
                </c:pt>
              </c:strCache>
            </c:strRef>
          </c:tx>
          <c:spPr>
            <a:solidFill>
              <a:schemeClr val="accent1"/>
            </a:solidFill>
            <a:ln>
              <a:noFill/>
            </a:ln>
            <a:effectLst/>
          </c:spPr>
          <c:invertIfNegative val="0"/>
          <c:cat>
            <c:strRef>
              <c:f>'Total costs and outcomes'!$C$18:$D$18</c:f>
              <c:strCache>
                <c:ptCount val="2"/>
                <c:pt idx="0">
                  <c:v>Conventional care</c:v>
                </c:pt>
                <c:pt idx="1">
                  <c:v>Integrated care</c:v>
                </c:pt>
              </c:strCache>
            </c:strRef>
          </c:cat>
          <c:val>
            <c:numRef>
              <c:f>'Total costs and outcomes'!$C$19:$D$19</c:f>
              <c:numCache>
                <c:formatCode>_([$THB]\ * #,##0.00_);_([$THB]\ * \(#,##0.00\);_([$THB]\ * "-"??_);_(@_)</c:formatCode>
                <c:ptCount val="2"/>
                <c:pt idx="0">
                  <c:v>65313.817806942978</c:v>
                </c:pt>
                <c:pt idx="1">
                  <c:v>87980.300557106864</c:v>
                </c:pt>
              </c:numCache>
            </c:numRef>
          </c:val>
          <c:extLst>
            <c:ext xmlns:c16="http://schemas.microsoft.com/office/drawing/2014/chart" uri="{C3380CC4-5D6E-409C-BE32-E72D297353CC}">
              <c16:uniqueId val="{00000000-9AB7-904B-887E-635341C04165}"/>
            </c:ext>
          </c:extLst>
        </c:ser>
        <c:ser>
          <c:idx val="1"/>
          <c:order val="1"/>
          <c:tx>
            <c:strRef>
              <c:f>'Total costs and outcomes'!$B$20</c:f>
              <c:strCache>
                <c:ptCount val="1"/>
                <c:pt idx="0">
                  <c:v>3b</c:v>
                </c:pt>
              </c:strCache>
            </c:strRef>
          </c:tx>
          <c:spPr>
            <a:solidFill>
              <a:schemeClr val="accent2"/>
            </a:solidFill>
            <a:ln>
              <a:noFill/>
            </a:ln>
            <a:effectLst/>
          </c:spPr>
          <c:invertIfNegative val="0"/>
          <c:cat>
            <c:strRef>
              <c:f>'Total costs and outcomes'!$C$18:$D$18</c:f>
              <c:strCache>
                <c:ptCount val="2"/>
                <c:pt idx="0">
                  <c:v>Conventional care</c:v>
                </c:pt>
                <c:pt idx="1">
                  <c:v>Integrated care</c:v>
                </c:pt>
              </c:strCache>
            </c:strRef>
          </c:cat>
          <c:val>
            <c:numRef>
              <c:f>'Total costs and outcomes'!$C$20:$D$20</c:f>
              <c:numCache>
                <c:formatCode>_([$THB]\ * #,##0.00_);_([$THB]\ * \(#,##0.00\);_([$THB]\ * "-"??_);_(@_)</c:formatCode>
                <c:ptCount val="2"/>
                <c:pt idx="0">
                  <c:v>13923.832347452222</c:v>
                </c:pt>
                <c:pt idx="1">
                  <c:v>36657.802604633507</c:v>
                </c:pt>
              </c:numCache>
            </c:numRef>
          </c:val>
          <c:extLst>
            <c:ext xmlns:c16="http://schemas.microsoft.com/office/drawing/2014/chart" uri="{C3380CC4-5D6E-409C-BE32-E72D297353CC}">
              <c16:uniqueId val="{00000001-9AB7-904B-887E-635341C04165}"/>
            </c:ext>
          </c:extLst>
        </c:ser>
        <c:ser>
          <c:idx val="2"/>
          <c:order val="2"/>
          <c:tx>
            <c:strRef>
              <c:f>'Total costs and outcomes'!$B$21</c:f>
              <c:strCache>
                <c:ptCount val="1"/>
                <c:pt idx="0">
                  <c:v>4</c:v>
                </c:pt>
              </c:strCache>
            </c:strRef>
          </c:tx>
          <c:spPr>
            <a:solidFill>
              <a:schemeClr val="accent3"/>
            </a:solidFill>
            <a:ln>
              <a:noFill/>
            </a:ln>
            <a:effectLst/>
          </c:spPr>
          <c:invertIfNegative val="0"/>
          <c:cat>
            <c:strRef>
              <c:f>'Total costs and outcomes'!$C$18:$D$18</c:f>
              <c:strCache>
                <c:ptCount val="2"/>
                <c:pt idx="0">
                  <c:v>Conventional care</c:v>
                </c:pt>
                <c:pt idx="1">
                  <c:v>Integrated care</c:v>
                </c:pt>
              </c:strCache>
            </c:strRef>
          </c:cat>
          <c:val>
            <c:numRef>
              <c:f>'Total costs and outcomes'!$C$21:$D$21</c:f>
              <c:numCache>
                <c:formatCode>_([$THB]\ * #,##0.00_);_([$THB]\ * \(#,##0.00\);_([$THB]\ * "-"??_);_(@_)</c:formatCode>
                <c:ptCount val="2"/>
                <c:pt idx="0">
                  <c:v>5663.6360529687136</c:v>
                </c:pt>
                <c:pt idx="1">
                  <c:v>17752.013349629553</c:v>
                </c:pt>
              </c:numCache>
            </c:numRef>
          </c:val>
          <c:extLst>
            <c:ext xmlns:c16="http://schemas.microsoft.com/office/drawing/2014/chart" uri="{C3380CC4-5D6E-409C-BE32-E72D297353CC}">
              <c16:uniqueId val="{00000002-9AB7-904B-887E-635341C04165}"/>
            </c:ext>
          </c:extLst>
        </c:ser>
        <c:ser>
          <c:idx val="3"/>
          <c:order val="3"/>
          <c:tx>
            <c:strRef>
              <c:f>'Total costs and outcomes'!$B$22</c:f>
              <c:strCache>
                <c:ptCount val="1"/>
                <c:pt idx="0">
                  <c:v>5ND</c:v>
                </c:pt>
              </c:strCache>
            </c:strRef>
          </c:tx>
          <c:spPr>
            <a:solidFill>
              <a:schemeClr val="accent4"/>
            </a:solidFill>
            <a:ln>
              <a:noFill/>
            </a:ln>
            <a:effectLst/>
          </c:spPr>
          <c:invertIfNegative val="0"/>
          <c:cat>
            <c:strRef>
              <c:f>'Total costs and outcomes'!$C$18:$D$18</c:f>
              <c:strCache>
                <c:ptCount val="2"/>
                <c:pt idx="0">
                  <c:v>Conventional care</c:v>
                </c:pt>
                <c:pt idx="1">
                  <c:v>Integrated care</c:v>
                </c:pt>
              </c:strCache>
            </c:strRef>
          </c:cat>
          <c:val>
            <c:numRef>
              <c:f>'Total costs and outcomes'!$C$22:$D$22</c:f>
              <c:numCache>
                <c:formatCode>_([$THB]\ * #,##0.00_);_([$THB]\ * \(#,##0.00\);_([$THB]\ * "-"??_);_(@_)</c:formatCode>
                <c:ptCount val="2"/>
                <c:pt idx="0">
                  <c:v>4637.4070633984011</c:v>
                </c:pt>
                <c:pt idx="1">
                  <c:v>4818.0445783951827</c:v>
                </c:pt>
              </c:numCache>
            </c:numRef>
          </c:val>
          <c:extLst>
            <c:ext xmlns:c16="http://schemas.microsoft.com/office/drawing/2014/chart" uri="{C3380CC4-5D6E-409C-BE32-E72D297353CC}">
              <c16:uniqueId val="{00000003-9AB7-904B-887E-635341C04165}"/>
            </c:ext>
          </c:extLst>
        </c:ser>
        <c:ser>
          <c:idx val="4"/>
          <c:order val="4"/>
          <c:tx>
            <c:strRef>
              <c:f>'Total costs and outcomes'!$B$23</c:f>
              <c:strCache>
                <c:ptCount val="1"/>
                <c:pt idx="0">
                  <c:v>Dialysis</c:v>
                </c:pt>
              </c:strCache>
            </c:strRef>
          </c:tx>
          <c:spPr>
            <a:solidFill>
              <a:schemeClr val="accent5"/>
            </a:solidFill>
            <a:ln>
              <a:noFill/>
            </a:ln>
            <a:effectLst/>
          </c:spPr>
          <c:invertIfNegative val="0"/>
          <c:cat>
            <c:strRef>
              <c:f>'Total costs and outcomes'!$C$18:$D$18</c:f>
              <c:strCache>
                <c:ptCount val="2"/>
                <c:pt idx="0">
                  <c:v>Conventional care</c:v>
                </c:pt>
                <c:pt idx="1">
                  <c:v>Integrated care</c:v>
                </c:pt>
              </c:strCache>
            </c:strRef>
          </c:cat>
          <c:val>
            <c:numRef>
              <c:f>'Total costs and outcomes'!$C$23:$D$23</c:f>
              <c:numCache>
                <c:formatCode>_([$THB]\ * #,##0.00_);_([$THB]\ * \(#,##0.00\);_([$THB]\ * "-"??_);_(@_)</c:formatCode>
                <c:ptCount val="2"/>
                <c:pt idx="0">
                  <c:v>1904070.4407521973</c:v>
                </c:pt>
                <c:pt idx="1">
                  <c:v>1335833.5685796686</c:v>
                </c:pt>
              </c:numCache>
            </c:numRef>
          </c:val>
          <c:extLst>
            <c:ext xmlns:c16="http://schemas.microsoft.com/office/drawing/2014/chart" uri="{C3380CC4-5D6E-409C-BE32-E72D297353CC}">
              <c16:uniqueId val="{00000004-9AB7-904B-887E-635341C04165}"/>
            </c:ext>
          </c:extLst>
        </c:ser>
        <c:dLbls>
          <c:showLegendKey val="0"/>
          <c:showVal val="0"/>
          <c:showCatName val="0"/>
          <c:showSerName val="0"/>
          <c:showPercent val="0"/>
          <c:showBubbleSize val="0"/>
        </c:dLbls>
        <c:gapWidth val="150"/>
        <c:overlap val="100"/>
        <c:axId val="1181243983"/>
        <c:axId val="1131239583"/>
      </c:barChart>
      <c:catAx>
        <c:axId val="1181243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239583"/>
        <c:crosses val="autoZero"/>
        <c:auto val="1"/>
        <c:lblAlgn val="ctr"/>
        <c:lblOffset val="100"/>
        <c:noMultiLvlLbl val="0"/>
      </c:catAx>
      <c:valAx>
        <c:axId val="11312395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2439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years spent in each health state: Commence</a:t>
            </a:r>
            <a:r>
              <a:rPr lang="en-GB" baseline="0"/>
              <a:t> treatment aged 80 in CKD stage 3a</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'Total costs and outcomes'!$B$55</c:f>
              <c:strCache>
                <c:ptCount val="1"/>
                <c:pt idx="0">
                  <c:v>3a</c:v>
                </c:pt>
              </c:strCache>
            </c:strRef>
          </c:tx>
          <c:spPr>
            <a:solidFill>
              <a:schemeClr val="accent1">
                <a:tint val="54000"/>
              </a:schemeClr>
            </a:solidFill>
            <a:ln>
              <a:noFill/>
            </a:ln>
            <a:effectLst/>
          </c:spPr>
          <c:invertIfNegative val="0"/>
          <c:cat>
            <c:strRef>
              <c:f>'Total costs and outcomes'!$C$54:$D$54</c:f>
              <c:strCache>
                <c:ptCount val="2"/>
                <c:pt idx="0">
                  <c:v>Conventional</c:v>
                </c:pt>
                <c:pt idx="1">
                  <c:v>ICP</c:v>
                </c:pt>
              </c:strCache>
            </c:strRef>
          </c:cat>
          <c:val>
            <c:numRef>
              <c:f>'Total costs and outcomes'!$C$55:$D$55</c:f>
              <c:numCache>
                <c:formatCode>General</c:formatCode>
                <c:ptCount val="2"/>
                <c:pt idx="0">
                  <c:v>3.7678363241789201</c:v>
                </c:pt>
                <c:pt idx="1">
                  <c:v>3.7678363241789201</c:v>
                </c:pt>
              </c:numCache>
            </c:numRef>
          </c:val>
          <c:extLst>
            <c:ext xmlns:c16="http://schemas.microsoft.com/office/drawing/2014/chart" uri="{C3380CC4-5D6E-409C-BE32-E72D297353CC}">
              <c16:uniqueId val="{00000000-3380-944F-A717-7C061ED955AE}"/>
            </c:ext>
          </c:extLst>
        </c:ser>
        <c:ser>
          <c:idx val="1"/>
          <c:order val="1"/>
          <c:tx>
            <c:strRef>
              <c:f>'Total costs and outcomes'!$B$56</c:f>
              <c:strCache>
                <c:ptCount val="1"/>
                <c:pt idx="0">
                  <c:v>3b</c:v>
                </c:pt>
              </c:strCache>
            </c:strRef>
          </c:tx>
          <c:spPr>
            <a:solidFill>
              <a:schemeClr val="accent1">
                <a:tint val="77000"/>
              </a:schemeClr>
            </a:solidFill>
            <a:ln>
              <a:noFill/>
            </a:ln>
            <a:effectLst/>
          </c:spPr>
          <c:invertIfNegative val="0"/>
          <c:cat>
            <c:strRef>
              <c:f>'Total costs and outcomes'!$C$54:$D$54</c:f>
              <c:strCache>
                <c:ptCount val="2"/>
                <c:pt idx="0">
                  <c:v>Conventional</c:v>
                </c:pt>
                <c:pt idx="1">
                  <c:v>ICP</c:v>
                </c:pt>
              </c:strCache>
            </c:strRef>
          </c:cat>
          <c:val>
            <c:numRef>
              <c:f>'Total costs and outcomes'!$C$56:$D$56</c:f>
              <c:numCache>
                <c:formatCode>General</c:formatCode>
                <c:ptCount val="2"/>
                <c:pt idx="0">
                  <c:v>0.41844316705484114</c:v>
                </c:pt>
                <c:pt idx="1">
                  <c:v>0.49892803422613696</c:v>
                </c:pt>
              </c:numCache>
            </c:numRef>
          </c:val>
          <c:extLst>
            <c:ext xmlns:c16="http://schemas.microsoft.com/office/drawing/2014/chart" uri="{C3380CC4-5D6E-409C-BE32-E72D297353CC}">
              <c16:uniqueId val="{00000001-3380-944F-A717-7C061ED955AE}"/>
            </c:ext>
          </c:extLst>
        </c:ser>
        <c:ser>
          <c:idx val="2"/>
          <c:order val="2"/>
          <c:tx>
            <c:strRef>
              <c:f>'Total costs and outcomes'!$B$57</c:f>
              <c:strCache>
                <c:ptCount val="1"/>
                <c:pt idx="0">
                  <c:v>4</c:v>
                </c:pt>
              </c:strCache>
            </c:strRef>
          </c:tx>
          <c:spPr>
            <a:solidFill>
              <a:schemeClr val="accent1"/>
            </a:solidFill>
            <a:ln>
              <a:noFill/>
            </a:ln>
            <a:effectLst/>
          </c:spPr>
          <c:invertIfNegative val="0"/>
          <c:cat>
            <c:strRef>
              <c:f>'Total costs and outcomes'!$C$54:$D$54</c:f>
              <c:strCache>
                <c:ptCount val="2"/>
                <c:pt idx="0">
                  <c:v>Conventional</c:v>
                </c:pt>
                <c:pt idx="1">
                  <c:v>ICP</c:v>
                </c:pt>
              </c:strCache>
            </c:strRef>
          </c:cat>
          <c:val>
            <c:numRef>
              <c:f>'Total costs and outcomes'!$C$57:$D$57</c:f>
              <c:numCache>
                <c:formatCode>General</c:formatCode>
                <c:ptCount val="2"/>
                <c:pt idx="0">
                  <c:v>0.10246153861509051</c:v>
                </c:pt>
                <c:pt idx="1">
                  <c:v>6.6898446586777668E-2</c:v>
                </c:pt>
              </c:numCache>
            </c:numRef>
          </c:val>
          <c:extLst>
            <c:ext xmlns:c16="http://schemas.microsoft.com/office/drawing/2014/chart" uri="{C3380CC4-5D6E-409C-BE32-E72D297353CC}">
              <c16:uniqueId val="{00000002-3380-944F-A717-7C061ED955AE}"/>
            </c:ext>
          </c:extLst>
        </c:ser>
        <c:ser>
          <c:idx val="3"/>
          <c:order val="3"/>
          <c:tx>
            <c:strRef>
              <c:f>'Total costs and outcomes'!$B$58</c:f>
              <c:strCache>
                <c:ptCount val="1"/>
                <c:pt idx="0">
                  <c:v>5</c:v>
                </c:pt>
              </c:strCache>
            </c:strRef>
          </c:tx>
          <c:spPr>
            <a:solidFill>
              <a:schemeClr val="accent1">
                <a:shade val="76000"/>
              </a:schemeClr>
            </a:solidFill>
            <a:ln>
              <a:noFill/>
            </a:ln>
            <a:effectLst/>
          </c:spPr>
          <c:invertIfNegative val="0"/>
          <c:cat>
            <c:strRef>
              <c:f>'Total costs and outcomes'!$C$54:$D$54</c:f>
              <c:strCache>
                <c:ptCount val="2"/>
                <c:pt idx="0">
                  <c:v>Conventional</c:v>
                </c:pt>
                <c:pt idx="1">
                  <c:v>ICP</c:v>
                </c:pt>
              </c:strCache>
            </c:strRef>
          </c:cat>
          <c:val>
            <c:numRef>
              <c:f>'Total costs and outcomes'!$C$58:$D$58</c:f>
              <c:numCache>
                <c:formatCode>General</c:formatCode>
                <c:ptCount val="2"/>
                <c:pt idx="0">
                  <c:v>4.7446420811015626E-2</c:v>
                </c:pt>
                <c:pt idx="1">
                  <c:v>8.4207192252010229E-3</c:v>
                </c:pt>
              </c:numCache>
            </c:numRef>
          </c:val>
          <c:extLst>
            <c:ext xmlns:c16="http://schemas.microsoft.com/office/drawing/2014/chart" uri="{C3380CC4-5D6E-409C-BE32-E72D297353CC}">
              <c16:uniqueId val="{00000003-3380-944F-A717-7C061ED955AE}"/>
            </c:ext>
          </c:extLst>
        </c:ser>
        <c:ser>
          <c:idx val="4"/>
          <c:order val="4"/>
          <c:tx>
            <c:strRef>
              <c:f>'Total costs and outcomes'!$B$59</c:f>
              <c:strCache>
                <c:ptCount val="1"/>
                <c:pt idx="0">
                  <c:v>Dialysis</c:v>
                </c:pt>
              </c:strCache>
            </c:strRef>
          </c:tx>
          <c:spPr>
            <a:solidFill>
              <a:schemeClr val="accent1">
                <a:shade val="53000"/>
              </a:schemeClr>
            </a:solidFill>
            <a:ln>
              <a:noFill/>
            </a:ln>
            <a:effectLst/>
          </c:spPr>
          <c:invertIfNegative val="0"/>
          <c:cat>
            <c:strRef>
              <c:f>'Total costs and outcomes'!$C$54:$D$54</c:f>
              <c:strCache>
                <c:ptCount val="2"/>
                <c:pt idx="0">
                  <c:v>Conventional</c:v>
                </c:pt>
                <c:pt idx="1">
                  <c:v>ICP</c:v>
                </c:pt>
              </c:strCache>
            </c:strRef>
          </c:cat>
          <c:val>
            <c:numRef>
              <c:f>'Total costs and outcomes'!$C$59:$D$59</c:f>
              <c:numCache>
                <c:formatCode>General</c:formatCode>
                <c:ptCount val="2"/>
                <c:pt idx="0">
                  <c:v>6.9214776540672653E-3</c:v>
                </c:pt>
                <c:pt idx="1">
                  <c:v>1.0254040968988539E-3</c:v>
                </c:pt>
              </c:numCache>
            </c:numRef>
          </c:val>
          <c:extLst>
            <c:ext xmlns:c16="http://schemas.microsoft.com/office/drawing/2014/chart" uri="{C3380CC4-5D6E-409C-BE32-E72D297353CC}">
              <c16:uniqueId val="{00000004-3380-944F-A717-7C061ED955AE}"/>
            </c:ext>
          </c:extLst>
        </c:ser>
        <c:dLbls>
          <c:showLegendKey val="0"/>
          <c:showVal val="0"/>
          <c:showCatName val="0"/>
          <c:showSerName val="0"/>
          <c:showPercent val="0"/>
          <c:showBubbleSize val="0"/>
        </c:dLbls>
        <c:gapWidth val="150"/>
        <c:overlap val="100"/>
        <c:axId val="1658810927"/>
        <c:axId val="1658493919"/>
      </c:barChart>
      <c:catAx>
        <c:axId val="1658810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8493919"/>
        <c:crosses val="autoZero"/>
        <c:auto val="1"/>
        <c:lblAlgn val="ctr"/>
        <c:lblOffset val="100"/>
        <c:noMultiLvlLbl val="0"/>
      </c:catAx>
      <c:valAx>
        <c:axId val="16584939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88109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'Total costs and outcomes'!$B$63</c:f>
              <c:strCache>
                <c:ptCount val="1"/>
                <c:pt idx="0">
                  <c:v>3a</c:v>
                </c:pt>
              </c:strCache>
            </c:strRef>
          </c:tx>
          <c:spPr>
            <a:solidFill>
              <a:schemeClr val="accent1">
                <a:tint val="54000"/>
              </a:schemeClr>
            </a:solidFill>
            <a:ln>
              <a:noFill/>
            </a:ln>
            <a:effectLst/>
          </c:spPr>
          <c:invertIfNegative val="0"/>
          <c:cat>
            <c:strRef>
              <c:f>'Total costs and outcomes'!$C$62:$D$62</c:f>
              <c:strCache>
                <c:ptCount val="2"/>
                <c:pt idx="0">
                  <c:v>Conventional</c:v>
                </c:pt>
                <c:pt idx="1">
                  <c:v>ICP</c:v>
                </c:pt>
              </c:strCache>
            </c:strRef>
          </c:cat>
          <c:val>
            <c:numRef>
              <c:f>'Total costs and outcomes'!$C$63:$D$63</c:f>
              <c:numCache>
                <c:formatCode>General</c:formatCode>
                <c:ptCount val="2"/>
                <c:pt idx="0">
                  <c:v>25986.433202007986</c:v>
                </c:pt>
                <c:pt idx="1">
                  <c:v>35004.755200159299</c:v>
                </c:pt>
              </c:numCache>
            </c:numRef>
          </c:val>
          <c:extLst>
            <c:ext xmlns:c16="http://schemas.microsoft.com/office/drawing/2014/chart" uri="{C3380CC4-5D6E-409C-BE32-E72D297353CC}">
              <c16:uniqueId val="{00000000-C573-7445-95EE-2E254B2884FE}"/>
            </c:ext>
          </c:extLst>
        </c:ser>
        <c:ser>
          <c:idx val="1"/>
          <c:order val="1"/>
          <c:tx>
            <c:strRef>
              <c:f>'Total costs and outcomes'!$B$64</c:f>
              <c:strCache>
                <c:ptCount val="1"/>
                <c:pt idx="0">
                  <c:v>3b</c:v>
                </c:pt>
              </c:strCache>
            </c:strRef>
          </c:tx>
          <c:spPr>
            <a:solidFill>
              <a:schemeClr val="accent1">
                <a:tint val="77000"/>
              </a:schemeClr>
            </a:solidFill>
            <a:ln>
              <a:noFill/>
            </a:ln>
            <a:effectLst/>
          </c:spPr>
          <c:invertIfNegative val="0"/>
          <c:cat>
            <c:strRef>
              <c:f>'Total costs and outcomes'!$C$62:$D$62</c:f>
              <c:strCache>
                <c:ptCount val="2"/>
                <c:pt idx="0">
                  <c:v>Conventional</c:v>
                </c:pt>
                <c:pt idx="1">
                  <c:v>ICP</c:v>
                </c:pt>
              </c:strCache>
            </c:strRef>
          </c:cat>
          <c:val>
            <c:numRef>
              <c:f>'Total costs and outcomes'!$C$64:$D$64</c:f>
              <c:numCache>
                <c:formatCode>General</c:formatCode>
                <c:ptCount val="2"/>
                <c:pt idx="0">
                  <c:v>2801.2998338992211</c:v>
                </c:pt>
                <c:pt idx="1">
                  <c:v>4484.7223266103974</c:v>
                </c:pt>
              </c:numCache>
            </c:numRef>
          </c:val>
          <c:extLst>
            <c:ext xmlns:c16="http://schemas.microsoft.com/office/drawing/2014/chart" uri="{C3380CC4-5D6E-409C-BE32-E72D297353CC}">
              <c16:uniqueId val="{00000001-C573-7445-95EE-2E254B2884FE}"/>
            </c:ext>
          </c:extLst>
        </c:ser>
        <c:ser>
          <c:idx val="2"/>
          <c:order val="2"/>
          <c:tx>
            <c:strRef>
              <c:f>'Total costs and outcomes'!$B$65</c:f>
              <c:strCache>
                <c:ptCount val="1"/>
                <c:pt idx="0">
                  <c:v>4</c:v>
                </c:pt>
              </c:strCache>
            </c:strRef>
          </c:tx>
          <c:spPr>
            <a:solidFill>
              <a:schemeClr val="accent1"/>
            </a:solidFill>
            <a:ln>
              <a:noFill/>
            </a:ln>
            <a:effectLst/>
          </c:spPr>
          <c:invertIfNegative val="0"/>
          <c:cat>
            <c:strRef>
              <c:f>'Total costs and outcomes'!$C$62:$D$62</c:f>
              <c:strCache>
                <c:ptCount val="2"/>
                <c:pt idx="0">
                  <c:v>Conventional</c:v>
                </c:pt>
                <c:pt idx="1">
                  <c:v>ICP</c:v>
                </c:pt>
              </c:strCache>
            </c:strRef>
          </c:cat>
          <c:val>
            <c:numRef>
              <c:f>'Total costs and outcomes'!$C$65:$D$65</c:f>
              <c:numCache>
                <c:formatCode>_([$THB]\ * #,##0.00_);_([$THB]\ * \(#,##0.00\);_([$THB]\ * "-"??_);_(@_)</c:formatCode>
                <c:ptCount val="2"/>
                <c:pt idx="0">
                  <c:v>675.07832945324276</c:v>
                </c:pt>
                <c:pt idx="1">
                  <c:v>590.94298575319704</c:v>
                </c:pt>
              </c:numCache>
            </c:numRef>
          </c:val>
          <c:extLst>
            <c:ext xmlns:c16="http://schemas.microsoft.com/office/drawing/2014/chart" uri="{C3380CC4-5D6E-409C-BE32-E72D297353CC}">
              <c16:uniqueId val="{00000002-C573-7445-95EE-2E254B2884FE}"/>
            </c:ext>
          </c:extLst>
        </c:ser>
        <c:ser>
          <c:idx val="3"/>
          <c:order val="3"/>
          <c:tx>
            <c:strRef>
              <c:f>'Total costs and outcomes'!$B$66</c:f>
              <c:strCache>
                <c:ptCount val="1"/>
                <c:pt idx="0">
                  <c:v>5</c:v>
                </c:pt>
              </c:strCache>
            </c:strRef>
          </c:tx>
          <c:spPr>
            <a:solidFill>
              <a:schemeClr val="accent1">
                <a:shade val="76000"/>
              </a:schemeClr>
            </a:solidFill>
            <a:ln>
              <a:noFill/>
            </a:ln>
            <a:effectLst/>
          </c:spPr>
          <c:invertIfNegative val="0"/>
          <c:cat>
            <c:strRef>
              <c:f>'Total costs and outcomes'!$C$62:$D$62</c:f>
              <c:strCache>
                <c:ptCount val="2"/>
                <c:pt idx="0">
                  <c:v>Conventional</c:v>
                </c:pt>
                <c:pt idx="1">
                  <c:v>ICP</c:v>
                </c:pt>
              </c:strCache>
            </c:strRef>
          </c:cat>
          <c:val>
            <c:numRef>
              <c:f>'Total costs and outcomes'!$C$66:$D$66</c:f>
              <c:numCache>
                <c:formatCode>_([$THB]\ * #,##0.00_);_([$THB]\ * \(#,##0.00\);_([$THB]\ * "-"??_);_(@_)</c:formatCode>
                <c:ptCount val="2"/>
                <c:pt idx="0">
                  <c:v>274.89727863267115</c:v>
                </c:pt>
                <c:pt idx="1">
                  <c:v>66.926530741748735</c:v>
                </c:pt>
              </c:numCache>
            </c:numRef>
          </c:val>
          <c:extLst>
            <c:ext xmlns:c16="http://schemas.microsoft.com/office/drawing/2014/chart" uri="{C3380CC4-5D6E-409C-BE32-E72D297353CC}">
              <c16:uniqueId val="{00000003-C573-7445-95EE-2E254B2884FE}"/>
            </c:ext>
          </c:extLst>
        </c:ser>
        <c:ser>
          <c:idx val="4"/>
          <c:order val="4"/>
          <c:tx>
            <c:strRef>
              <c:f>'Total costs and outcomes'!$B$67</c:f>
              <c:strCache>
                <c:ptCount val="1"/>
                <c:pt idx="0">
                  <c:v>Dialysis</c:v>
                </c:pt>
              </c:strCache>
            </c:strRef>
          </c:tx>
          <c:spPr>
            <a:solidFill>
              <a:schemeClr val="accent1">
                <a:shade val="53000"/>
              </a:schemeClr>
            </a:solidFill>
            <a:ln>
              <a:noFill/>
            </a:ln>
            <a:effectLst/>
          </c:spPr>
          <c:invertIfNegative val="0"/>
          <c:cat>
            <c:strRef>
              <c:f>'Total costs and outcomes'!$C$62:$D$62</c:f>
              <c:strCache>
                <c:ptCount val="2"/>
                <c:pt idx="0">
                  <c:v>Conventional</c:v>
                </c:pt>
                <c:pt idx="1">
                  <c:v>ICP</c:v>
                </c:pt>
              </c:strCache>
            </c:strRef>
          </c:cat>
          <c:val>
            <c:numRef>
              <c:f>'Total costs and outcomes'!$C$67:$D$67</c:f>
              <c:numCache>
                <c:formatCode>_([$THB]\ * #,##0.00_);_([$THB]\ * \(#,##0.00\);_([$THB]\ * "-"??_);_(@_)</c:formatCode>
                <c:ptCount val="2"/>
                <c:pt idx="0">
                  <c:v>0</c:v>
                </c:pt>
                <c:pt idx="1">
                  <c:v>0</c:v>
                </c:pt>
              </c:numCache>
            </c:numRef>
          </c:val>
          <c:extLst>
            <c:ext xmlns:c16="http://schemas.microsoft.com/office/drawing/2014/chart" uri="{C3380CC4-5D6E-409C-BE32-E72D297353CC}">
              <c16:uniqueId val="{00000004-C573-7445-95EE-2E254B2884FE}"/>
            </c:ext>
          </c:extLst>
        </c:ser>
        <c:dLbls>
          <c:showLegendKey val="0"/>
          <c:showVal val="0"/>
          <c:showCatName val="0"/>
          <c:showSerName val="0"/>
          <c:showPercent val="0"/>
          <c:showBubbleSize val="0"/>
        </c:dLbls>
        <c:gapWidth val="150"/>
        <c:overlap val="100"/>
        <c:axId val="1682944703"/>
        <c:axId val="1755734367"/>
      </c:barChart>
      <c:catAx>
        <c:axId val="1682944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734367"/>
        <c:crosses val="autoZero"/>
        <c:auto val="1"/>
        <c:lblAlgn val="ctr"/>
        <c:lblOffset val="100"/>
        <c:noMultiLvlLbl val="0"/>
      </c:catAx>
      <c:valAx>
        <c:axId val="1755734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2944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'Total costs and outcomes'!$B$72</c:f>
              <c:strCache>
                <c:ptCount val="1"/>
                <c:pt idx="0">
                  <c:v>3a</c:v>
                </c:pt>
              </c:strCache>
            </c:strRef>
          </c:tx>
          <c:spPr>
            <a:solidFill>
              <a:schemeClr val="accent1">
                <a:tint val="54000"/>
              </a:schemeClr>
            </a:solidFill>
            <a:ln>
              <a:noFill/>
            </a:ln>
            <a:effectLst/>
          </c:spPr>
          <c:invertIfNegative val="0"/>
          <c:cat>
            <c:strRef>
              <c:f>'Total costs and outcomes'!$C$71:$D$71</c:f>
              <c:strCache>
                <c:ptCount val="2"/>
                <c:pt idx="0">
                  <c:v>Conventional</c:v>
                </c:pt>
                <c:pt idx="1">
                  <c:v>ICP</c:v>
                </c:pt>
              </c:strCache>
            </c:strRef>
          </c:cat>
          <c:val>
            <c:numRef>
              <c:f>'Total costs and outcomes'!$C$72:$D$72</c:f>
              <c:numCache>
                <c:formatCode>General</c:formatCode>
                <c:ptCount val="2"/>
                <c:pt idx="0">
                  <c:v>0</c:v>
                </c:pt>
                <c:pt idx="1">
                  <c:v>0</c:v>
                </c:pt>
              </c:numCache>
            </c:numRef>
          </c:val>
          <c:extLst>
            <c:ext xmlns:c16="http://schemas.microsoft.com/office/drawing/2014/chart" uri="{C3380CC4-5D6E-409C-BE32-E72D297353CC}">
              <c16:uniqueId val="{00000000-D3C6-C545-B875-321C6782DA93}"/>
            </c:ext>
          </c:extLst>
        </c:ser>
        <c:ser>
          <c:idx val="1"/>
          <c:order val="1"/>
          <c:tx>
            <c:strRef>
              <c:f>'Total costs and outcomes'!$B$73</c:f>
              <c:strCache>
                <c:ptCount val="1"/>
                <c:pt idx="0">
                  <c:v>3b</c:v>
                </c:pt>
              </c:strCache>
            </c:strRef>
          </c:tx>
          <c:spPr>
            <a:solidFill>
              <a:schemeClr val="accent1">
                <a:tint val="77000"/>
              </a:schemeClr>
            </a:solidFill>
            <a:ln>
              <a:noFill/>
            </a:ln>
            <a:effectLst/>
          </c:spPr>
          <c:invertIfNegative val="0"/>
          <c:cat>
            <c:strRef>
              <c:f>'Total costs and outcomes'!$C$71:$D$71</c:f>
              <c:strCache>
                <c:ptCount val="2"/>
                <c:pt idx="0">
                  <c:v>Conventional</c:v>
                </c:pt>
                <c:pt idx="1">
                  <c:v>ICP</c:v>
                </c:pt>
              </c:strCache>
            </c:strRef>
          </c:cat>
          <c:val>
            <c:numRef>
              <c:f>'Total costs and outcomes'!$C$73:$D$73</c:f>
              <c:numCache>
                <c:formatCode>General</c:formatCode>
                <c:ptCount val="2"/>
                <c:pt idx="0">
                  <c:v>2.4377848288974606</c:v>
                </c:pt>
                <c:pt idx="1">
                  <c:v>3.3401837234136602</c:v>
                </c:pt>
              </c:numCache>
            </c:numRef>
          </c:val>
          <c:extLst>
            <c:ext xmlns:c16="http://schemas.microsoft.com/office/drawing/2014/chart" uri="{C3380CC4-5D6E-409C-BE32-E72D297353CC}">
              <c16:uniqueId val="{00000001-D3C6-C545-B875-321C6782DA93}"/>
            </c:ext>
          </c:extLst>
        </c:ser>
        <c:ser>
          <c:idx val="2"/>
          <c:order val="2"/>
          <c:tx>
            <c:strRef>
              <c:f>'Total costs and outcomes'!$B$74</c:f>
              <c:strCache>
                <c:ptCount val="1"/>
                <c:pt idx="0">
                  <c:v>4</c:v>
                </c:pt>
              </c:strCache>
            </c:strRef>
          </c:tx>
          <c:spPr>
            <a:solidFill>
              <a:schemeClr val="accent1"/>
            </a:solidFill>
            <a:ln>
              <a:noFill/>
            </a:ln>
            <a:effectLst/>
          </c:spPr>
          <c:invertIfNegative val="0"/>
          <c:cat>
            <c:strRef>
              <c:f>'Total costs and outcomes'!$C$71:$D$71</c:f>
              <c:strCache>
                <c:ptCount val="2"/>
                <c:pt idx="0">
                  <c:v>Conventional</c:v>
                </c:pt>
                <c:pt idx="1">
                  <c:v>ICP</c:v>
                </c:pt>
              </c:strCache>
            </c:strRef>
          </c:cat>
          <c:val>
            <c:numRef>
              <c:f>'Total costs and outcomes'!$C$74:$D$74</c:f>
              <c:numCache>
                <c:formatCode>General</c:formatCode>
                <c:ptCount val="2"/>
                <c:pt idx="0">
                  <c:v>0.85195619945425805</c:v>
                </c:pt>
                <c:pt idx="1">
                  <c:v>0.77605913017114747</c:v>
                </c:pt>
              </c:numCache>
            </c:numRef>
          </c:val>
          <c:extLst>
            <c:ext xmlns:c16="http://schemas.microsoft.com/office/drawing/2014/chart" uri="{C3380CC4-5D6E-409C-BE32-E72D297353CC}">
              <c16:uniqueId val="{00000002-D3C6-C545-B875-321C6782DA93}"/>
            </c:ext>
          </c:extLst>
        </c:ser>
        <c:ser>
          <c:idx val="3"/>
          <c:order val="3"/>
          <c:tx>
            <c:strRef>
              <c:f>'Total costs and outcomes'!$B$75</c:f>
              <c:strCache>
                <c:ptCount val="1"/>
                <c:pt idx="0">
                  <c:v>5</c:v>
                </c:pt>
              </c:strCache>
            </c:strRef>
          </c:tx>
          <c:spPr>
            <a:solidFill>
              <a:schemeClr val="accent1">
                <a:shade val="76000"/>
              </a:schemeClr>
            </a:solidFill>
            <a:ln>
              <a:noFill/>
            </a:ln>
            <a:effectLst/>
          </c:spPr>
          <c:invertIfNegative val="0"/>
          <c:cat>
            <c:strRef>
              <c:f>'Total costs and outcomes'!$C$71:$D$71</c:f>
              <c:strCache>
                <c:ptCount val="2"/>
                <c:pt idx="0">
                  <c:v>Conventional</c:v>
                </c:pt>
                <c:pt idx="1">
                  <c:v>ICP</c:v>
                </c:pt>
              </c:strCache>
            </c:strRef>
          </c:cat>
          <c:val>
            <c:numRef>
              <c:f>'Total costs and outcomes'!$C$75:$D$75</c:f>
              <c:numCache>
                <c:formatCode>General</c:formatCode>
                <c:ptCount val="2"/>
                <c:pt idx="0">
                  <c:v>0.70430248347296853</c:v>
                </c:pt>
                <c:pt idx="1">
                  <c:v>0.1661071506960399</c:v>
                </c:pt>
              </c:numCache>
            </c:numRef>
          </c:val>
          <c:extLst>
            <c:ext xmlns:c16="http://schemas.microsoft.com/office/drawing/2014/chart" uri="{C3380CC4-5D6E-409C-BE32-E72D297353CC}">
              <c16:uniqueId val="{00000003-D3C6-C545-B875-321C6782DA93}"/>
            </c:ext>
          </c:extLst>
        </c:ser>
        <c:ser>
          <c:idx val="4"/>
          <c:order val="4"/>
          <c:tx>
            <c:strRef>
              <c:f>'Total costs and outcomes'!$B$76</c:f>
              <c:strCache>
                <c:ptCount val="1"/>
                <c:pt idx="0">
                  <c:v>Dialysis</c:v>
                </c:pt>
              </c:strCache>
            </c:strRef>
          </c:tx>
          <c:spPr>
            <a:solidFill>
              <a:schemeClr val="accent1">
                <a:shade val="53000"/>
              </a:schemeClr>
            </a:solidFill>
            <a:ln>
              <a:noFill/>
            </a:ln>
            <a:effectLst/>
          </c:spPr>
          <c:invertIfNegative val="0"/>
          <c:cat>
            <c:strRef>
              <c:f>'Total costs and outcomes'!$C$71:$D$71</c:f>
              <c:strCache>
                <c:ptCount val="2"/>
                <c:pt idx="0">
                  <c:v>Conventional</c:v>
                </c:pt>
                <c:pt idx="1">
                  <c:v>ICP</c:v>
                </c:pt>
              </c:strCache>
            </c:strRef>
          </c:cat>
          <c:val>
            <c:numRef>
              <c:f>'Total costs and outcomes'!$C$76:$D$76</c:f>
              <c:numCache>
                <c:formatCode>General</c:formatCode>
                <c:ptCount val="2"/>
                <c:pt idx="0">
                  <c:v>0.28158100936209091</c:v>
                </c:pt>
                <c:pt idx="1">
                  <c:v>5.0761234088323601E-2</c:v>
                </c:pt>
              </c:numCache>
            </c:numRef>
          </c:val>
          <c:extLst>
            <c:ext xmlns:c16="http://schemas.microsoft.com/office/drawing/2014/chart" uri="{C3380CC4-5D6E-409C-BE32-E72D297353CC}">
              <c16:uniqueId val="{00000004-D3C6-C545-B875-321C6782DA93}"/>
            </c:ext>
          </c:extLst>
        </c:ser>
        <c:dLbls>
          <c:showLegendKey val="0"/>
          <c:showVal val="0"/>
          <c:showCatName val="0"/>
          <c:showSerName val="0"/>
          <c:showPercent val="0"/>
          <c:showBubbleSize val="0"/>
        </c:dLbls>
        <c:gapWidth val="150"/>
        <c:overlap val="100"/>
        <c:axId val="1682688319"/>
        <c:axId val="1679979023"/>
      </c:barChart>
      <c:catAx>
        <c:axId val="168268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979023"/>
        <c:crosses val="autoZero"/>
        <c:auto val="1"/>
        <c:lblAlgn val="ctr"/>
        <c:lblOffset val="100"/>
        <c:noMultiLvlLbl val="0"/>
      </c:catAx>
      <c:valAx>
        <c:axId val="1679979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268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'Total costs and outcomes'!$B$80</c:f>
              <c:strCache>
                <c:ptCount val="1"/>
                <c:pt idx="0">
                  <c:v>3a</c:v>
                </c:pt>
              </c:strCache>
            </c:strRef>
          </c:tx>
          <c:spPr>
            <a:solidFill>
              <a:schemeClr val="accent1">
                <a:tint val="54000"/>
              </a:schemeClr>
            </a:solidFill>
            <a:ln>
              <a:noFill/>
            </a:ln>
            <a:effectLst/>
          </c:spPr>
          <c:invertIfNegative val="0"/>
          <c:cat>
            <c:strRef>
              <c:f>'Total costs and outcomes'!$C$79:$D$79</c:f>
              <c:strCache>
                <c:ptCount val="2"/>
                <c:pt idx="0">
                  <c:v>Conventional</c:v>
                </c:pt>
                <c:pt idx="1">
                  <c:v>ICP</c:v>
                </c:pt>
              </c:strCache>
            </c:strRef>
          </c:cat>
          <c:val>
            <c:numRef>
              <c:f>'Total costs and outcomes'!$C$80:$D$80</c:f>
              <c:numCache>
                <c:formatCode>_([$THB]\ * #,##0.00_);_([$THB]\ * \(#,##0.00\);_([$THB]\ * "-"??_);_(@_)</c:formatCode>
                <c:ptCount val="2"/>
                <c:pt idx="0">
                  <c:v>0</c:v>
                </c:pt>
                <c:pt idx="1">
                  <c:v>0</c:v>
                </c:pt>
              </c:numCache>
            </c:numRef>
          </c:val>
          <c:extLst>
            <c:ext xmlns:c16="http://schemas.microsoft.com/office/drawing/2014/chart" uri="{C3380CC4-5D6E-409C-BE32-E72D297353CC}">
              <c16:uniqueId val="{00000000-494B-1241-B2AF-E92C06551DC5}"/>
            </c:ext>
          </c:extLst>
        </c:ser>
        <c:ser>
          <c:idx val="1"/>
          <c:order val="1"/>
          <c:tx>
            <c:strRef>
              <c:f>'Total costs and outcomes'!$B$81</c:f>
              <c:strCache>
                <c:ptCount val="1"/>
                <c:pt idx="0">
                  <c:v>3b</c:v>
                </c:pt>
              </c:strCache>
            </c:strRef>
          </c:tx>
          <c:spPr>
            <a:solidFill>
              <a:schemeClr val="accent1">
                <a:tint val="77000"/>
              </a:schemeClr>
            </a:solidFill>
            <a:ln>
              <a:noFill/>
            </a:ln>
            <a:effectLst/>
          </c:spPr>
          <c:invertIfNegative val="0"/>
          <c:cat>
            <c:strRef>
              <c:f>'Total costs and outcomes'!$C$79:$D$79</c:f>
              <c:strCache>
                <c:ptCount val="2"/>
                <c:pt idx="0">
                  <c:v>Conventional</c:v>
                </c:pt>
                <c:pt idx="1">
                  <c:v>ICP</c:v>
                </c:pt>
              </c:strCache>
            </c:strRef>
          </c:cat>
          <c:val>
            <c:numRef>
              <c:f>'Total costs and outcomes'!$C$81:$D$81</c:f>
              <c:numCache>
                <c:formatCode>_([$THB]\ * #,##0.00_);_([$THB]\ * \(#,##0.00\);_([$THB]\ * "-"??_);_(@_)</c:formatCode>
                <c:ptCount val="2"/>
                <c:pt idx="0">
                  <c:v>17082.301587114034</c:v>
                </c:pt>
                <c:pt idx="1">
                  <c:v>31160.707491636098</c:v>
                </c:pt>
              </c:numCache>
            </c:numRef>
          </c:val>
          <c:extLst>
            <c:ext xmlns:c16="http://schemas.microsoft.com/office/drawing/2014/chart" uri="{C3380CC4-5D6E-409C-BE32-E72D297353CC}">
              <c16:uniqueId val="{00000001-494B-1241-B2AF-E92C06551DC5}"/>
            </c:ext>
          </c:extLst>
        </c:ser>
        <c:ser>
          <c:idx val="2"/>
          <c:order val="2"/>
          <c:tx>
            <c:strRef>
              <c:f>'Total costs and outcomes'!$B$82</c:f>
              <c:strCache>
                <c:ptCount val="1"/>
                <c:pt idx="0">
                  <c:v>4</c:v>
                </c:pt>
              </c:strCache>
            </c:strRef>
          </c:tx>
          <c:spPr>
            <a:solidFill>
              <a:schemeClr val="accent1"/>
            </a:solidFill>
            <a:ln>
              <a:noFill/>
            </a:ln>
            <a:effectLst/>
          </c:spPr>
          <c:invertIfNegative val="0"/>
          <c:cat>
            <c:strRef>
              <c:f>'Total costs and outcomes'!$C$79:$D$79</c:f>
              <c:strCache>
                <c:ptCount val="2"/>
                <c:pt idx="0">
                  <c:v>Conventional</c:v>
                </c:pt>
                <c:pt idx="1">
                  <c:v>ICP</c:v>
                </c:pt>
              </c:strCache>
            </c:strRef>
          </c:cat>
          <c:val>
            <c:numRef>
              <c:f>'Total costs and outcomes'!$C$82:$D$82</c:f>
              <c:numCache>
                <c:formatCode>_([$THB]\ * #,##0.00_);_([$THB]\ * \(#,##0.00\);_([$THB]\ * "-"??_);_(@_)</c:formatCode>
                <c:ptCount val="2"/>
                <c:pt idx="0">
                  <c:v>5798.4960660772967</c:v>
                </c:pt>
                <c:pt idx="1">
                  <c:v>6999.1483171889004</c:v>
                </c:pt>
              </c:numCache>
            </c:numRef>
          </c:val>
          <c:extLst>
            <c:ext xmlns:c16="http://schemas.microsoft.com/office/drawing/2014/chart" uri="{C3380CC4-5D6E-409C-BE32-E72D297353CC}">
              <c16:uniqueId val="{00000002-494B-1241-B2AF-E92C06551DC5}"/>
            </c:ext>
          </c:extLst>
        </c:ser>
        <c:ser>
          <c:idx val="3"/>
          <c:order val="3"/>
          <c:tx>
            <c:strRef>
              <c:f>'Total costs and outcomes'!$B$83</c:f>
              <c:strCache>
                <c:ptCount val="1"/>
                <c:pt idx="0">
                  <c:v>5</c:v>
                </c:pt>
              </c:strCache>
            </c:strRef>
          </c:tx>
          <c:spPr>
            <a:solidFill>
              <a:schemeClr val="accent1">
                <a:shade val="76000"/>
              </a:schemeClr>
            </a:solidFill>
            <a:ln>
              <a:noFill/>
            </a:ln>
            <a:effectLst/>
          </c:spPr>
          <c:invertIfNegative val="0"/>
          <c:cat>
            <c:strRef>
              <c:f>'Total costs and outcomes'!$C$79:$D$79</c:f>
              <c:strCache>
                <c:ptCount val="2"/>
                <c:pt idx="0">
                  <c:v>Conventional</c:v>
                </c:pt>
                <c:pt idx="1">
                  <c:v>ICP</c:v>
                </c:pt>
              </c:strCache>
            </c:strRef>
          </c:cat>
          <c:val>
            <c:numRef>
              <c:f>'Total costs and outcomes'!$C$83:$D$83</c:f>
              <c:numCache>
                <c:formatCode>_([$THB]\ * #,##0.00_);_([$THB]\ * \(#,##0.00\);_([$THB]\ * "-"??_);_(@_)</c:formatCode>
                <c:ptCount val="2"/>
                <c:pt idx="0">
                  <c:v>3729.9544463551529</c:v>
                </c:pt>
                <c:pt idx="1">
                  <c:v>1226.2019472522475</c:v>
                </c:pt>
              </c:numCache>
            </c:numRef>
          </c:val>
          <c:extLst>
            <c:ext xmlns:c16="http://schemas.microsoft.com/office/drawing/2014/chart" uri="{C3380CC4-5D6E-409C-BE32-E72D297353CC}">
              <c16:uniqueId val="{00000003-494B-1241-B2AF-E92C06551DC5}"/>
            </c:ext>
          </c:extLst>
        </c:ser>
        <c:ser>
          <c:idx val="4"/>
          <c:order val="4"/>
          <c:tx>
            <c:strRef>
              <c:f>'Total costs and outcomes'!$B$84</c:f>
              <c:strCache>
                <c:ptCount val="1"/>
                <c:pt idx="0">
                  <c:v>Dialysis</c:v>
                </c:pt>
              </c:strCache>
            </c:strRef>
          </c:tx>
          <c:spPr>
            <a:solidFill>
              <a:schemeClr val="accent1">
                <a:shade val="53000"/>
              </a:schemeClr>
            </a:solidFill>
            <a:ln>
              <a:noFill/>
            </a:ln>
            <a:effectLst/>
          </c:spPr>
          <c:invertIfNegative val="0"/>
          <c:cat>
            <c:strRef>
              <c:f>'Total costs and outcomes'!$C$79:$D$79</c:f>
              <c:strCache>
                <c:ptCount val="2"/>
                <c:pt idx="0">
                  <c:v>Conventional</c:v>
                </c:pt>
                <c:pt idx="1">
                  <c:v>ICP</c:v>
                </c:pt>
              </c:strCache>
            </c:strRef>
          </c:cat>
          <c:val>
            <c:numRef>
              <c:f>'Total costs and outcomes'!$C$84:$D$84</c:f>
              <c:numCache>
                <c:formatCode>_([$THB]\ * #,##0.00_);_([$THB]\ * \(#,##0.00\);_([$THB]\ * "-"??_);_(@_)</c:formatCode>
                <c:ptCount val="2"/>
                <c:pt idx="0">
                  <c:v>45130.062360400974</c:v>
                </c:pt>
                <c:pt idx="1">
                  <c:v>6685.9351645038469</c:v>
                </c:pt>
              </c:numCache>
            </c:numRef>
          </c:val>
          <c:extLst>
            <c:ext xmlns:c16="http://schemas.microsoft.com/office/drawing/2014/chart" uri="{C3380CC4-5D6E-409C-BE32-E72D297353CC}">
              <c16:uniqueId val="{00000004-494B-1241-B2AF-E92C06551DC5}"/>
            </c:ext>
          </c:extLst>
        </c:ser>
        <c:dLbls>
          <c:showLegendKey val="0"/>
          <c:showVal val="0"/>
          <c:showCatName val="0"/>
          <c:showSerName val="0"/>
          <c:showPercent val="0"/>
          <c:showBubbleSize val="0"/>
        </c:dLbls>
        <c:gapWidth val="150"/>
        <c:overlap val="100"/>
        <c:axId val="1657579567"/>
        <c:axId val="1657678959"/>
      </c:barChart>
      <c:catAx>
        <c:axId val="165757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678959"/>
        <c:crosses val="autoZero"/>
        <c:auto val="1"/>
        <c:lblAlgn val="ctr"/>
        <c:lblOffset val="100"/>
        <c:noMultiLvlLbl val="0"/>
      </c:catAx>
      <c:valAx>
        <c:axId val="1657678959"/>
        <c:scaling>
          <c:orientation val="minMax"/>
        </c:scaling>
        <c:delete val="0"/>
        <c:axPos val="l"/>
        <c:majorGridlines>
          <c:spPr>
            <a:ln w="9525" cap="flat" cmpd="sng" algn="ctr">
              <a:solidFill>
                <a:schemeClr val="tx1">
                  <a:lumMod val="15000"/>
                  <a:lumOff val="85000"/>
                </a:schemeClr>
              </a:solidFill>
              <a:round/>
            </a:ln>
            <a:effectLst/>
          </c:spPr>
        </c:majorGridlines>
        <c:numFmt formatCode="_([$THB]\ * #,##0.00_);_([$THB]\ * \(#,##0.00\);_([$THB]\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57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'Total costs and outcomes'!$B$87</c:f>
              <c:strCache>
                <c:ptCount val="1"/>
                <c:pt idx="0">
                  <c:v>3a</c:v>
                </c:pt>
              </c:strCache>
            </c:strRef>
          </c:tx>
          <c:spPr>
            <a:solidFill>
              <a:schemeClr val="accent1">
                <a:tint val="54000"/>
              </a:schemeClr>
            </a:solidFill>
            <a:ln>
              <a:noFill/>
            </a:ln>
            <a:effectLst/>
          </c:spPr>
          <c:invertIfNegative val="0"/>
          <c:cat>
            <c:strRef>
              <c:f>'Total costs and outcomes'!$C$86:$D$86</c:f>
              <c:strCache>
                <c:ptCount val="2"/>
                <c:pt idx="0">
                  <c:v>Conventional</c:v>
                </c:pt>
                <c:pt idx="1">
                  <c:v>ICP</c:v>
                </c:pt>
              </c:strCache>
            </c:strRef>
          </c:cat>
          <c:val>
            <c:numRef>
              <c:f>'Total costs and outcomes'!$C$87:$D$87</c:f>
              <c:numCache>
                <c:formatCode>General</c:formatCode>
                <c:ptCount val="2"/>
                <c:pt idx="0">
                  <c:v>0</c:v>
                </c:pt>
                <c:pt idx="1">
                  <c:v>0</c:v>
                </c:pt>
              </c:numCache>
            </c:numRef>
          </c:val>
          <c:extLst>
            <c:ext xmlns:c16="http://schemas.microsoft.com/office/drawing/2014/chart" uri="{C3380CC4-5D6E-409C-BE32-E72D297353CC}">
              <c16:uniqueId val="{00000000-7A82-C645-8359-F072B1ADFA95}"/>
            </c:ext>
          </c:extLst>
        </c:ser>
        <c:ser>
          <c:idx val="1"/>
          <c:order val="1"/>
          <c:tx>
            <c:strRef>
              <c:f>'Total costs and outcomes'!$B$88</c:f>
              <c:strCache>
                <c:ptCount val="1"/>
                <c:pt idx="0">
                  <c:v>3b</c:v>
                </c:pt>
              </c:strCache>
            </c:strRef>
          </c:tx>
          <c:spPr>
            <a:solidFill>
              <a:schemeClr val="accent1">
                <a:tint val="77000"/>
              </a:schemeClr>
            </a:solidFill>
            <a:ln>
              <a:noFill/>
            </a:ln>
            <a:effectLst/>
          </c:spPr>
          <c:invertIfNegative val="0"/>
          <c:cat>
            <c:strRef>
              <c:f>'Total costs and outcomes'!$C$86:$D$86</c:f>
              <c:strCache>
                <c:ptCount val="2"/>
                <c:pt idx="0">
                  <c:v>Conventional</c:v>
                </c:pt>
                <c:pt idx="1">
                  <c:v>ICP</c:v>
                </c:pt>
              </c:strCache>
            </c:strRef>
          </c:cat>
          <c:val>
            <c:numRef>
              <c:f>'Total costs and outcomes'!$C$88:$D$88</c:f>
              <c:numCache>
                <c:formatCode>General</c:formatCode>
                <c:ptCount val="2"/>
                <c:pt idx="0">
                  <c:v>0</c:v>
                </c:pt>
                <c:pt idx="1">
                  <c:v>0</c:v>
                </c:pt>
              </c:numCache>
            </c:numRef>
          </c:val>
          <c:extLst>
            <c:ext xmlns:c16="http://schemas.microsoft.com/office/drawing/2014/chart" uri="{C3380CC4-5D6E-409C-BE32-E72D297353CC}">
              <c16:uniqueId val="{00000001-7A82-C645-8359-F072B1ADFA95}"/>
            </c:ext>
          </c:extLst>
        </c:ser>
        <c:ser>
          <c:idx val="2"/>
          <c:order val="2"/>
          <c:tx>
            <c:strRef>
              <c:f>'Total costs and outcomes'!$B$89</c:f>
              <c:strCache>
                <c:ptCount val="1"/>
                <c:pt idx="0">
                  <c:v>4</c:v>
                </c:pt>
              </c:strCache>
            </c:strRef>
          </c:tx>
          <c:spPr>
            <a:solidFill>
              <a:schemeClr val="accent1"/>
            </a:solidFill>
            <a:ln>
              <a:noFill/>
            </a:ln>
            <a:effectLst/>
          </c:spPr>
          <c:invertIfNegative val="0"/>
          <c:cat>
            <c:strRef>
              <c:f>'Total costs and outcomes'!$C$86:$D$86</c:f>
              <c:strCache>
                <c:ptCount val="2"/>
                <c:pt idx="0">
                  <c:v>Conventional</c:v>
                </c:pt>
                <c:pt idx="1">
                  <c:v>ICP</c:v>
                </c:pt>
              </c:strCache>
            </c:strRef>
          </c:cat>
          <c:val>
            <c:numRef>
              <c:f>'Total costs and outcomes'!$C$89:$D$89</c:f>
              <c:numCache>
                <c:formatCode>0.0000</c:formatCode>
                <c:ptCount val="2"/>
                <c:pt idx="0">
                  <c:v>1.3018432296251159</c:v>
                </c:pt>
                <c:pt idx="1">
                  <c:v>2.7581393757852983</c:v>
                </c:pt>
              </c:numCache>
            </c:numRef>
          </c:val>
          <c:extLst>
            <c:ext xmlns:c16="http://schemas.microsoft.com/office/drawing/2014/chart" uri="{C3380CC4-5D6E-409C-BE32-E72D297353CC}">
              <c16:uniqueId val="{00000002-7A82-C645-8359-F072B1ADFA95}"/>
            </c:ext>
          </c:extLst>
        </c:ser>
        <c:ser>
          <c:idx val="3"/>
          <c:order val="3"/>
          <c:tx>
            <c:strRef>
              <c:f>'Total costs and outcomes'!$B$90</c:f>
              <c:strCache>
                <c:ptCount val="1"/>
                <c:pt idx="0">
                  <c:v>5</c:v>
                </c:pt>
              </c:strCache>
            </c:strRef>
          </c:tx>
          <c:spPr>
            <a:solidFill>
              <a:schemeClr val="accent1">
                <a:shade val="76000"/>
              </a:schemeClr>
            </a:solidFill>
            <a:ln>
              <a:noFill/>
            </a:ln>
            <a:effectLst/>
          </c:spPr>
          <c:invertIfNegative val="0"/>
          <c:cat>
            <c:strRef>
              <c:f>'Total costs and outcomes'!$C$86:$D$86</c:f>
              <c:strCache>
                <c:ptCount val="2"/>
                <c:pt idx="0">
                  <c:v>Conventional</c:v>
                </c:pt>
                <c:pt idx="1">
                  <c:v>ICP</c:v>
                </c:pt>
              </c:strCache>
            </c:strRef>
          </c:cat>
          <c:val>
            <c:numRef>
              <c:f>'Total costs and outcomes'!$C$90:$D$90</c:f>
              <c:numCache>
                <c:formatCode>0.0000</c:formatCode>
                <c:ptCount val="2"/>
                <c:pt idx="0" formatCode="General">
                  <c:v>1.3730832080725341</c:v>
                </c:pt>
                <c:pt idx="1">
                  <c:v>0.84457927638423225</c:v>
                </c:pt>
              </c:numCache>
            </c:numRef>
          </c:val>
          <c:extLst>
            <c:ext xmlns:c16="http://schemas.microsoft.com/office/drawing/2014/chart" uri="{C3380CC4-5D6E-409C-BE32-E72D297353CC}">
              <c16:uniqueId val="{00000003-7A82-C645-8359-F072B1ADFA95}"/>
            </c:ext>
          </c:extLst>
        </c:ser>
        <c:ser>
          <c:idx val="4"/>
          <c:order val="4"/>
          <c:tx>
            <c:strRef>
              <c:f>'Total costs and outcomes'!$B$91</c:f>
              <c:strCache>
                <c:ptCount val="1"/>
                <c:pt idx="0">
                  <c:v>Dialysis</c:v>
                </c:pt>
              </c:strCache>
            </c:strRef>
          </c:tx>
          <c:spPr>
            <a:solidFill>
              <a:schemeClr val="accent1">
                <a:shade val="53000"/>
              </a:schemeClr>
            </a:solidFill>
            <a:ln>
              <a:noFill/>
            </a:ln>
            <a:effectLst/>
          </c:spPr>
          <c:invertIfNegative val="0"/>
          <c:cat>
            <c:strRef>
              <c:f>'Total costs and outcomes'!$C$86:$D$86</c:f>
              <c:strCache>
                <c:ptCount val="2"/>
                <c:pt idx="0">
                  <c:v>Conventional</c:v>
                </c:pt>
                <c:pt idx="1">
                  <c:v>ICP</c:v>
                </c:pt>
              </c:strCache>
            </c:strRef>
          </c:cat>
          <c:val>
            <c:numRef>
              <c:f>'Total costs and outcomes'!$C$91:$D$91</c:f>
              <c:numCache>
                <c:formatCode>General</c:formatCode>
                <c:ptCount val="2"/>
                <c:pt idx="0">
                  <c:v>1.1153296250093994</c:v>
                </c:pt>
                <c:pt idx="1">
                  <c:v>0.52111407280210154</c:v>
                </c:pt>
              </c:numCache>
            </c:numRef>
          </c:val>
          <c:extLst>
            <c:ext xmlns:c16="http://schemas.microsoft.com/office/drawing/2014/chart" uri="{C3380CC4-5D6E-409C-BE32-E72D297353CC}">
              <c16:uniqueId val="{00000004-7A82-C645-8359-F072B1ADFA95}"/>
            </c:ext>
          </c:extLst>
        </c:ser>
        <c:dLbls>
          <c:showLegendKey val="0"/>
          <c:showVal val="0"/>
          <c:showCatName val="0"/>
          <c:showSerName val="0"/>
          <c:showPercent val="0"/>
          <c:showBubbleSize val="0"/>
        </c:dLbls>
        <c:gapWidth val="150"/>
        <c:overlap val="100"/>
        <c:axId val="434908112"/>
        <c:axId val="497573056"/>
      </c:barChart>
      <c:catAx>
        <c:axId val="43490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73056"/>
        <c:crosses val="autoZero"/>
        <c:auto val="1"/>
        <c:lblAlgn val="ctr"/>
        <c:lblOffset val="100"/>
        <c:noMultiLvlLbl val="0"/>
      </c:catAx>
      <c:valAx>
        <c:axId val="497573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08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'Total costs and outcomes'!$B$95</c:f>
              <c:strCache>
                <c:ptCount val="1"/>
                <c:pt idx="0">
                  <c:v>3a</c:v>
                </c:pt>
              </c:strCache>
            </c:strRef>
          </c:tx>
          <c:spPr>
            <a:solidFill>
              <a:schemeClr val="accent1">
                <a:tint val="54000"/>
              </a:schemeClr>
            </a:solidFill>
            <a:ln>
              <a:noFill/>
            </a:ln>
            <a:effectLst/>
          </c:spPr>
          <c:invertIfNegative val="0"/>
          <c:cat>
            <c:strRef>
              <c:f>'Total costs and outcomes'!$C$94:$D$94</c:f>
              <c:strCache>
                <c:ptCount val="2"/>
                <c:pt idx="0">
                  <c:v>Conventional</c:v>
                </c:pt>
                <c:pt idx="1">
                  <c:v>ICP</c:v>
                </c:pt>
              </c:strCache>
            </c:strRef>
          </c:cat>
          <c:val>
            <c:numRef>
              <c:f>'Total costs and outcomes'!$C$95:$D$95</c:f>
              <c:numCache>
                <c:formatCode>General</c:formatCode>
                <c:ptCount val="2"/>
                <c:pt idx="0">
                  <c:v>0</c:v>
                </c:pt>
                <c:pt idx="1">
                  <c:v>0</c:v>
                </c:pt>
              </c:numCache>
            </c:numRef>
          </c:val>
          <c:extLst>
            <c:ext xmlns:c16="http://schemas.microsoft.com/office/drawing/2014/chart" uri="{C3380CC4-5D6E-409C-BE32-E72D297353CC}">
              <c16:uniqueId val="{00000000-812F-B94F-9C6E-D4229518401D}"/>
            </c:ext>
          </c:extLst>
        </c:ser>
        <c:ser>
          <c:idx val="1"/>
          <c:order val="1"/>
          <c:tx>
            <c:strRef>
              <c:f>'Total costs and outcomes'!$B$96</c:f>
              <c:strCache>
                <c:ptCount val="1"/>
                <c:pt idx="0">
                  <c:v>3b</c:v>
                </c:pt>
              </c:strCache>
            </c:strRef>
          </c:tx>
          <c:spPr>
            <a:solidFill>
              <a:schemeClr val="accent1">
                <a:tint val="77000"/>
              </a:schemeClr>
            </a:solidFill>
            <a:ln>
              <a:noFill/>
            </a:ln>
            <a:effectLst/>
          </c:spPr>
          <c:invertIfNegative val="0"/>
          <c:cat>
            <c:strRef>
              <c:f>'Total costs and outcomes'!$C$94:$D$94</c:f>
              <c:strCache>
                <c:ptCount val="2"/>
                <c:pt idx="0">
                  <c:v>Conventional</c:v>
                </c:pt>
                <c:pt idx="1">
                  <c:v>ICP</c:v>
                </c:pt>
              </c:strCache>
            </c:strRef>
          </c:cat>
          <c:val>
            <c:numRef>
              <c:f>'Total costs and outcomes'!$C$96:$D$96</c:f>
              <c:numCache>
                <c:formatCode>General</c:formatCode>
                <c:ptCount val="2"/>
                <c:pt idx="0">
                  <c:v>0</c:v>
                </c:pt>
                <c:pt idx="1">
                  <c:v>0</c:v>
                </c:pt>
              </c:numCache>
            </c:numRef>
          </c:val>
          <c:extLst>
            <c:ext xmlns:c16="http://schemas.microsoft.com/office/drawing/2014/chart" uri="{C3380CC4-5D6E-409C-BE32-E72D297353CC}">
              <c16:uniqueId val="{00000001-812F-B94F-9C6E-D4229518401D}"/>
            </c:ext>
          </c:extLst>
        </c:ser>
        <c:ser>
          <c:idx val="2"/>
          <c:order val="2"/>
          <c:tx>
            <c:strRef>
              <c:f>'Total costs and outcomes'!$B$97</c:f>
              <c:strCache>
                <c:ptCount val="1"/>
                <c:pt idx="0">
                  <c:v>4</c:v>
                </c:pt>
              </c:strCache>
            </c:strRef>
          </c:tx>
          <c:spPr>
            <a:solidFill>
              <a:schemeClr val="accent1"/>
            </a:solidFill>
            <a:ln>
              <a:noFill/>
            </a:ln>
            <a:effectLst/>
          </c:spPr>
          <c:invertIfNegative val="0"/>
          <c:cat>
            <c:strRef>
              <c:f>'Total costs and outcomes'!$C$94:$D$94</c:f>
              <c:strCache>
                <c:ptCount val="2"/>
                <c:pt idx="0">
                  <c:v>Conventional</c:v>
                </c:pt>
                <c:pt idx="1">
                  <c:v>ICP</c:v>
                </c:pt>
              </c:strCache>
            </c:strRef>
          </c:cat>
          <c:val>
            <c:numRef>
              <c:f>'Total costs and outcomes'!$C$97:$D$97</c:f>
              <c:numCache>
                <c:formatCode>[$THB]\ #,##0</c:formatCode>
                <c:ptCount val="2"/>
                <c:pt idx="0">
                  <c:v>9350.9734990109646</c:v>
                </c:pt>
                <c:pt idx="1">
                  <c:v>25911.346253744417</c:v>
                </c:pt>
              </c:numCache>
            </c:numRef>
          </c:val>
          <c:extLst>
            <c:ext xmlns:c16="http://schemas.microsoft.com/office/drawing/2014/chart" uri="{C3380CC4-5D6E-409C-BE32-E72D297353CC}">
              <c16:uniqueId val="{00000002-812F-B94F-9C6E-D4229518401D}"/>
            </c:ext>
          </c:extLst>
        </c:ser>
        <c:ser>
          <c:idx val="3"/>
          <c:order val="3"/>
          <c:tx>
            <c:strRef>
              <c:f>'Total costs and outcomes'!$B$98</c:f>
              <c:strCache>
                <c:ptCount val="1"/>
                <c:pt idx="0">
                  <c:v>5</c:v>
                </c:pt>
              </c:strCache>
            </c:strRef>
          </c:tx>
          <c:spPr>
            <a:solidFill>
              <a:schemeClr val="accent1">
                <a:shade val="76000"/>
              </a:schemeClr>
            </a:solidFill>
            <a:ln>
              <a:noFill/>
            </a:ln>
            <a:effectLst/>
          </c:spPr>
          <c:invertIfNegative val="0"/>
          <c:cat>
            <c:strRef>
              <c:f>'Total costs and outcomes'!$C$94:$D$94</c:f>
              <c:strCache>
                <c:ptCount val="2"/>
                <c:pt idx="0">
                  <c:v>Conventional</c:v>
                </c:pt>
                <c:pt idx="1">
                  <c:v>ICP</c:v>
                </c:pt>
              </c:strCache>
            </c:strRef>
          </c:cat>
          <c:val>
            <c:numRef>
              <c:f>'Total costs and outcomes'!$C$98:$D$98</c:f>
              <c:numCache>
                <c:formatCode>[$THB]\ #,##0</c:formatCode>
                <c:ptCount val="2"/>
                <c:pt idx="0">
                  <c:v>7106.0137187909322</c:v>
                </c:pt>
                <c:pt idx="1">
                  <c:v>5964.2245754128071</c:v>
                </c:pt>
              </c:numCache>
            </c:numRef>
          </c:val>
          <c:extLst>
            <c:ext xmlns:c16="http://schemas.microsoft.com/office/drawing/2014/chart" uri="{C3380CC4-5D6E-409C-BE32-E72D297353CC}">
              <c16:uniqueId val="{00000003-812F-B94F-9C6E-D4229518401D}"/>
            </c:ext>
          </c:extLst>
        </c:ser>
        <c:ser>
          <c:idx val="4"/>
          <c:order val="4"/>
          <c:tx>
            <c:strRef>
              <c:f>'Total costs and outcomes'!$B$99</c:f>
              <c:strCache>
                <c:ptCount val="1"/>
                <c:pt idx="0">
                  <c:v>Dialysis</c:v>
                </c:pt>
              </c:strCache>
            </c:strRef>
          </c:tx>
          <c:spPr>
            <a:solidFill>
              <a:schemeClr val="accent1">
                <a:shade val="53000"/>
              </a:schemeClr>
            </a:solidFill>
            <a:ln>
              <a:noFill/>
            </a:ln>
            <a:effectLst/>
          </c:spPr>
          <c:invertIfNegative val="0"/>
          <c:cat>
            <c:strRef>
              <c:f>'Total costs and outcomes'!$C$94:$D$94</c:f>
              <c:strCache>
                <c:ptCount val="2"/>
                <c:pt idx="0">
                  <c:v>Conventional</c:v>
                </c:pt>
                <c:pt idx="1">
                  <c:v>ICP</c:v>
                </c:pt>
              </c:strCache>
            </c:strRef>
          </c:cat>
          <c:val>
            <c:numRef>
              <c:f>'Total costs and outcomes'!$C$99:$D$99</c:f>
              <c:numCache>
                <c:formatCode>[$THB]\ #,##0</c:formatCode>
                <c:ptCount val="2"/>
                <c:pt idx="0">
                  <c:v>330021.19915042806</c:v>
                </c:pt>
                <c:pt idx="1">
                  <c:v>133407.83945923945</c:v>
                </c:pt>
              </c:numCache>
            </c:numRef>
          </c:val>
          <c:extLst>
            <c:ext xmlns:c16="http://schemas.microsoft.com/office/drawing/2014/chart" uri="{C3380CC4-5D6E-409C-BE32-E72D297353CC}">
              <c16:uniqueId val="{00000004-812F-B94F-9C6E-D4229518401D}"/>
            </c:ext>
          </c:extLst>
        </c:ser>
        <c:dLbls>
          <c:showLegendKey val="0"/>
          <c:showVal val="0"/>
          <c:showCatName val="0"/>
          <c:showSerName val="0"/>
          <c:showPercent val="0"/>
          <c:showBubbleSize val="0"/>
        </c:dLbls>
        <c:gapWidth val="150"/>
        <c:overlap val="100"/>
        <c:axId val="434782384"/>
        <c:axId val="497527472"/>
      </c:barChart>
      <c:catAx>
        <c:axId val="4347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27472"/>
        <c:crosses val="autoZero"/>
        <c:auto val="1"/>
        <c:lblAlgn val="ctr"/>
        <c:lblOffset val="100"/>
        <c:noMultiLvlLbl val="0"/>
      </c:catAx>
      <c:valAx>
        <c:axId val="49752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782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CKD stage 3a to being treatment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'Scenario analysis'!$C$2</c:f>
              <c:strCache>
                <c:ptCount val="1"/>
                <c:pt idx="0">
                  <c:v>NMB of intervention group</c:v>
                </c:pt>
              </c:strCache>
            </c:strRef>
          </c:tx>
          <c:spPr>
            <a:solidFill>
              <a:schemeClr val="accent1"/>
            </a:solidFill>
            <a:ln>
              <a:noFill/>
            </a:ln>
            <a:effectLst/>
          </c:spPr>
          <c:invertIfNegative val="0"/>
          <c:cat>
            <c:numRef>
              <c:f>('Scenario analysis'!$A$3,'Scenario analysis'!$A$5,'Scenario analysis'!$A$7,'Scenario analysis'!$A$9,'Scenario analysis'!$A$11)</c:f>
              <c:numCache>
                <c:formatCode>General</c:formatCode>
                <c:ptCount val="5"/>
                <c:pt idx="0">
                  <c:v>42</c:v>
                </c:pt>
                <c:pt idx="1">
                  <c:v>50</c:v>
                </c:pt>
                <c:pt idx="2">
                  <c:v>60</c:v>
                </c:pt>
                <c:pt idx="3">
                  <c:v>70</c:v>
                </c:pt>
                <c:pt idx="4">
                  <c:v>80</c:v>
                </c:pt>
              </c:numCache>
            </c:numRef>
          </c:cat>
          <c:val>
            <c:numRef>
              <c:f>('Scenario analysis'!$C$3,'Scenario analysis'!$C$5,'Scenario analysis'!$C$7,'Scenario analysis'!$C$9,'Scenario analysis'!$C$11)</c:f>
              <c:numCache>
                <c:formatCode>0</c:formatCode>
                <c:ptCount val="5"/>
                <c:pt idx="0">
                  <c:v>976100.77844458329</c:v>
                </c:pt>
                <c:pt idx="1">
                  <c:v>1219301.2866536235</c:v>
                </c:pt>
                <c:pt idx="2">
                  <c:v>1354636.6297126571</c:v>
                </c:pt>
                <c:pt idx="3">
                  <c:v>1180836.2701205858</c:v>
                </c:pt>
                <c:pt idx="4">
                  <c:v>563118.43340939051</c:v>
                </c:pt>
              </c:numCache>
            </c:numRef>
          </c:val>
          <c:extLst>
            <c:ext xmlns:c16="http://schemas.microsoft.com/office/drawing/2014/chart" uri="{C3380CC4-5D6E-409C-BE32-E72D297353CC}">
              <c16:uniqueId val="{00000000-3411-4843-A20A-E04EB06D35F1}"/>
            </c:ext>
          </c:extLst>
        </c:ser>
        <c:ser>
          <c:idx val="1"/>
          <c:order val="1"/>
          <c:tx>
            <c:strRef>
              <c:f>'Scenario analysis'!$D$2</c:f>
              <c:strCache>
                <c:ptCount val="1"/>
                <c:pt idx="0">
                  <c:v>NMB of the control group</c:v>
                </c:pt>
              </c:strCache>
            </c:strRef>
          </c:tx>
          <c:spPr>
            <a:solidFill>
              <a:schemeClr val="accent2"/>
            </a:solidFill>
            <a:ln>
              <a:noFill/>
            </a:ln>
            <a:effectLst/>
          </c:spPr>
          <c:invertIfNegative val="0"/>
          <c:cat>
            <c:numRef>
              <c:f>('Scenario analysis'!$A$3,'Scenario analysis'!$A$5,'Scenario analysis'!$A$7,'Scenario analysis'!$A$9,'Scenario analysis'!$A$11)</c:f>
              <c:numCache>
                <c:formatCode>General</c:formatCode>
                <c:ptCount val="5"/>
                <c:pt idx="0">
                  <c:v>42</c:v>
                </c:pt>
                <c:pt idx="1">
                  <c:v>50</c:v>
                </c:pt>
                <c:pt idx="2">
                  <c:v>60</c:v>
                </c:pt>
                <c:pt idx="3">
                  <c:v>70</c:v>
                </c:pt>
                <c:pt idx="4">
                  <c:v>80</c:v>
                </c:pt>
              </c:numCache>
            </c:numRef>
          </c:cat>
          <c:val>
            <c:numRef>
              <c:f>('Scenario analysis'!$D$3,'Scenario analysis'!$D$5,'Scenario analysis'!$D$7,'Scenario analysis'!$D$9,'Scenario analysis'!$D$11)</c:f>
              <c:numCache>
                <c:formatCode>0</c:formatCode>
                <c:ptCount val="5"/>
                <c:pt idx="0">
                  <c:v>171633.62086029164</c:v>
                </c:pt>
                <c:pt idx="1">
                  <c:v>534501.42065918352</c:v>
                </c:pt>
                <c:pt idx="2">
                  <c:v>871949.87395109027</c:v>
                </c:pt>
                <c:pt idx="3">
                  <c:v>977338.88399120537</c:v>
                </c:pt>
                <c:pt idx="4">
                  <c:v>572500.62947395595</c:v>
                </c:pt>
              </c:numCache>
            </c:numRef>
          </c:val>
          <c:extLst>
            <c:ext xmlns:c16="http://schemas.microsoft.com/office/drawing/2014/chart" uri="{C3380CC4-5D6E-409C-BE32-E72D297353CC}">
              <c16:uniqueId val="{00000002-3411-4843-A20A-E04EB06D35F1}"/>
            </c:ext>
          </c:extLst>
        </c:ser>
        <c:dLbls>
          <c:showLegendKey val="0"/>
          <c:showVal val="0"/>
          <c:showCatName val="0"/>
          <c:showSerName val="0"/>
          <c:showPercent val="0"/>
          <c:showBubbleSize val="0"/>
        </c:dLbls>
        <c:gapWidth val="219"/>
        <c:axId val="1519913087"/>
        <c:axId val="1511245599"/>
      </c:barChart>
      <c:lineChart>
        <c:grouping val="standard"/>
        <c:varyColors val="0"/>
        <c:ser>
          <c:idx val="2"/>
          <c:order val="2"/>
          <c:tx>
            <c:v>ICER</c:v>
          </c:tx>
          <c:spPr>
            <a:ln w="28575" cap="rnd">
              <a:solidFill>
                <a:schemeClr val="accent3"/>
              </a:solidFill>
              <a:round/>
            </a:ln>
            <a:effectLst/>
          </c:spPr>
          <c:marker>
            <c:symbol val="none"/>
          </c:marker>
          <c:cat>
            <c:numRef>
              <c:f>('Scenario analysis'!$A$3,'Scenario analysis'!$A$5,'Scenario analysis'!$A$7,'Scenario analysis'!$A$9,'Scenario analysis'!$A$11)</c:f>
              <c:numCache>
                <c:formatCode>General</c:formatCode>
                <c:ptCount val="5"/>
                <c:pt idx="0">
                  <c:v>42</c:v>
                </c:pt>
                <c:pt idx="1">
                  <c:v>50</c:v>
                </c:pt>
                <c:pt idx="2">
                  <c:v>60</c:v>
                </c:pt>
                <c:pt idx="3">
                  <c:v>70</c:v>
                </c:pt>
                <c:pt idx="4">
                  <c:v>80</c:v>
                </c:pt>
              </c:numCache>
            </c:numRef>
          </c:cat>
          <c:val>
            <c:numRef>
              <c:f>('Scenario analysis'!$E$3,'Scenario analysis'!$E$5,'Scenario analysis'!$E$7,'Scenario analysis'!$E$9,'Scenario analysis'!$E$11)</c:f>
              <c:numCache>
                <c:formatCode>0</c:formatCode>
                <c:ptCount val="5"/>
                <c:pt idx="0">
                  <c:v>-277954.58757129993</c:v>
                </c:pt>
                <c:pt idx="1">
                  <c:v>-266397.82188643882</c:v>
                </c:pt>
                <c:pt idx="2">
                  <c:v>-266544.74839136755</c:v>
                </c:pt>
                <c:pt idx="3">
                  <c:v>-271288.59653944609</c:v>
                </c:pt>
                <c:pt idx="4">
                  <c:v>1621056.5669944684</c:v>
                </c:pt>
              </c:numCache>
            </c:numRef>
          </c:val>
          <c:smooth val="0"/>
          <c:extLst>
            <c:ext xmlns:c16="http://schemas.microsoft.com/office/drawing/2014/chart" uri="{C3380CC4-5D6E-409C-BE32-E72D297353CC}">
              <c16:uniqueId val="{00000006-3411-4843-A20A-E04EB06D35F1}"/>
            </c:ext>
          </c:extLst>
        </c:ser>
        <c:dLbls>
          <c:showLegendKey val="0"/>
          <c:showVal val="0"/>
          <c:showCatName val="0"/>
          <c:showSerName val="0"/>
          <c:showPercent val="0"/>
          <c:showBubbleSize val="0"/>
        </c:dLbls>
        <c:marker val="1"/>
        <c:smooth val="0"/>
        <c:axId val="1516567599"/>
        <c:axId val="1516700591"/>
      </c:lineChart>
      <c:catAx>
        <c:axId val="1519913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a:t>
                </a:r>
                <a:r>
                  <a:rPr lang="en-GB" baseline="0"/>
                  <a:t> (years) to begin treatment</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245599"/>
        <c:crosses val="autoZero"/>
        <c:auto val="1"/>
        <c:lblAlgn val="ctr"/>
        <c:lblOffset val="100"/>
        <c:noMultiLvlLbl val="0"/>
      </c:catAx>
      <c:valAx>
        <c:axId val="1511245599"/>
        <c:scaling>
          <c:orientation val="minMax"/>
          <c:max val="1400000"/>
          <c:min val="-2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Net monetary benefit (THB)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913087"/>
        <c:crosses val="autoZero"/>
        <c:crossBetween val="between"/>
      </c:valAx>
      <c:valAx>
        <c:axId val="1516700591"/>
        <c:scaling>
          <c:orientation val="minMax"/>
          <c:max val="14000000"/>
          <c:min val="-200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 cost-effectiveness ratio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6567599"/>
        <c:crosses val="max"/>
        <c:crossBetween val="between"/>
      </c:valAx>
      <c:catAx>
        <c:axId val="1516567599"/>
        <c:scaling>
          <c:orientation val="minMax"/>
        </c:scaling>
        <c:delete val="1"/>
        <c:axPos val="b"/>
        <c:numFmt formatCode="General" sourceLinked="1"/>
        <c:majorTickMark val="out"/>
        <c:minorTickMark val="none"/>
        <c:tickLblPos val="nextTo"/>
        <c:crossAx val="151670059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CKD stage 3b to being treatment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'Scenario analysis'!$C$2</c:f>
              <c:strCache>
                <c:ptCount val="1"/>
                <c:pt idx="0">
                  <c:v>NMB of intervention group</c:v>
                </c:pt>
              </c:strCache>
            </c:strRef>
          </c:tx>
          <c:spPr>
            <a:solidFill>
              <a:schemeClr val="accent1"/>
            </a:solidFill>
            <a:ln>
              <a:noFill/>
            </a:ln>
            <a:effectLst/>
          </c:spPr>
          <c:invertIfNegative val="0"/>
          <c:cat>
            <c:numRef>
              <c:f>('Scenario analysis'!$A$3,'Scenario analysis'!$A$5,'Scenario analysis'!$A$7,'Scenario analysis'!$A$9,'Scenario analysis'!$A$11)</c:f>
              <c:numCache>
                <c:formatCode>General</c:formatCode>
                <c:ptCount val="5"/>
                <c:pt idx="0">
                  <c:v>42</c:v>
                </c:pt>
                <c:pt idx="1">
                  <c:v>50</c:v>
                </c:pt>
                <c:pt idx="2">
                  <c:v>60</c:v>
                </c:pt>
                <c:pt idx="3">
                  <c:v>70</c:v>
                </c:pt>
                <c:pt idx="4">
                  <c:v>80</c:v>
                </c:pt>
              </c:numCache>
            </c:numRef>
          </c:cat>
          <c:val>
            <c:numRef>
              <c:f>('Scenario analysis'!$C$4,'Scenario analysis'!$C$6,'Scenario analysis'!$C$8,'Scenario analysis'!$C$10,'Scenario analysis'!$C$12)</c:f>
              <c:numCache>
                <c:formatCode>0</c:formatCode>
                <c:ptCount val="5"/>
                <c:pt idx="0">
                  <c:v>-745835.32873798814</c:v>
                </c:pt>
                <c:pt idx="1">
                  <c:v>-265533.68845617888</c:v>
                </c:pt>
                <c:pt idx="2">
                  <c:v>268056.06137643452</c:v>
                </c:pt>
                <c:pt idx="3">
                  <c:v>652131.39270920097</c:v>
                </c:pt>
                <c:pt idx="4">
                  <c:v>547640.57503581792</c:v>
                </c:pt>
              </c:numCache>
            </c:numRef>
          </c:val>
          <c:extLst>
            <c:ext xmlns:c16="http://schemas.microsoft.com/office/drawing/2014/chart" uri="{C3380CC4-5D6E-409C-BE32-E72D297353CC}">
              <c16:uniqueId val="{00000000-8068-0D44-BF11-D43BBAA72B54}"/>
            </c:ext>
          </c:extLst>
        </c:ser>
        <c:ser>
          <c:idx val="1"/>
          <c:order val="1"/>
          <c:tx>
            <c:strRef>
              <c:f>'Scenario analysis'!$D$2</c:f>
              <c:strCache>
                <c:ptCount val="1"/>
                <c:pt idx="0">
                  <c:v>NMB of the control group</c:v>
                </c:pt>
              </c:strCache>
            </c:strRef>
          </c:tx>
          <c:spPr>
            <a:solidFill>
              <a:schemeClr val="accent2"/>
            </a:solidFill>
            <a:ln>
              <a:noFill/>
            </a:ln>
            <a:effectLst/>
          </c:spPr>
          <c:invertIfNegative val="0"/>
          <c:cat>
            <c:numRef>
              <c:f>('Scenario analysis'!$A$3,'Scenario analysis'!$A$5,'Scenario analysis'!$A$7,'Scenario analysis'!$A$9,'Scenario analysis'!$A$11)</c:f>
              <c:numCache>
                <c:formatCode>General</c:formatCode>
                <c:ptCount val="5"/>
                <c:pt idx="0">
                  <c:v>42</c:v>
                </c:pt>
                <c:pt idx="1">
                  <c:v>50</c:v>
                </c:pt>
                <c:pt idx="2">
                  <c:v>60</c:v>
                </c:pt>
                <c:pt idx="3">
                  <c:v>70</c:v>
                </c:pt>
                <c:pt idx="4">
                  <c:v>80</c:v>
                </c:pt>
              </c:numCache>
            </c:numRef>
          </c:cat>
          <c:val>
            <c:numRef>
              <c:f>('Scenario analysis'!$D$4,'Scenario analysis'!$D$6,'Scenario analysis'!$D$8,'Scenario analysis'!$D$10,'Scenario analysis'!$D$12)</c:f>
              <c:numCache>
                <c:formatCode>0</c:formatCode>
                <c:ptCount val="5"/>
                <c:pt idx="0">
                  <c:v>-2030403.4250408157</c:v>
                </c:pt>
                <c:pt idx="1">
                  <c:v>-1456856.7162520646</c:v>
                </c:pt>
                <c:pt idx="2">
                  <c:v>-782605.92016540584</c:v>
                </c:pt>
                <c:pt idx="3">
                  <c:v>-132628.49706509057</c:v>
                </c:pt>
                <c:pt idx="4">
                  <c:v>487942.42568568821</c:v>
                </c:pt>
              </c:numCache>
            </c:numRef>
          </c:val>
          <c:extLst>
            <c:ext xmlns:c16="http://schemas.microsoft.com/office/drawing/2014/chart" uri="{C3380CC4-5D6E-409C-BE32-E72D297353CC}">
              <c16:uniqueId val="{00000001-8068-0D44-BF11-D43BBAA72B54}"/>
            </c:ext>
          </c:extLst>
        </c:ser>
        <c:dLbls>
          <c:showLegendKey val="0"/>
          <c:showVal val="0"/>
          <c:showCatName val="0"/>
          <c:showSerName val="0"/>
          <c:showPercent val="0"/>
          <c:showBubbleSize val="0"/>
        </c:dLbls>
        <c:gapWidth val="219"/>
        <c:axId val="1519913087"/>
        <c:axId val="1511245599"/>
      </c:barChart>
      <c:lineChart>
        <c:grouping val="standard"/>
        <c:varyColors val="0"/>
        <c:ser>
          <c:idx val="2"/>
          <c:order val="2"/>
          <c:tx>
            <c:v>ICER</c:v>
          </c:tx>
          <c:spPr>
            <a:ln w="28575" cap="rnd">
              <a:solidFill>
                <a:schemeClr val="accent3"/>
              </a:solidFill>
              <a:round/>
            </a:ln>
            <a:effectLst/>
          </c:spPr>
          <c:marker>
            <c:symbol val="none"/>
          </c:marker>
          <c:cat>
            <c:numRef>
              <c:f>('Scenario analysis'!$A$3,'Scenario analysis'!$A$5,'Scenario analysis'!$A$7,'Scenario analysis'!$A$9,'Scenario analysis'!$A$11)</c:f>
              <c:numCache>
                <c:formatCode>General</c:formatCode>
                <c:ptCount val="5"/>
                <c:pt idx="0">
                  <c:v>42</c:v>
                </c:pt>
                <c:pt idx="1">
                  <c:v>50</c:v>
                </c:pt>
                <c:pt idx="2">
                  <c:v>60</c:v>
                </c:pt>
                <c:pt idx="3">
                  <c:v>70</c:v>
                </c:pt>
                <c:pt idx="4">
                  <c:v>80</c:v>
                </c:pt>
              </c:numCache>
            </c:numRef>
          </c:cat>
          <c:val>
            <c:numRef>
              <c:f>('Scenario analysis'!$E$4,'Scenario analysis'!$E$6,'Scenario analysis'!$E$8,'Scenario analysis'!$E$10,'Scenario analysis'!$E$12)</c:f>
              <c:numCache>
                <c:formatCode>0</c:formatCode>
                <c:ptCount val="5"/>
                <c:pt idx="0">
                  <c:v>-262873.25330633338</c:v>
                </c:pt>
                <c:pt idx="1">
                  <c:v>-245670.79775521171</c:v>
                </c:pt>
                <c:pt idx="2">
                  <c:v>-244451.95153976863</c:v>
                </c:pt>
                <c:pt idx="3">
                  <c:v>-281395.30984624941</c:v>
                </c:pt>
                <c:pt idx="4">
                  <c:v>-120690.34889956245</c:v>
                </c:pt>
              </c:numCache>
            </c:numRef>
          </c:val>
          <c:smooth val="0"/>
          <c:extLst>
            <c:ext xmlns:c16="http://schemas.microsoft.com/office/drawing/2014/chart" uri="{C3380CC4-5D6E-409C-BE32-E72D297353CC}">
              <c16:uniqueId val="{00000002-8068-0D44-BF11-D43BBAA72B54}"/>
            </c:ext>
          </c:extLst>
        </c:ser>
        <c:dLbls>
          <c:showLegendKey val="0"/>
          <c:showVal val="0"/>
          <c:showCatName val="0"/>
          <c:showSerName val="0"/>
          <c:showPercent val="0"/>
          <c:showBubbleSize val="0"/>
        </c:dLbls>
        <c:marker val="1"/>
        <c:smooth val="0"/>
        <c:axId val="1516567599"/>
        <c:axId val="1516700591"/>
      </c:lineChart>
      <c:catAx>
        <c:axId val="1519913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a:t>
                </a:r>
                <a:r>
                  <a:rPr lang="en-GB" baseline="0"/>
                  <a:t> (years) to begin treatment</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245599"/>
        <c:crosses val="autoZero"/>
        <c:auto val="1"/>
        <c:lblAlgn val="ctr"/>
        <c:lblOffset val="100"/>
        <c:noMultiLvlLbl val="0"/>
      </c:catAx>
      <c:valAx>
        <c:axId val="1511245599"/>
        <c:scaling>
          <c:orientation val="minMax"/>
          <c:min val="-3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Net monetary benefit (THB)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913087"/>
        <c:crosses val="autoZero"/>
        <c:crossBetween val="between"/>
      </c:valAx>
      <c:valAx>
        <c:axId val="1516700591"/>
        <c:scaling>
          <c:orientation val="minMax"/>
          <c:max val="1000000"/>
          <c:min val="-300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 cost-effectiveness ratio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6567599"/>
        <c:crosses val="max"/>
        <c:crossBetween val="between"/>
      </c:valAx>
      <c:catAx>
        <c:axId val="1516567599"/>
        <c:scaling>
          <c:orientation val="minMax"/>
        </c:scaling>
        <c:delete val="1"/>
        <c:axPos val="b"/>
        <c:numFmt formatCode="General" sourceLinked="1"/>
        <c:majorTickMark val="out"/>
        <c:minorTickMark val="none"/>
        <c:tickLblPos val="nextTo"/>
        <c:crossAx val="151670059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CKD stage 4 to being treatment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'Scenario analysis'!$C$2</c:f>
              <c:strCache>
                <c:ptCount val="1"/>
                <c:pt idx="0">
                  <c:v>NMB of intervention group</c:v>
                </c:pt>
              </c:strCache>
            </c:strRef>
          </c:tx>
          <c:spPr>
            <a:solidFill>
              <a:schemeClr val="accent1"/>
            </a:solidFill>
            <a:ln>
              <a:noFill/>
            </a:ln>
            <a:effectLst/>
          </c:spPr>
          <c:invertIfNegative val="0"/>
          <c:cat>
            <c:numRef>
              <c:f>'Scenario analysis'!$A$14:$A$18</c:f>
              <c:numCache>
                <c:formatCode>General</c:formatCode>
                <c:ptCount val="5"/>
                <c:pt idx="0">
                  <c:v>42</c:v>
                </c:pt>
                <c:pt idx="1">
                  <c:v>50</c:v>
                </c:pt>
                <c:pt idx="2">
                  <c:v>60</c:v>
                </c:pt>
                <c:pt idx="3">
                  <c:v>70</c:v>
                </c:pt>
                <c:pt idx="4">
                  <c:v>80</c:v>
                </c:pt>
              </c:numCache>
            </c:numRef>
          </c:cat>
          <c:val>
            <c:numRef>
              <c:f>'Scenario analysis'!$C$14:$C$18</c:f>
              <c:numCache>
                <c:formatCode>0</c:formatCode>
                <c:ptCount val="5"/>
                <c:pt idx="0">
                  <c:v>-2176135.7652709</c:v>
                </c:pt>
                <c:pt idx="1">
                  <c:v>-1596765.3595245318</c:v>
                </c:pt>
                <c:pt idx="2">
                  <c:v>-918141.85687155707</c:v>
                </c:pt>
                <c:pt idx="3">
                  <c:v>-271165.86238418997</c:v>
                </c:pt>
                <c:pt idx="4">
                  <c:v>354685.19000821636</c:v>
                </c:pt>
              </c:numCache>
            </c:numRef>
          </c:val>
          <c:extLst>
            <c:ext xmlns:c16="http://schemas.microsoft.com/office/drawing/2014/chart" uri="{C3380CC4-5D6E-409C-BE32-E72D297353CC}">
              <c16:uniqueId val="{00000000-61DF-0D4B-997D-3A7377426C7E}"/>
            </c:ext>
          </c:extLst>
        </c:ser>
        <c:ser>
          <c:idx val="1"/>
          <c:order val="1"/>
          <c:tx>
            <c:strRef>
              <c:f>'Scenario analysis'!$D$2</c:f>
              <c:strCache>
                <c:ptCount val="1"/>
                <c:pt idx="0">
                  <c:v>NMB of the control group</c:v>
                </c:pt>
              </c:strCache>
            </c:strRef>
          </c:tx>
          <c:spPr>
            <a:solidFill>
              <a:schemeClr val="accent2"/>
            </a:solidFill>
            <a:ln>
              <a:noFill/>
            </a:ln>
            <a:effectLst/>
          </c:spPr>
          <c:invertIfNegative val="0"/>
          <c:cat>
            <c:numRef>
              <c:f>'Scenario analysis'!$A$14:$A$18</c:f>
              <c:numCache>
                <c:formatCode>General</c:formatCode>
                <c:ptCount val="5"/>
                <c:pt idx="0">
                  <c:v>42</c:v>
                </c:pt>
                <c:pt idx="1">
                  <c:v>50</c:v>
                </c:pt>
                <c:pt idx="2">
                  <c:v>60</c:v>
                </c:pt>
                <c:pt idx="3">
                  <c:v>70</c:v>
                </c:pt>
                <c:pt idx="4">
                  <c:v>80</c:v>
                </c:pt>
              </c:numCache>
            </c:numRef>
          </c:cat>
          <c:val>
            <c:numRef>
              <c:f>'Scenario analysis'!$D$14:$D$18</c:f>
              <c:numCache>
                <c:formatCode>0</c:formatCode>
                <c:ptCount val="5"/>
                <c:pt idx="0">
                  <c:v>-2819561.5637825881</c:v>
                </c:pt>
                <c:pt idx="1">
                  <c:v>-2205181.7166922176</c:v>
                </c:pt>
                <c:pt idx="2">
                  <c:v>-1489059.4673833137</c:v>
                </c:pt>
                <c:pt idx="3">
                  <c:v>-799257.22701497015</c:v>
                </c:pt>
                <c:pt idx="4">
                  <c:v>82139.780177015986</c:v>
                </c:pt>
              </c:numCache>
            </c:numRef>
          </c:val>
          <c:extLst>
            <c:ext xmlns:c16="http://schemas.microsoft.com/office/drawing/2014/chart" uri="{C3380CC4-5D6E-409C-BE32-E72D297353CC}">
              <c16:uniqueId val="{00000001-61DF-0D4B-997D-3A7377426C7E}"/>
            </c:ext>
          </c:extLst>
        </c:ser>
        <c:dLbls>
          <c:showLegendKey val="0"/>
          <c:showVal val="0"/>
          <c:showCatName val="0"/>
          <c:showSerName val="0"/>
          <c:showPercent val="0"/>
          <c:showBubbleSize val="0"/>
        </c:dLbls>
        <c:gapWidth val="150"/>
        <c:axId val="414938960"/>
        <c:axId val="414929152"/>
      </c:barChart>
      <c:lineChart>
        <c:grouping val="standard"/>
        <c:varyColors val="0"/>
        <c:ser>
          <c:idx val="3"/>
          <c:order val="2"/>
          <c:tx>
            <c:strRef>
              <c:f>'Scenario analysis'!$E$2</c:f>
              <c:strCache>
                <c:ptCount val="1"/>
                <c:pt idx="0">
                  <c:v>ICER</c:v>
                </c:pt>
              </c:strCache>
            </c:strRef>
          </c:tx>
          <c:spPr>
            <a:ln w="28575" cap="rnd">
              <a:solidFill>
                <a:schemeClr val="bg2">
                  <a:lumMod val="75000"/>
                </a:schemeClr>
              </a:solidFill>
              <a:round/>
            </a:ln>
            <a:effectLst/>
          </c:spPr>
          <c:marker>
            <c:symbol val="none"/>
          </c:marker>
          <c:cat>
            <c:numRef>
              <c:f>'Scenario analysis'!$A$14:$A$18</c:f>
              <c:numCache>
                <c:formatCode>General</c:formatCode>
                <c:ptCount val="5"/>
                <c:pt idx="0">
                  <c:v>42</c:v>
                </c:pt>
                <c:pt idx="1">
                  <c:v>50</c:v>
                </c:pt>
                <c:pt idx="2">
                  <c:v>60</c:v>
                </c:pt>
                <c:pt idx="3">
                  <c:v>70</c:v>
                </c:pt>
                <c:pt idx="4">
                  <c:v>80</c:v>
                </c:pt>
              </c:numCache>
            </c:numRef>
          </c:cat>
          <c:val>
            <c:numRef>
              <c:f>'Scenario analysis'!$E$14:$E$18</c:f>
              <c:numCache>
                <c:formatCode>0</c:formatCode>
                <c:ptCount val="5"/>
                <c:pt idx="0">
                  <c:v>-257665.94565945357</c:v>
                </c:pt>
                <c:pt idx="1">
                  <c:v>-234103.66715179826</c:v>
                </c:pt>
                <c:pt idx="2">
                  <c:v>-221487.21098808406</c:v>
                </c:pt>
                <c:pt idx="3">
                  <c:v>-245871.94036493372</c:v>
                </c:pt>
                <c:pt idx="4">
                  <c:v>-317361.39074502548</c:v>
                </c:pt>
              </c:numCache>
            </c:numRef>
          </c:val>
          <c:smooth val="0"/>
          <c:extLst>
            <c:ext xmlns:c16="http://schemas.microsoft.com/office/drawing/2014/chart" uri="{C3380CC4-5D6E-409C-BE32-E72D297353CC}">
              <c16:uniqueId val="{00000003-61DF-0D4B-997D-3A7377426C7E}"/>
            </c:ext>
          </c:extLst>
        </c:ser>
        <c:dLbls>
          <c:showLegendKey val="0"/>
          <c:showVal val="0"/>
          <c:showCatName val="0"/>
          <c:showSerName val="0"/>
          <c:showPercent val="0"/>
          <c:showBubbleSize val="0"/>
        </c:dLbls>
        <c:marker val="1"/>
        <c:smooth val="0"/>
        <c:axId val="420307344"/>
        <c:axId val="415801104"/>
      </c:lineChart>
      <c:catAx>
        <c:axId val="4149389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 (years) to begin treatment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929152"/>
        <c:crosses val="autoZero"/>
        <c:auto val="1"/>
        <c:lblAlgn val="ctr"/>
        <c:lblOffset val="100"/>
        <c:noMultiLvlLbl val="0"/>
      </c:catAx>
      <c:valAx>
        <c:axId val="414929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Net monetary benefit (THB)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938960"/>
        <c:crosses val="autoZero"/>
        <c:crossBetween val="between"/>
      </c:valAx>
      <c:valAx>
        <c:axId val="415801104"/>
        <c:scaling>
          <c:orientation val="minMax"/>
          <c:max val="1000000"/>
          <c:min val="-300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Incremenral cost-effectiveness ratio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07344"/>
        <c:crosses val="max"/>
        <c:crossBetween val="between"/>
      </c:valAx>
      <c:catAx>
        <c:axId val="420307344"/>
        <c:scaling>
          <c:orientation val="minMax"/>
        </c:scaling>
        <c:delete val="1"/>
        <c:axPos val="b"/>
        <c:numFmt formatCode="General" sourceLinked="1"/>
        <c:majorTickMark val="out"/>
        <c:minorTickMark val="none"/>
        <c:tickLblPos val="nextTo"/>
        <c:crossAx val="41580110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Tornado_chart!$E$1</c:f>
              <c:strCache>
                <c:ptCount val="1"/>
                <c:pt idx="0">
                  <c:v>% change in ICER when lower bound 95% CI applied</c:v>
                </c:pt>
              </c:strCache>
            </c:strRef>
          </c:tx>
          <c:spPr>
            <a:pattFill prst="dkDnDiag">
              <a:fgClr>
                <a:schemeClr val="accent1"/>
              </a:fgClr>
              <a:bgClr>
                <a:schemeClr val="bg1"/>
              </a:bgClr>
            </a:pattFill>
            <a:ln>
              <a:noFill/>
            </a:ln>
            <a:effectLst/>
          </c:spPr>
          <c:invertIfNegative val="0"/>
          <c:cat>
            <c:strRef>
              <c:f>Tornado_chart!$A$2:$A$40</c:f>
              <c:strCache>
                <c:ptCount val="39"/>
                <c:pt idx="0">
                  <c:v>Ancilliary parameter in Weibull survival (dialysis patients)</c:v>
                </c:pt>
                <c:pt idx="1">
                  <c:v>Constant in survival analysis for baseline hazard (dialysis patients)</c:v>
                </c:pt>
                <c:pt idx="2">
                  <c:v>Maintenance costs for HD</c:v>
                </c:pt>
                <c:pt idx="3">
                  <c:v>Direct medical cost: medical materials (integrated care)</c:v>
                </c:pt>
                <c:pt idx="4">
                  <c:v>Direct medical cost: medical materials (conventional care)</c:v>
                </c:pt>
                <c:pt idx="5">
                  <c:v>Annual rate of experiencing PD complications</c:v>
                </c:pt>
                <c:pt idx="6">
                  <c:v>Monthly cost of treating PD complications</c:v>
                </c:pt>
                <c:pt idx="7">
                  <c:v>Probabiity of dying when in CKD stage 5 without dialysis for a year</c:v>
                </c:pt>
                <c:pt idx="8">
                  <c:v>Age coefficient in survival analysis for baseline hazard</c:v>
                </c:pt>
                <c:pt idx="9">
                  <c:v>Probabiity of having dialysis when in CKD stage 5 in a year</c:v>
                </c:pt>
                <c:pt idx="10">
                  <c:v>Direct medical cost: Labour costs (integrated care)</c:v>
                </c:pt>
                <c:pt idx="11">
                  <c:v>Monthly cost of treating HD complications</c:v>
                </c:pt>
                <c:pt idx="12">
                  <c:v>Annual rate of experiencing HD complications</c:v>
                </c:pt>
                <c:pt idx="13">
                  <c:v>Indirect medical costs incurred by the hospital (integrated care)</c:v>
                </c:pt>
                <c:pt idx="14">
                  <c:v>Utility for HD without complication</c:v>
                </c:pt>
                <c:pt idx="15">
                  <c:v>Indirect medical costs incurred by the hospital (conventional care)</c:v>
                </c:pt>
                <c:pt idx="16">
                  <c:v>Utility for PD without complication</c:v>
                </c:pt>
                <c:pt idx="17">
                  <c:v>Labour costs of provding conventional care to pre-dialysis patients</c:v>
                </c:pt>
                <c:pt idx="18">
                  <c:v>Relative risk of moving from CKD stage 3a to 3b under the ICP</c:v>
                </c:pt>
                <c:pt idx="19">
                  <c:v>Annual indirect non-healthcare costs incurred per househodl with HD</c:v>
                </c:pt>
                <c:pt idx="20">
                  <c:v>Direct non-healthcare costs incurred per household with HD</c:v>
                </c:pt>
                <c:pt idx="21">
                  <c:v>Maintenance costs for PD</c:v>
                </c:pt>
                <c:pt idx="22">
                  <c:v>Direct non-medical cost for patients (integrated care)</c:v>
                </c:pt>
                <c:pt idx="23">
                  <c:v>Indirect non medical cost to patients when receiving the (integrated care)</c:v>
                </c:pt>
                <c:pt idx="24">
                  <c:v>Average annual utility weight for an individual with CKD stage 3b</c:v>
                </c:pt>
                <c:pt idx="25">
                  <c:v>Average annual utility weight for an individual with CKD stage 4</c:v>
                </c:pt>
                <c:pt idx="26">
                  <c:v>Probabiity of moving from CKD stage 3b to CKD stage 4 in a year</c:v>
                </c:pt>
                <c:pt idx="27">
                  <c:v>Annual utility weight for an individual with CKD stage 5</c:v>
                </c:pt>
                <c:pt idx="28">
                  <c:v>Direct non-healthcare costs incurred per household with PD</c:v>
                </c:pt>
                <c:pt idx="29">
                  <c:v>Direct non-medical cost for patients (conventional care)</c:v>
                </c:pt>
                <c:pt idx="30">
                  <c:v>Indirect non medical cost to patients (conventional care)</c:v>
                </c:pt>
                <c:pt idx="31">
                  <c:v>Probabiity of moving from CKD stage 4 to CKD stage 5 in a year</c:v>
                </c:pt>
                <c:pt idx="32">
                  <c:v>Indirect non-healthcare costs incurred per household with PD</c:v>
                </c:pt>
                <c:pt idx="33">
                  <c:v>The set-up costs for PD</c:v>
                </c:pt>
                <c:pt idx="34">
                  <c:v>Relative risk of moving from CKD stage 3b to 4 under the intervention</c:v>
                </c:pt>
                <c:pt idx="35">
                  <c:v>Relative risk of moving from CKD stage 4 to 5 under the intervention</c:v>
                </c:pt>
                <c:pt idx="36">
                  <c:v>Probabiity of moving from CKD stage 3a to CKD stage 3b in a year</c:v>
                </c:pt>
                <c:pt idx="37">
                  <c:v>Set-up costs for HD</c:v>
                </c:pt>
                <c:pt idx="38">
                  <c:v>Average annual utility weight for an individual with CKD stage 3a</c:v>
                </c:pt>
              </c:strCache>
            </c:strRef>
          </c:cat>
          <c:val>
            <c:numRef>
              <c:f>Tornado_chart!$E$2:$E$40</c:f>
              <c:numCache>
                <c:formatCode>General</c:formatCode>
                <c:ptCount val="39"/>
                <c:pt idx="0">
                  <c:v>-0.32000478922225456</c:v>
                </c:pt>
                <c:pt idx="1">
                  <c:v>-0.31857663486691296</c:v>
                </c:pt>
                <c:pt idx="2">
                  <c:v>0.24433705554251139</c:v>
                </c:pt>
                <c:pt idx="3">
                  <c:v>-0.14596820654764231</c:v>
                </c:pt>
                <c:pt idx="4">
                  <c:v>0.1082540325621362</c:v>
                </c:pt>
                <c:pt idx="5">
                  <c:v>0.12361266512999572</c:v>
                </c:pt>
                <c:pt idx="6">
                  <c:v>0.11130949884373101</c:v>
                </c:pt>
                <c:pt idx="7">
                  <c:v>-0.1379619023797834</c:v>
                </c:pt>
                <c:pt idx="8">
                  <c:v>-0.11794012196604103</c:v>
                </c:pt>
                <c:pt idx="9">
                  <c:v>0.10068948102990086</c:v>
                </c:pt>
                <c:pt idx="10">
                  <c:v>-4.9489280424118542E-2</c:v>
                </c:pt>
                <c:pt idx="11">
                  <c:v>4.7587995788633063E-2</c:v>
                </c:pt>
                <c:pt idx="12">
                  <c:v>4.8823952310844729E-2</c:v>
                </c:pt>
                <c:pt idx="13">
                  <c:v>-3.9091624198904142E-2</c:v>
                </c:pt>
                <c:pt idx="14">
                  <c:v>5.0789485464270194E-2</c:v>
                </c:pt>
                <c:pt idx="15">
                  <c:v>2.5496838528513331E-2</c:v>
                </c:pt>
                <c:pt idx="16">
                  <c:v>4.1299498403646162E-2</c:v>
                </c:pt>
                <c:pt idx="17">
                  <c:v>1.9230160080432757E-2</c:v>
                </c:pt>
                <c:pt idx="18">
                  <c:v>2.8274897334264502E-2</c:v>
                </c:pt>
                <c:pt idx="19">
                  <c:v>1.6234893514007247E-2</c:v>
                </c:pt>
                <c:pt idx="20">
                  <c:v>1.5796140462072956E-2</c:v>
                </c:pt>
                <c:pt idx="21">
                  <c:v>1.5587439093021746E-2</c:v>
                </c:pt>
                <c:pt idx="22">
                  <c:v>-9.2175219120651884E-3</c:v>
                </c:pt>
                <c:pt idx="23">
                  <c:v>-7.6308990667236665E-3</c:v>
                </c:pt>
                <c:pt idx="24">
                  <c:v>-7.0163385388257535E-3</c:v>
                </c:pt>
                <c:pt idx="25">
                  <c:v>-5.7291159013031692E-3</c:v>
                </c:pt>
                <c:pt idx="26">
                  <c:v>-3.7906855527906932E-3</c:v>
                </c:pt>
                <c:pt idx="27">
                  <c:v>3.8840600864380927E-3</c:v>
                </c:pt>
                <c:pt idx="28">
                  <c:v>2.0237335050086753E-3</c:v>
                </c:pt>
                <c:pt idx="29">
                  <c:v>2.1088566736250703E-3</c:v>
                </c:pt>
                <c:pt idx="30">
                  <c:v>1.7836723976813193E-3</c:v>
                </c:pt>
                <c:pt idx="31">
                  <c:v>-2.0806331145368962E-3</c:v>
                </c:pt>
                <c:pt idx="32">
                  <c:v>1.2142401030041999E-3</c:v>
                </c:pt>
                <c:pt idx="33">
                  <c:v>8.0000048905542087E-4</c:v>
                </c:pt>
                <c:pt idx="34">
                  <c:v>8.0218636226418174E-4</c:v>
                </c:pt>
                <c:pt idx="35">
                  <c:v>6.7570191976364211E-4</c:v>
                </c:pt>
                <c:pt idx="36">
                  <c:v>-4.6608782553331251E-4</c:v>
                </c:pt>
                <c:pt idx="37">
                  <c:v>3.7000995802907412E-4</c:v>
                </c:pt>
                <c:pt idx="38">
                  <c:v>-2.094142839018125E-15</c:v>
                </c:pt>
              </c:numCache>
            </c:numRef>
          </c:val>
          <c:extLst>
            <c:ext xmlns:c16="http://schemas.microsoft.com/office/drawing/2014/chart" uri="{C3380CC4-5D6E-409C-BE32-E72D297353CC}">
              <c16:uniqueId val="{00000000-766C-0E4C-8BE6-CA6F4CEE35FD}"/>
            </c:ext>
          </c:extLst>
        </c:ser>
        <c:ser>
          <c:idx val="1"/>
          <c:order val="1"/>
          <c:tx>
            <c:strRef>
              <c:f>Tornado_chart!$F$1</c:f>
              <c:strCache>
                <c:ptCount val="1"/>
                <c:pt idx="0">
                  <c:v>% change in ICER when upper bound 95% CI applied</c:v>
                </c:pt>
              </c:strCache>
            </c:strRef>
          </c:tx>
          <c:spPr>
            <a:solidFill>
              <a:schemeClr val="accent1">
                <a:lumMod val="75000"/>
              </a:schemeClr>
            </a:solidFill>
            <a:ln>
              <a:noFill/>
            </a:ln>
            <a:effectLst/>
          </c:spPr>
          <c:invertIfNegative val="0"/>
          <c:cat>
            <c:strRef>
              <c:f>Tornado_chart!$A$2:$A$40</c:f>
              <c:strCache>
                <c:ptCount val="39"/>
                <c:pt idx="0">
                  <c:v>Ancilliary parameter in Weibull survival (dialysis patients)</c:v>
                </c:pt>
                <c:pt idx="1">
                  <c:v>Constant in survival analysis for baseline hazard (dialysis patients)</c:v>
                </c:pt>
                <c:pt idx="2">
                  <c:v>Maintenance costs for HD</c:v>
                </c:pt>
                <c:pt idx="3">
                  <c:v>Direct medical cost: medical materials (integrated care)</c:v>
                </c:pt>
                <c:pt idx="4">
                  <c:v>Direct medical cost: medical materials (conventional care)</c:v>
                </c:pt>
                <c:pt idx="5">
                  <c:v>Annual rate of experiencing PD complications</c:v>
                </c:pt>
                <c:pt idx="6">
                  <c:v>Monthly cost of treating PD complications</c:v>
                </c:pt>
                <c:pt idx="7">
                  <c:v>Probabiity of dying when in CKD stage 5 without dialysis for a year</c:v>
                </c:pt>
                <c:pt idx="8">
                  <c:v>Age coefficient in survival analysis for baseline hazard</c:v>
                </c:pt>
                <c:pt idx="9">
                  <c:v>Probabiity of having dialysis when in CKD stage 5 in a year</c:v>
                </c:pt>
                <c:pt idx="10">
                  <c:v>Direct medical cost: Labour costs (integrated care)</c:v>
                </c:pt>
                <c:pt idx="11">
                  <c:v>Monthly cost of treating HD complications</c:v>
                </c:pt>
                <c:pt idx="12">
                  <c:v>Annual rate of experiencing HD complications</c:v>
                </c:pt>
                <c:pt idx="13">
                  <c:v>Indirect medical costs incurred by the hospital (integrated care)</c:v>
                </c:pt>
                <c:pt idx="14">
                  <c:v>Utility for HD without complication</c:v>
                </c:pt>
                <c:pt idx="15">
                  <c:v>Indirect medical costs incurred by the hospital (conventional care)</c:v>
                </c:pt>
                <c:pt idx="16">
                  <c:v>Utility for PD without complication</c:v>
                </c:pt>
                <c:pt idx="17">
                  <c:v>Labour costs of provding conventional care to pre-dialysis patients</c:v>
                </c:pt>
                <c:pt idx="18">
                  <c:v>Relative risk of moving from CKD stage 3a to 3b under the ICP</c:v>
                </c:pt>
                <c:pt idx="19">
                  <c:v>Annual indirect non-healthcare costs incurred per househodl with HD</c:v>
                </c:pt>
                <c:pt idx="20">
                  <c:v>Direct non-healthcare costs incurred per household with HD</c:v>
                </c:pt>
                <c:pt idx="21">
                  <c:v>Maintenance costs for PD</c:v>
                </c:pt>
                <c:pt idx="22">
                  <c:v>Direct non-medical cost for patients (integrated care)</c:v>
                </c:pt>
                <c:pt idx="23">
                  <c:v>Indirect non medical cost to patients when receiving the (integrated care)</c:v>
                </c:pt>
                <c:pt idx="24">
                  <c:v>Average annual utility weight for an individual with CKD stage 3b</c:v>
                </c:pt>
                <c:pt idx="25">
                  <c:v>Average annual utility weight for an individual with CKD stage 4</c:v>
                </c:pt>
                <c:pt idx="26">
                  <c:v>Probabiity of moving from CKD stage 3b to CKD stage 4 in a year</c:v>
                </c:pt>
                <c:pt idx="27">
                  <c:v>Annual utility weight for an individual with CKD stage 5</c:v>
                </c:pt>
                <c:pt idx="28">
                  <c:v>Direct non-healthcare costs incurred per household with PD</c:v>
                </c:pt>
                <c:pt idx="29">
                  <c:v>Direct non-medical cost for patients (conventional care)</c:v>
                </c:pt>
                <c:pt idx="30">
                  <c:v>Indirect non medical cost to patients (conventional care)</c:v>
                </c:pt>
                <c:pt idx="31">
                  <c:v>Probabiity of moving from CKD stage 4 to CKD stage 5 in a year</c:v>
                </c:pt>
                <c:pt idx="32">
                  <c:v>Indirect non-healthcare costs incurred per household with PD</c:v>
                </c:pt>
                <c:pt idx="33">
                  <c:v>The set-up costs for PD</c:v>
                </c:pt>
                <c:pt idx="34">
                  <c:v>Relative risk of moving from CKD stage 3b to 4 under the intervention</c:v>
                </c:pt>
                <c:pt idx="35">
                  <c:v>Relative risk of moving from CKD stage 4 to 5 under the intervention</c:v>
                </c:pt>
                <c:pt idx="36">
                  <c:v>Probabiity of moving from CKD stage 3a to CKD stage 3b in a year</c:v>
                </c:pt>
                <c:pt idx="37">
                  <c:v>Set-up costs for HD</c:v>
                </c:pt>
                <c:pt idx="38">
                  <c:v>Average annual utility weight for an individual with CKD stage 3a</c:v>
                </c:pt>
              </c:strCache>
            </c:strRef>
          </c:cat>
          <c:val>
            <c:numRef>
              <c:f>Tornado_chart!$F$2:$F$40</c:f>
              <c:numCache>
                <c:formatCode>General</c:formatCode>
                <c:ptCount val="39"/>
                <c:pt idx="0">
                  <c:v>0.31952891849479109</c:v>
                </c:pt>
                <c:pt idx="1">
                  <c:v>0.30952918912986976</c:v>
                </c:pt>
                <c:pt idx="2">
                  <c:v>-0.34306800498062573</c:v>
                </c:pt>
                <c:pt idx="3">
                  <c:v>0.40268603936234371</c:v>
                </c:pt>
                <c:pt idx="4">
                  <c:v>-0.29864303089331068</c:v>
                </c:pt>
                <c:pt idx="5">
                  <c:v>-0.25728071689368442</c:v>
                </c:pt>
                <c:pt idx="6">
                  <c:v>-0.23662328933565224</c:v>
                </c:pt>
                <c:pt idx="7">
                  <c:v>0.11380246998238182</c:v>
                </c:pt>
                <c:pt idx="8">
                  <c:v>0.11673259793154751</c:v>
                </c:pt>
                <c:pt idx="9">
                  <c:v>-8.8637070283057839E-2</c:v>
                </c:pt>
                <c:pt idx="10">
                  <c:v>0.13652728081149607</c:v>
                </c:pt>
                <c:pt idx="11">
                  <c:v>-0.13128216067422879</c:v>
                </c:pt>
                <c:pt idx="12">
                  <c:v>-0.1232262063773398</c:v>
                </c:pt>
                <c:pt idx="13">
                  <c:v>0.10784301385356694</c:v>
                </c:pt>
                <c:pt idx="14">
                  <c:v>-4.7275714829181852E-2</c:v>
                </c:pt>
                <c:pt idx="15">
                  <c:v>-7.0338748184574085E-2</c:v>
                </c:pt>
                <c:pt idx="16">
                  <c:v>-3.7472086569083671E-2</c:v>
                </c:pt>
                <c:pt idx="17">
                  <c:v>-5.3050710029554957E-2</c:v>
                </c:pt>
                <c:pt idx="18">
                  <c:v>-1.5640178384886474E-2</c:v>
                </c:pt>
                <c:pt idx="19">
                  <c:v>-1.9617326976342254E-2</c:v>
                </c:pt>
                <c:pt idx="20">
                  <c:v>-1.999206720815069E-2</c:v>
                </c:pt>
                <c:pt idx="21">
                  <c:v>-1.5886509853800499E-2</c:v>
                </c:pt>
                <c:pt idx="22">
                  <c:v>1.0649976567569228E-2</c:v>
                </c:pt>
                <c:pt idx="23">
                  <c:v>1.0707322067704812E-2</c:v>
                </c:pt>
                <c:pt idx="24">
                  <c:v>6.6771405334637478E-3</c:v>
                </c:pt>
                <c:pt idx="25">
                  <c:v>5.4014145389912355E-3</c:v>
                </c:pt>
                <c:pt idx="26">
                  <c:v>3.6124826285199468E-3</c:v>
                </c:pt>
                <c:pt idx="27">
                  <c:v>-3.3890910468428576E-3</c:v>
                </c:pt>
                <c:pt idx="28">
                  <c:v>-2.4570458709826932E-3</c:v>
                </c:pt>
                <c:pt idx="29">
                  <c:v>-2.265682084429775E-3</c:v>
                </c:pt>
                <c:pt idx="30">
                  <c:v>-2.4459242664690191E-3</c:v>
                </c:pt>
                <c:pt idx="31">
                  <c:v>1.9527850690690158E-3</c:v>
                </c:pt>
                <c:pt idx="32">
                  <c:v>-1.4742275225863072E-3</c:v>
                </c:pt>
                <c:pt idx="33">
                  <c:v>-1.0921663269000705E-3</c:v>
                </c:pt>
                <c:pt idx="34">
                  <c:v>-6.7720199965763087E-4</c:v>
                </c:pt>
                <c:pt idx="35">
                  <c:v>-5.2356229384619411E-4</c:v>
                </c:pt>
                <c:pt idx="36">
                  <c:v>6.3825638830889754E-4</c:v>
                </c:pt>
                <c:pt idx="37">
                  <c:v>-5.1231084981442638E-4</c:v>
                </c:pt>
                <c:pt idx="38">
                  <c:v>-2.094142839018125E-15</c:v>
                </c:pt>
              </c:numCache>
            </c:numRef>
          </c:val>
          <c:extLst>
            <c:ext xmlns:c16="http://schemas.microsoft.com/office/drawing/2014/chart" uri="{C3380CC4-5D6E-409C-BE32-E72D297353CC}">
              <c16:uniqueId val="{00000001-766C-0E4C-8BE6-CA6F4CEE35FD}"/>
            </c:ext>
          </c:extLst>
        </c:ser>
        <c:dLbls>
          <c:showLegendKey val="0"/>
          <c:showVal val="0"/>
          <c:showCatName val="0"/>
          <c:showSerName val="0"/>
          <c:showPercent val="0"/>
          <c:showBubbleSize val="0"/>
        </c:dLbls>
        <c:gapWidth val="182"/>
        <c:overlap val="100"/>
        <c:axId val="574291888"/>
        <c:axId val="574293616"/>
      </c:barChart>
      <c:catAx>
        <c:axId val="5742918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293616"/>
        <c:crosses val="autoZero"/>
        <c:auto val="1"/>
        <c:lblAlgn val="ctr"/>
        <c:lblOffset val="100"/>
        <c:noMultiLvlLbl val="0"/>
      </c:catAx>
      <c:valAx>
        <c:axId val="574293616"/>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291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Cost-effectiveness</a:t>
            </a:r>
            <a:r>
              <a:rPr lang="en-GB" baseline="0"/>
              <a:t> plane: Probabilistic sensitvity analysis simulation results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Simulation!$BD$7:$BD$1006</c:f>
              <c:numCache>
                <c:formatCode>#,##0.00</c:formatCode>
                <c:ptCount val="1000"/>
                <c:pt idx="0">
                  <c:v>1.6172241945155417</c:v>
                </c:pt>
                <c:pt idx="1">
                  <c:v>1.8048944803664515</c:v>
                </c:pt>
                <c:pt idx="2">
                  <c:v>1.9391663857219683</c:v>
                </c:pt>
                <c:pt idx="3">
                  <c:v>2.0071597664860583</c:v>
                </c:pt>
                <c:pt idx="4">
                  <c:v>2.0727784618247487</c:v>
                </c:pt>
                <c:pt idx="5">
                  <c:v>2.0838243733969524</c:v>
                </c:pt>
                <c:pt idx="6">
                  <c:v>2.0090410105622976</c:v>
                </c:pt>
                <c:pt idx="7">
                  <c:v>2.0258427189788843</c:v>
                </c:pt>
                <c:pt idx="8">
                  <c:v>1.5427650419959136</c:v>
                </c:pt>
                <c:pt idx="9">
                  <c:v>2.146847712664524</c:v>
                </c:pt>
                <c:pt idx="10">
                  <c:v>2.1390901222099643</c:v>
                </c:pt>
                <c:pt idx="11">
                  <c:v>1.6767068983646531</c:v>
                </c:pt>
                <c:pt idx="12">
                  <c:v>1.7271318785847729</c:v>
                </c:pt>
                <c:pt idx="13">
                  <c:v>1.6508845228790658</c:v>
                </c:pt>
                <c:pt idx="14">
                  <c:v>1.4528941427560049</c:v>
                </c:pt>
                <c:pt idx="15">
                  <c:v>1.9392348246818027</c:v>
                </c:pt>
                <c:pt idx="16">
                  <c:v>1.7397171617461478</c:v>
                </c:pt>
                <c:pt idx="17">
                  <c:v>1.5484038328865601</c:v>
                </c:pt>
                <c:pt idx="18">
                  <c:v>1.5154531309334764</c:v>
                </c:pt>
                <c:pt idx="19">
                  <c:v>1.6877345830680017</c:v>
                </c:pt>
                <c:pt idx="20">
                  <c:v>1.8685571112841721</c:v>
                </c:pt>
                <c:pt idx="21">
                  <c:v>2.1156546560365612</c:v>
                </c:pt>
                <c:pt idx="22">
                  <c:v>1.6887855195019927</c:v>
                </c:pt>
                <c:pt idx="23">
                  <c:v>1.8662797669270521</c:v>
                </c:pt>
                <c:pt idx="24">
                  <c:v>1.447953978124362</c:v>
                </c:pt>
                <c:pt idx="25">
                  <c:v>1.5637671804201076</c:v>
                </c:pt>
                <c:pt idx="26">
                  <c:v>1.8838100559702156</c:v>
                </c:pt>
                <c:pt idx="27">
                  <c:v>2.4273538316543295</c:v>
                </c:pt>
                <c:pt idx="28">
                  <c:v>1.8737112956538216</c:v>
                </c:pt>
                <c:pt idx="29">
                  <c:v>1.7976380378800894</c:v>
                </c:pt>
                <c:pt idx="30">
                  <c:v>1.7506552983144079</c:v>
                </c:pt>
                <c:pt idx="31">
                  <c:v>2.1636293049970572</c:v>
                </c:pt>
                <c:pt idx="32">
                  <c:v>1.8228679698338599</c:v>
                </c:pt>
                <c:pt idx="33">
                  <c:v>1.6382988988815459</c:v>
                </c:pt>
                <c:pt idx="34">
                  <c:v>2.0861529147437938</c:v>
                </c:pt>
                <c:pt idx="35">
                  <c:v>1.917343412151558</c:v>
                </c:pt>
                <c:pt idx="36">
                  <c:v>2.1764422815861906</c:v>
                </c:pt>
                <c:pt idx="37">
                  <c:v>1.8337031547187941</c:v>
                </c:pt>
                <c:pt idx="38">
                  <c:v>1.5567562740943703</c:v>
                </c:pt>
                <c:pt idx="39">
                  <c:v>1.823193024603734</c:v>
                </c:pt>
                <c:pt idx="40">
                  <c:v>1.6709346898214044</c:v>
                </c:pt>
                <c:pt idx="41">
                  <c:v>1.6517760598735691</c:v>
                </c:pt>
                <c:pt idx="42">
                  <c:v>1.8644226992808903</c:v>
                </c:pt>
                <c:pt idx="43">
                  <c:v>1.9154105493253297</c:v>
                </c:pt>
                <c:pt idx="44">
                  <c:v>2.0020166087112763</c:v>
                </c:pt>
                <c:pt idx="45">
                  <c:v>1.4084660646694243</c:v>
                </c:pt>
                <c:pt idx="46">
                  <c:v>1.8008872141488261</c:v>
                </c:pt>
                <c:pt idx="47">
                  <c:v>2.042638056138891</c:v>
                </c:pt>
                <c:pt idx="48">
                  <c:v>2.1499794380174571</c:v>
                </c:pt>
                <c:pt idx="49">
                  <c:v>1.7905640474347333</c:v>
                </c:pt>
                <c:pt idx="50">
                  <c:v>2.2495148486738472</c:v>
                </c:pt>
                <c:pt idx="51">
                  <c:v>1.7282611056238917</c:v>
                </c:pt>
                <c:pt idx="52">
                  <c:v>1.5524648173744247</c:v>
                </c:pt>
                <c:pt idx="53">
                  <c:v>1.9299395163376829</c:v>
                </c:pt>
                <c:pt idx="54">
                  <c:v>1.6950102126752888</c:v>
                </c:pt>
                <c:pt idx="55">
                  <c:v>2.0932106253909701</c:v>
                </c:pt>
                <c:pt idx="56">
                  <c:v>1.8229681518626819</c:v>
                </c:pt>
                <c:pt idx="57">
                  <c:v>2.0166134110451708</c:v>
                </c:pt>
                <c:pt idx="58">
                  <c:v>2.0542224486571339</c:v>
                </c:pt>
                <c:pt idx="59">
                  <c:v>1.9447631533706744</c:v>
                </c:pt>
                <c:pt idx="60">
                  <c:v>1.8848937393654808</c:v>
                </c:pt>
                <c:pt idx="61">
                  <c:v>1.937024107657038</c:v>
                </c:pt>
                <c:pt idx="62">
                  <c:v>1.7997333476053576</c:v>
                </c:pt>
                <c:pt idx="63">
                  <c:v>1.4041158273428547</c:v>
                </c:pt>
                <c:pt idx="64">
                  <c:v>2.0583082854865307</c:v>
                </c:pt>
                <c:pt idx="65">
                  <c:v>1.5957405341086908</c:v>
                </c:pt>
                <c:pt idx="66">
                  <c:v>2.3217872679678422</c:v>
                </c:pt>
                <c:pt idx="67">
                  <c:v>2.2004502351961879</c:v>
                </c:pt>
                <c:pt idx="68">
                  <c:v>1.7151018012771075</c:v>
                </c:pt>
                <c:pt idx="69">
                  <c:v>1.5739296267999965</c:v>
                </c:pt>
                <c:pt idx="70">
                  <c:v>1.7516793713579055</c:v>
                </c:pt>
                <c:pt idx="71">
                  <c:v>1.7266516686488362</c:v>
                </c:pt>
                <c:pt idx="72">
                  <c:v>1.8937213449200279</c:v>
                </c:pt>
                <c:pt idx="73">
                  <c:v>1.7775891676088769</c:v>
                </c:pt>
                <c:pt idx="74">
                  <c:v>1.7147483570545461</c:v>
                </c:pt>
                <c:pt idx="75">
                  <c:v>1.8508426341426993</c:v>
                </c:pt>
                <c:pt idx="76">
                  <c:v>1.6976123487242099</c:v>
                </c:pt>
                <c:pt idx="77">
                  <c:v>1.9050406268737987</c:v>
                </c:pt>
                <c:pt idx="78">
                  <c:v>1.8688468868163923</c:v>
                </c:pt>
                <c:pt idx="79">
                  <c:v>1.8288256905506177</c:v>
                </c:pt>
                <c:pt idx="80">
                  <c:v>2.0562486643664606</c:v>
                </c:pt>
                <c:pt idx="81">
                  <c:v>2.0502875302985313</c:v>
                </c:pt>
                <c:pt idx="82">
                  <c:v>1.7546318160386409</c:v>
                </c:pt>
                <c:pt idx="83">
                  <c:v>1.7879563674655525</c:v>
                </c:pt>
                <c:pt idx="84">
                  <c:v>1.7070118246581245</c:v>
                </c:pt>
                <c:pt idx="85">
                  <c:v>1.9419913143007186</c:v>
                </c:pt>
                <c:pt idx="86">
                  <c:v>1.8286524499411119</c:v>
                </c:pt>
                <c:pt idx="87">
                  <c:v>2.1292994576998598</c:v>
                </c:pt>
                <c:pt idx="88">
                  <c:v>2.2299502937677076</c:v>
                </c:pt>
                <c:pt idx="89">
                  <c:v>1.3407267440393476</c:v>
                </c:pt>
                <c:pt idx="90">
                  <c:v>1.8634389942091882</c:v>
                </c:pt>
                <c:pt idx="91">
                  <c:v>1.7375608900579831</c:v>
                </c:pt>
                <c:pt idx="92">
                  <c:v>2.0543177043778691</c:v>
                </c:pt>
                <c:pt idx="93">
                  <c:v>1.9435641077490278</c:v>
                </c:pt>
                <c:pt idx="94">
                  <c:v>1.5227906094716896</c:v>
                </c:pt>
                <c:pt idx="95">
                  <c:v>2.183844222184911</c:v>
                </c:pt>
                <c:pt idx="96">
                  <c:v>1.7599387705005292</c:v>
                </c:pt>
                <c:pt idx="97">
                  <c:v>1.9277821155738692</c:v>
                </c:pt>
                <c:pt idx="98">
                  <c:v>1.7066780465634537</c:v>
                </c:pt>
                <c:pt idx="99">
                  <c:v>2.0315460811351063</c:v>
                </c:pt>
                <c:pt idx="100">
                  <c:v>1.70363165901726</c:v>
                </c:pt>
                <c:pt idx="101">
                  <c:v>1.9259871870094436</c:v>
                </c:pt>
                <c:pt idx="102">
                  <c:v>1.905835042637257</c:v>
                </c:pt>
                <c:pt idx="103">
                  <c:v>2.1588440780091478</c:v>
                </c:pt>
                <c:pt idx="104">
                  <c:v>1.6287821852465054</c:v>
                </c:pt>
                <c:pt idx="105">
                  <c:v>1.6555721544521482</c:v>
                </c:pt>
                <c:pt idx="106">
                  <c:v>1.9959075450401365</c:v>
                </c:pt>
                <c:pt idx="107">
                  <c:v>1.7657040181193491</c:v>
                </c:pt>
                <c:pt idx="108">
                  <c:v>1.9379534231143047</c:v>
                </c:pt>
                <c:pt idx="109">
                  <c:v>1.7419536651906906</c:v>
                </c:pt>
                <c:pt idx="110">
                  <c:v>2.1422329571139009</c:v>
                </c:pt>
                <c:pt idx="111">
                  <c:v>2.2012611980606014</c:v>
                </c:pt>
                <c:pt idx="112">
                  <c:v>1.6244332066407932</c:v>
                </c:pt>
                <c:pt idx="113">
                  <c:v>2.2376318518357969</c:v>
                </c:pt>
                <c:pt idx="114">
                  <c:v>2.0094859450588753</c:v>
                </c:pt>
                <c:pt idx="115">
                  <c:v>2.0579920854754441</c:v>
                </c:pt>
                <c:pt idx="116">
                  <c:v>2.0683862881169262</c:v>
                </c:pt>
                <c:pt idx="117">
                  <c:v>1.964326715727136</c:v>
                </c:pt>
                <c:pt idx="118">
                  <c:v>1.7949397953756048</c:v>
                </c:pt>
                <c:pt idx="119">
                  <c:v>2.22559312663779</c:v>
                </c:pt>
                <c:pt idx="120">
                  <c:v>1.9083984257996587</c:v>
                </c:pt>
                <c:pt idx="121">
                  <c:v>1.7781358438019677</c:v>
                </c:pt>
                <c:pt idx="122">
                  <c:v>1.7085949893802468</c:v>
                </c:pt>
                <c:pt idx="123">
                  <c:v>1.5583373782663976</c:v>
                </c:pt>
                <c:pt idx="124">
                  <c:v>1.7146825622276847</c:v>
                </c:pt>
                <c:pt idx="125">
                  <c:v>1.9090687170990925</c:v>
                </c:pt>
                <c:pt idx="126">
                  <c:v>1.9849508430286082</c:v>
                </c:pt>
                <c:pt idx="127">
                  <c:v>1.8936101354712864</c:v>
                </c:pt>
                <c:pt idx="128">
                  <c:v>1.9294504389580442</c:v>
                </c:pt>
                <c:pt idx="129">
                  <c:v>2.0642619801684159</c:v>
                </c:pt>
                <c:pt idx="130">
                  <c:v>1.7445424926696607</c:v>
                </c:pt>
                <c:pt idx="131">
                  <c:v>2.08968002450775</c:v>
                </c:pt>
                <c:pt idx="132">
                  <c:v>1.7148030767849303</c:v>
                </c:pt>
                <c:pt idx="133">
                  <c:v>2.0363029906486041</c:v>
                </c:pt>
                <c:pt idx="134">
                  <c:v>1.3305237750687908</c:v>
                </c:pt>
                <c:pt idx="135">
                  <c:v>1.7385721719822005</c:v>
                </c:pt>
                <c:pt idx="136">
                  <c:v>1.4974471196484913</c:v>
                </c:pt>
                <c:pt idx="137">
                  <c:v>1.9623410261212015</c:v>
                </c:pt>
                <c:pt idx="138">
                  <c:v>1.8116330325777472</c:v>
                </c:pt>
                <c:pt idx="139">
                  <c:v>1.8402784411929201</c:v>
                </c:pt>
                <c:pt idx="140">
                  <c:v>1.6360476876560455</c:v>
                </c:pt>
                <c:pt idx="141">
                  <c:v>1.8433286416833781</c:v>
                </c:pt>
                <c:pt idx="142">
                  <c:v>1.7644630478368963</c:v>
                </c:pt>
                <c:pt idx="143">
                  <c:v>1.3825108024129165</c:v>
                </c:pt>
                <c:pt idx="144">
                  <c:v>2.1472108068722466</c:v>
                </c:pt>
                <c:pt idx="145">
                  <c:v>2.2580849927054896</c:v>
                </c:pt>
                <c:pt idx="146">
                  <c:v>1.9179852626262495</c:v>
                </c:pt>
                <c:pt idx="147">
                  <c:v>1.8225051454538868</c:v>
                </c:pt>
                <c:pt idx="148">
                  <c:v>2.1745988577871351</c:v>
                </c:pt>
                <c:pt idx="149">
                  <c:v>1.8640030845856916</c:v>
                </c:pt>
                <c:pt idx="150">
                  <c:v>2.2144099229083043</c:v>
                </c:pt>
                <c:pt idx="151">
                  <c:v>1.9708944046338317</c:v>
                </c:pt>
                <c:pt idx="152">
                  <c:v>2.1426736976581786</c:v>
                </c:pt>
                <c:pt idx="153">
                  <c:v>1.9169856867369912</c:v>
                </c:pt>
                <c:pt idx="154">
                  <c:v>1.4861595069867661</c:v>
                </c:pt>
                <c:pt idx="155">
                  <c:v>1.8456664434820134</c:v>
                </c:pt>
                <c:pt idx="156">
                  <c:v>1.9969250394733855</c:v>
                </c:pt>
                <c:pt idx="157">
                  <c:v>1.4137742803160442</c:v>
                </c:pt>
                <c:pt idx="158">
                  <c:v>1.6145737306194228</c:v>
                </c:pt>
                <c:pt idx="159">
                  <c:v>1.772539818035634</c:v>
                </c:pt>
                <c:pt idx="160">
                  <c:v>1.4337992283906082</c:v>
                </c:pt>
                <c:pt idx="161">
                  <c:v>1.6919529476686428</c:v>
                </c:pt>
                <c:pt idx="162">
                  <c:v>1.862684256593921</c:v>
                </c:pt>
                <c:pt idx="163">
                  <c:v>2.013876231493871</c:v>
                </c:pt>
                <c:pt idx="164">
                  <c:v>1.7341786680453328</c:v>
                </c:pt>
                <c:pt idx="165">
                  <c:v>1.5460365931578508</c:v>
                </c:pt>
                <c:pt idx="166">
                  <c:v>1.5812994464049535</c:v>
                </c:pt>
                <c:pt idx="167">
                  <c:v>1.7912343163040525</c:v>
                </c:pt>
                <c:pt idx="168">
                  <c:v>2.1219622538594844</c:v>
                </c:pt>
                <c:pt idx="169">
                  <c:v>1.8117245147141059</c:v>
                </c:pt>
                <c:pt idx="170">
                  <c:v>1.5524363005622206</c:v>
                </c:pt>
                <c:pt idx="171">
                  <c:v>1.4531566612236908</c:v>
                </c:pt>
                <c:pt idx="172">
                  <c:v>2.1287818624844217</c:v>
                </c:pt>
                <c:pt idx="173">
                  <c:v>2.2021252418521531</c:v>
                </c:pt>
                <c:pt idx="174">
                  <c:v>1.5476876678736033</c:v>
                </c:pt>
                <c:pt idx="175">
                  <c:v>1.6776250642079145</c:v>
                </c:pt>
                <c:pt idx="176">
                  <c:v>2.0586271096251654</c:v>
                </c:pt>
                <c:pt idx="177">
                  <c:v>1.971601201926461</c:v>
                </c:pt>
                <c:pt idx="178">
                  <c:v>2.0160082805023247</c:v>
                </c:pt>
                <c:pt idx="179">
                  <c:v>2.2488663112642477</c:v>
                </c:pt>
                <c:pt idx="180">
                  <c:v>1.5652400219158125</c:v>
                </c:pt>
                <c:pt idx="181">
                  <c:v>2.0617244985965151</c:v>
                </c:pt>
                <c:pt idx="182">
                  <c:v>2.0680122461619259</c:v>
                </c:pt>
                <c:pt idx="183">
                  <c:v>1.9123610906998945</c:v>
                </c:pt>
                <c:pt idx="184">
                  <c:v>1.5352445136802899</c:v>
                </c:pt>
                <c:pt idx="185">
                  <c:v>1.2447005876348509</c:v>
                </c:pt>
                <c:pt idx="186">
                  <c:v>1.575524295534052</c:v>
                </c:pt>
                <c:pt idx="187">
                  <c:v>1.8963603860127289</c:v>
                </c:pt>
                <c:pt idx="188">
                  <c:v>1.942644918951089</c:v>
                </c:pt>
                <c:pt idx="189">
                  <c:v>1.7268649343290488</c:v>
                </c:pt>
                <c:pt idx="190">
                  <c:v>1.9345840649149313</c:v>
                </c:pt>
                <c:pt idx="191">
                  <c:v>2.1502402181738525</c:v>
                </c:pt>
                <c:pt idx="192">
                  <c:v>1.6761101481527803</c:v>
                </c:pt>
                <c:pt idx="193">
                  <c:v>2.3654139641802097</c:v>
                </c:pt>
                <c:pt idx="194">
                  <c:v>1.7805615478055792</c:v>
                </c:pt>
                <c:pt idx="195">
                  <c:v>1.8937701672176654</c:v>
                </c:pt>
                <c:pt idx="196">
                  <c:v>1.8616057778362958</c:v>
                </c:pt>
                <c:pt idx="197">
                  <c:v>1.8819468757415034</c:v>
                </c:pt>
                <c:pt idx="198">
                  <c:v>2.0627509561679691</c:v>
                </c:pt>
                <c:pt idx="199">
                  <c:v>1.6158689876183079</c:v>
                </c:pt>
                <c:pt idx="200">
                  <c:v>1.9494362564407943</c:v>
                </c:pt>
                <c:pt idx="201">
                  <c:v>1.5155980686061259</c:v>
                </c:pt>
                <c:pt idx="202">
                  <c:v>1.7652692385278126</c:v>
                </c:pt>
                <c:pt idx="203">
                  <c:v>1.5271629860182667</c:v>
                </c:pt>
                <c:pt idx="204">
                  <c:v>1.6059636715586603</c:v>
                </c:pt>
                <c:pt idx="205">
                  <c:v>1.6744516212638452</c:v>
                </c:pt>
                <c:pt idx="206">
                  <c:v>1.6955130570724553</c:v>
                </c:pt>
                <c:pt idx="207">
                  <c:v>1.8624398682852128</c:v>
                </c:pt>
                <c:pt idx="208">
                  <c:v>1.5935046278549176</c:v>
                </c:pt>
                <c:pt idx="209">
                  <c:v>1.9940693815263657</c:v>
                </c:pt>
                <c:pt idx="210">
                  <c:v>1.9317784018622408</c:v>
                </c:pt>
                <c:pt idx="211">
                  <c:v>2.1903773979942986</c:v>
                </c:pt>
                <c:pt idx="212">
                  <c:v>1.6016270144159392</c:v>
                </c:pt>
                <c:pt idx="213">
                  <c:v>2.0797415590539412</c:v>
                </c:pt>
                <c:pt idx="214">
                  <c:v>1.7659381182627865</c:v>
                </c:pt>
                <c:pt idx="215">
                  <c:v>1.8634337897741222</c:v>
                </c:pt>
                <c:pt idx="216">
                  <c:v>2.4186729064553365</c:v>
                </c:pt>
                <c:pt idx="217">
                  <c:v>1.9620780791594328</c:v>
                </c:pt>
                <c:pt idx="218">
                  <c:v>2.0234553450224766</c:v>
                </c:pt>
                <c:pt idx="219">
                  <c:v>1.9508616010419146</c:v>
                </c:pt>
                <c:pt idx="220">
                  <c:v>1.469591664372162</c:v>
                </c:pt>
                <c:pt idx="221">
                  <c:v>1.6990496825339214</c:v>
                </c:pt>
                <c:pt idx="222">
                  <c:v>2.2434149430189052</c:v>
                </c:pt>
                <c:pt idx="223">
                  <c:v>1.7641935411721459</c:v>
                </c:pt>
                <c:pt idx="224">
                  <c:v>2.0751790225469318</c:v>
                </c:pt>
                <c:pt idx="225">
                  <c:v>1.7065860969882074</c:v>
                </c:pt>
                <c:pt idx="226">
                  <c:v>2.077824942952196</c:v>
                </c:pt>
                <c:pt idx="227">
                  <c:v>1.8173136880373928</c:v>
                </c:pt>
                <c:pt idx="228">
                  <c:v>2.1906805320399965</c:v>
                </c:pt>
                <c:pt idx="229">
                  <c:v>1.9444326960668086</c:v>
                </c:pt>
                <c:pt idx="230">
                  <c:v>2.2418605217765126</c:v>
                </c:pt>
                <c:pt idx="231">
                  <c:v>1.8107417796681951</c:v>
                </c:pt>
                <c:pt idx="232">
                  <c:v>2.5399023684776001</c:v>
                </c:pt>
                <c:pt idx="233">
                  <c:v>1.7056682748106322</c:v>
                </c:pt>
                <c:pt idx="234">
                  <c:v>1.7481274548029617</c:v>
                </c:pt>
                <c:pt idx="235">
                  <c:v>1.5713339650725917</c:v>
                </c:pt>
                <c:pt idx="236">
                  <c:v>1.6275390036757109</c:v>
                </c:pt>
                <c:pt idx="237">
                  <c:v>1.5616829916454851</c:v>
                </c:pt>
                <c:pt idx="238">
                  <c:v>1.6713468352133631</c:v>
                </c:pt>
                <c:pt idx="239">
                  <c:v>1.737465192789081</c:v>
                </c:pt>
                <c:pt idx="240">
                  <c:v>2.0342256875073392</c:v>
                </c:pt>
                <c:pt idx="241">
                  <c:v>1.6534977903528265</c:v>
                </c:pt>
                <c:pt idx="242">
                  <c:v>1.7652881905569728</c:v>
                </c:pt>
                <c:pt idx="243">
                  <c:v>2.3182143999066245</c:v>
                </c:pt>
                <c:pt idx="244">
                  <c:v>1.793299643879477</c:v>
                </c:pt>
                <c:pt idx="245">
                  <c:v>1.6816041848985801</c:v>
                </c:pt>
                <c:pt idx="246">
                  <c:v>1.8313638411277697</c:v>
                </c:pt>
                <c:pt idx="247">
                  <c:v>1.6263630407543861</c:v>
                </c:pt>
                <c:pt idx="248">
                  <c:v>2.1084181341048378</c:v>
                </c:pt>
                <c:pt idx="249">
                  <c:v>1.8897966967388751</c:v>
                </c:pt>
                <c:pt idx="250">
                  <c:v>1.5718551051978444</c:v>
                </c:pt>
                <c:pt idx="251">
                  <c:v>1.5596021862581466</c:v>
                </c:pt>
                <c:pt idx="252">
                  <c:v>2.1180749885710064</c:v>
                </c:pt>
                <c:pt idx="253">
                  <c:v>2.0593280278959902</c:v>
                </c:pt>
                <c:pt idx="254">
                  <c:v>1.8730917913403733</c:v>
                </c:pt>
                <c:pt idx="255">
                  <c:v>1.7771792728721927</c:v>
                </c:pt>
                <c:pt idx="256">
                  <c:v>1.7606124173288986</c:v>
                </c:pt>
                <c:pt idx="257">
                  <c:v>1.6034710666960859</c:v>
                </c:pt>
                <c:pt idx="258">
                  <c:v>1.4555634765716938</c:v>
                </c:pt>
                <c:pt idx="259">
                  <c:v>1.6957322223028815</c:v>
                </c:pt>
                <c:pt idx="260">
                  <c:v>1.8710086088966733</c:v>
                </c:pt>
                <c:pt idx="261">
                  <c:v>2.0546351922944037</c:v>
                </c:pt>
                <c:pt idx="262">
                  <c:v>2.1213636007255374</c:v>
                </c:pt>
                <c:pt idx="263">
                  <c:v>1.8089564503405295</c:v>
                </c:pt>
                <c:pt idx="264">
                  <c:v>2.1957533491012065</c:v>
                </c:pt>
                <c:pt idx="265">
                  <c:v>1.823528578094729</c:v>
                </c:pt>
                <c:pt idx="266">
                  <c:v>1.7472191089109419</c:v>
                </c:pt>
                <c:pt idx="267">
                  <c:v>2.1594299095257732</c:v>
                </c:pt>
                <c:pt idx="268">
                  <c:v>1.8329864327296139</c:v>
                </c:pt>
                <c:pt idx="269">
                  <c:v>1.8252296028410537</c:v>
                </c:pt>
                <c:pt idx="270">
                  <c:v>1.984987260404294</c:v>
                </c:pt>
                <c:pt idx="271">
                  <c:v>1.6383761698204253</c:v>
                </c:pt>
                <c:pt idx="272">
                  <c:v>1.9416781547584314</c:v>
                </c:pt>
                <c:pt idx="273">
                  <c:v>1.7678363513231368</c:v>
                </c:pt>
                <c:pt idx="274">
                  <c:v>1.8969007940009899</c:v>
                </c:pt>
                <c:pt idx="275">
                  <c:v>1.7105066591008331</c:v>
                </c:pt>
                <c:pt idx="276">
                  <c:v>1.5395699661937101</c:v>
                </c:pt>
                <c:pt idx="277">
                  <c:v>1.57151043576844</c:v>
                </c:pt>
                <c:pt idx="278">
                  <c:v>1.6320408863664539</c:v>
                </c:pt>
                <c:pt idx="279">
                  <c:v>2.4326344474258139</c:v>
                </c:pt>
                <c:pt idx="280">
                  <c:v>2.2250852031161994</c:v>
                </c:pt>
                <c:pt idx="281">
                  <c:v>1.7006004146506584</c:v>
                </c:pt>
                <c:pt idx="282">
                  <c:v>2.2445384913736905</c:v>
                </c:pt>
                <c:pt idx="283">
                  <c:v>1.6096008453597985</c:v>
                </c:pt>
                <c:pt idx="284">
                  <c:v>2.0610701154593247</c:v>
                </c:pt>
                <c:pt idx="285">
                  <c:v>1.8289645772683976</c:v>
                </c:pt>
                <c:pt idx="286">
                  <c:v>1.5347800225232966</c:v>
                </c:pt>
                <c:pt idx="287">
                  <c:v>1.5519750119892759</c:v>
                </c:pt>
                <c:pt idx="288">
                  <c:v>1.7819160379255621</c:v>
                </c:pt>
                <c:pt idx="289">
                  <c:v>2.032354616648524</c:v>
                </c:pt>
                <c:pt idx="290">
                  <c:v>1.7792480226098188</c:v>
                </c:pt>
                <c:pt idx="291">
                  <c:v>1.8227523377744745</c:v>
                </c:pt>
                <c:pt idx="292">
                  <c:v>1.6567602978308944</c:v>
                </c:pt>
                <c:pt idx="293">
                  <c:v>1.8253962264983699</c:v>
                </c:pt>
                <c:pt idx="294">
                  <c:v>2.3768226891683959</c:v>
                </c:pt>
                <c:pt idx="295">
                  <c:v>2.1726691266319218</c:v>
                </c:pt>
                <c:pt idx="296">
                  <c:v>1.7285550138032963</c:v>
                </c:pt>
                <c:pt idx="297">
                  <c:v>1.5448686945196535</c:v>
                </c:pt>
                <c:pt idx="298">
                  <c:v>1.9746296956686127</c:v>
                </c:pt>
                <c:pt idx="299">
                  <c:v>2.0579479134222236</c:v>
                </c:pt>
                <c:pt idx="300">
                  <c:v>1.9044627097071647</c:v>
                </c:pt>
                <c:pt idx="301">
                  <c:v>2.0203688570779708</c:v>
                </c:pt>
                <c:pt idx="302">
                  <c:v>1.8312043077340157</c:v>
                </c:pt>
                <c:pt idx="303">
                  <c:v>1.5026281662940857</c:v>
                </c:pt>
                <c:pt idx="304">
                  <c:v>1.9422192861110918</c:v>
                </c:pt>
                <c:pt idx="305">
                  <c:v>1.6420346831383945</c:v>
                </c:pt>
                <c:pt idx="306">
                  <c:v>1.7573032947431919</c:v>
                </c:pt>
                <c:pt idx="307">
                  <c:v>1.7594849598924593</c:v>
                </c:pt>
                <c:pt idx="308">
                  <c:v>1.5464258490492018</c:v>
                </c:pt>
                <c:pt idx="309">
                  <c:v>1.7996229962030625</c:v>
                </c:pt>
                <c:pt idx="310">
                  <c:v>1.9724472871085368</c:v>
                </c:pt>
                <c:pt idx="311">
                  <c:v>1.5577775369525089</c:v>
                </c:pt>
                <c:pt idx="312">
                  <c:v>1.6759928319769326</c:v>
                </c:pt>
                <c:pt idx="313">
                  <c:v>1.8296710324053844</c:v>
                </c:pt>
                <c:pt idx="314">
                  <c:v>1.6617334632124443</c:v>
                </c:pt>
                <c:pt idx="315">
                  <c:v>2.1284393118573366</c:v>
                </c:pt>
                <c:pt idx="316">
                  <c:v>1.8528346827597915</c:v>
                </c:pt>
                <c:pt idx="317">
                  <c:v>2.1319616097270124</c:v>
                </c:pt>
                <c:pt idx="318">
                  <c:v>1.4054950152293202</c:v>
                </c:pt>
                <c:pt idx="319">
                  <c:v>2.2584877451479617</c:v>
                </c:pt>
                <c:pt idx="320">
                  <c:v>1.5771645814357704</c:v>
                </c:pt>
                <c:pt idx="321">
                  <c:v>1.8302670997315538</c:v>
                </c:pt>
                <c:pt idx="322">
                  <c:v>1.9533314885708997</c:v>
                </c:pt>
                <c:pt idx="323">
                  <c:v>1.9176896216946506</c:v>
                </c:pt>
                <c:pt idx="324">
                  <c:v>1.7717292057859861</c:v>
                </c:pt>
                <c:pt idx="325">
                  <c:v>1.9267999744573334</c:v>
                </c:pt>
                <c:pt idx="326">
                  <c:v>1.7171629273138755</c:v>
                </c:pt>
                <c:pt idx="327">
                  <c:v>1.9181440241259224</c:v>
                </c:pt>
                <c:pt idx="328">
                  <c:v>1.8998909515140472</c:v>
                </c:pt>
                <c:pt idx="329">
                  <c:v>2.240482441343449</c:v>
                </c:pt>
                <c:pt idx="330">
                  <c:v>2.0328332704983652</c:v>
                </c:pt>
                <c:pt idx="331">
                  <c:v>1.8903443549642702</c:v>
                </c:pt>
                <c:pt idx="332">
                  <c:v>1.3752809585792249</c:v>
                </c:pt>
                <c:pt idx="333">
                  <c:v>1.9749278997225606</c:v>
                </c:pt>
                <c:pt idx="334">
                  <c:v>1.921595924264599</c:v>
                </c:pt>
                <c:pt idx="335">
                  <c:v>2.0963738142155908</c:v>
                </c:pt>
                <c:pt idx="336">
                  <c:v>1.8137508245400848</c:v>
                </c:pt>
                <c:pt idx="337">
                  <c:v>1.7706330339078793</c:v>
                </c:pt>
                <c:pt idx="338">
                  <c:v>1.777838353519634</c:v>
                </c:pt>
                <c:pt idx="339">
                  <c:v>1.526776649696453</c:v>
                </c:pt>
                <c:pt idx="340">
                  <c:v>1.9222281198557756</c:v>
                </c:pt>
                <c:pt idx="341">
                  <c:v>1.8352802503981156</c:v>
                </c:pt>
                <c:pt idx="342">
                  <c:v>2.0327460831328494</c:v>
                </c:pt>
                <c:pt idx="343">
                  <c:v>2.0033245670894058</c:v>
                </c:pt>
                <c:pt idx="344">
                  <c:v>1.7796299593490446</c:v>
                </c:pt>
                <c:pt idx="345">
                  <c:v>1.6837660094593794</c:v>
                </c:pt>
                <c:pt idx="346">
                  <c:v>1.8232411510640585</c:v>
                </c:pt>
                <c:pt idx="347">
                  <c:v>1.9747048690587761</c:v>
                </c:pt>
                <c:pt idx="348">
                  <c:v>2.0074254356273862</c:v>
                </c:pt>
                <c:pt idx="349">
                  <c:v>2.0995975812505812</c:v>
                </c:pt>
                <c:pt idx="350">
                  <c:v>1.7882822401839018</c:v>
                </c:pt>
                <c:pt idx="351">
                  <c:v>1.8638681739245335</c:v>
                </c:pt>
                <c:pt idx="352">
                  <c:v>1.8453685837378444</c:v>
                </c:pt>
                <c:pt idx="353">
                  <c:v>1.4135711209827271</c:v>
                </c:pt>
                <c:pt idx="354">
                  <c:v>1.3934911983100289</c:v>
                </c:pt>
                <c:pt idx="355">
                  <c:v>2.0690747696129925</c:v>
                </c:pt>
                <c:pt idx="356">
                  <c:v>1.9283177713820123</c:v>
                </c:pt>
                <c:pt idx="357">
                  <c:v>2.0020938472768961</c:v>
                </c:pt>
                <c:pt idx="358">
                  <c:v>1.9920658973407015</c:v>
                </c:pt>
                <c:pt idx="359">
                  <c:v>1.7639027852586775</c:v>
                </c:pt>
                <c:pt idx="360">
                  <c:v>1.7698328320195298</c:v>
                </c:pt>
                <c:pt idx="361">
                  <c:v>1.6545761340809477</c:v>
                </c:pt>
                <c:pt idx="362">
                  <c:v>1.827969218136106</c:v>
                </c:pt>
                <c:pt idx="363">
                  <c:v>1.5273215043736794</c:v>
                </c:pt>
                <c:pt idx="364">
                  <c:v>2.1194525017663715</c:v>
                </c:pt>
                <c:pt idx="365">
                  <c:v>1.3560810961514793</c:v>
                </c:pt>
                <c:pt idx="366">
                  <c:v>1.8319386661843708</c:v>
                </c:pt>
                <c:pt idx="367">
                  <c:v>2.0497563818074802</c:v>
                </c:pt>
                <c:pt idx="368">
                  <c:v>1.7514916542859069</c:v>
                </c:pt>
                <c:pt idx="369">
                  <c:v>1.7302207667121987</c:v>
                </c:pt>
                <c:pt idx="370">
                  <c:v>1.8092102815526516</c:v>
                </c:pt>
                <c:pt idx="371">
                  <c:v>2.3033871135568518</c:v>
                </c:pt>
                <c:pt idx="372">
                  <c:v>1.6748004055434027</c:v>
                </c:pt>
                <c:pt idx="373">
                  <c:v>1.8493298999324193</c:v>
                </c:pt>
                <c:pt idx="374">
                  <c:v>2.080891100642722</c:v>
                </c:pt>
                <c:pt idx="375">
                  <c:v>1.8021538935241246</c:v>
                </c:pt>
                <c:pt idx="376">
                  <c:v>1.9545666805463853</c:v>
                </c:pt>
                <c:pt idx="377">
                  <c:v>1.9250474906236352</c:v>
                </c:pt>
                <c:pt idx="378">
                  <c:v>1.8325657982935351</c:v>
                </c:pt>
                <c:pt idx="379">
                  <c:v>1.9093972166986184</c:v>
                </c:pt>
                <c:pt idx="380">
                  <c:v>1.8319897317604479</c:v>
                </c:pt>
                <c:pt idx="381">
                  <c:v>1.7922960593180974</c:v>
                </c:pt>
                <c:pt idx="382">
                  <c:v>1.5607794733786999</c:v>
                </c:pt>
                <c:pt idx="383">
                  <c:v>1.8587700834214669</c:v>
                </c:pt>
                <c:pt idx="384">
                  <c:v>1.6256603579938691</c:v>
                </c:pt>
                <c:pt idx="385">
                  <c:v>1.4972850178686876</c:v>
                </c:pt>
                <c:pt idx="386">
                  <c:v>1.5478970330752269</c:v>
                </c:pt>
                <c:pt idx="387">
                  <c:v>1.609338763292044</c:v>
                </c:pt>
                <c:pt idx="388">
                  <c:v>2.1711654297805367</c:v>
                </c:pt>
                <c:pt idx="389">
                  <c:v>1.5681359440815079</c:v>
                </c:pt>
                <c:pt idx="390">
                  <c:v>1.482857583719337</c:v>
                </c:pt>
                <c:pt idx="391">
                  <c:v>1.6010517068615506</c:v>
                </c:pt>
                <c:pt idx="392">
                  <c:v>1.8213114767266685</c:v>
                </c:pt>
                <c:pt idx="393">
                  <c:v>1.912715918481787</c:v>
                </c:pt>
                <c:pt idx="394">
                  <c:v>1.8878160187874649</c:v>
                </c:pt>
                <c:pt idx="395">
                  <c:v>1.8138890381410331</c:v>
                </c:pt>
                <c:pt idx="396">
                  <c:v>1.8843053722189236</c:v>
                </c:pt>
                <c:pt idx="397">
                  <c:v>2.3035094020926898</c:v>
                </c:pt>
                <c:pt idx="398">
                  <c:v>1.9806369846301859</c:v>
                </c:pt>
                <c:pt idx="399">
                  <c:v>2.1721382795455533</c:v>
                </c:pt>
                <c:pt idx="400">
                  <c:v>1.1565682429195938</c:v>
                </c:pt>
                <c:pt idx="401">
                  <c:v>1.5629838458685068</c:v>
                </c:pt>
                <c:pt idx="402">
                  <c:v>1.6132278140733529</c:v>
                </c:pt>
                <c:pt idx="403">
                  <c:v>1.8416532428476948</c:v>
                </c:pt>
                <c:pt idx="404">
                  <c:v>1.8396636999483018</c:v>
                </c:pt>
                <c:pt idx="405">
                  <c:v>1.5709821158580848</c:v>
                </c:pt>
                <c:pt idx="406">
                  <c:v>1.7356981329480945</c:v>
                </c:pt>
                <c:pt idx="407">
                  <c:v>1.8778170120153526</c:v>
                </c:pt>
                <c:pt idx="408">
                  <c:v>2.0205532606497005</c:v>
                </c:pt>
                <c:pt idx="409">
                  <c:v>1.6119584595045051</c:v>
                </c:pt>
                <c:pt idx="410">
                  <c:v>2.1011431251137047</c:v>
                </c:pt>
                <c:pt idx="411">
                  <c:v>1.8510137795824999</c:v>
                </c:pt>
                <c:pt idx="412">
                  <c:v>1.7414043694599783</c:v>
                </c:pt>
                <c:pt idx="413">
                  <c:v>1.6388881929148216</c:v>
                </c:pt>
                <c:pt idx="414">
                  <c:v>1.8167326144874032</c:v>
                </c:pt>
                <c:pt idx="415">
                  <c:v>1.5730227663420067</c:v>
                </c:pt>
                <c:pt idx="416">
                  <c:v>1.5137600858267994</c:v>
                </c:pt>
                <c:pt idx="417">
                  <c:v>1.735614649684825</c:v>
                </c:pt>
                <c:pt idx="418">
                  <c:v>1.5239767650283138</c:v>
                </c:pt>
                <c:pt idx="419">
                  <c:v>2.0103492429727137</c:v>
                </c:pt>
                <c:pt idx="420">
                  <c:v>1.6498877435963308</c:v>
                </c:pt>
                <c:pt idx="421">
                  <c:v>1.5094497871409391</c:v>
                </c:pt>
                <c:pt idx="422">
                  <c:v>1.8428902191594343</c:v>
                </c:pt>
                <c:pt idx="423">
                  <c:v>1.8050781202945618</c:v>
                </c:pt>
                <c:pt idx="424">
                  <c:v>1.5969340736703259</c:v>
                </c:pt>
                <c:pt idx="425">
                  <c:v>2.0013488108313897</c:v>
                </c:pt>
                <c:pt idx="426">
                  <c:v>1.6571803210091218</c:v>
                </c:pt>
                <c:pt idx="427">
                  <c:v>1.6421316773844215</c:v>
                </c:pt>
                <c:pt idx="428">
                  <c:v>1.791023229510655</c:v>
                </c:pt>
                <c:pt idx="429">
                  <c:v>1.9044535427137532</c:v>
                </c:pt>
                <c:pt idx="430">
                  <c:v>1.9863671281593351</c:v>
                </c:pt>
                <c:pt idx="431">
                  <c:v>1.7479804897055686</c:v>
                </c:pt>
                <c:pt idx="432">
                  <c:v>2.1532322205621899</c:v>
                </c:pt>
                <c:pt idx="433">
                  <c:v>2.1769680139014334</c:v>
                </c:pt>
                <c:pt idx="434">
                  <c:v>1.8237184097459469</c:v>
                </c:pt>
                <c:pt idx="435">
                  <c:v>1.8055793303679</c:v>
                </c:pt>
                <c:pt idx="436">
                  <c:v>1.359006593903004</c:v>
                </c:pt>
                <c:pt idx="437">
                  <c:v>1.9019063730484742</c:v>
                </c:pt>
                <c:pt idx="438">
                  <c:v>1.6927968001348059</c:v>
                </c:pt>
                <c:pt idx="439">
                  <c:v>1.3522294893716946</c:v>
                </c:pt>
                <c:pt idx="440">
                  <c:v>2.1553046153400341</c:v>
                </c:pt>
                <c:pt idx="441">
                  <c:v>1.7253047026923554</c:v>
                </c:pt>
                <c:pt idx="442">
                  <c:v>1.633835873895352</c:v>
                </c:pt>
                <c:pt idx="443">
                  <c:v>2.0605770323642432</c:v>
                </c:pt>
                <c:pt idx="444">
                  <c:v>1.5601105502061117</c:v>
                </c:pt>
                <c:pt idx="445">
                  <c:v>1.5243802015179089</c:v>
                </c:pt>
                <c:pt idx="446">
                  <c:v>1.9019696472821579</c:v>
                </c:pt>
                <c:pt idx="447">
                  <c:v>2.0652920685306153</c:v>
                </c:pt>
                <c:pt idx="448">
                  <c:v>2.0469687427290282</c:v>
                </c:pt>
                <c:pt idx="449">
                  <c:v>1.7714089422538741</c:v>
                </c:pt>
                <c:pt idx="450">
                  <c:v>2.0589476081937512</c:v>
                </c:pt>
                <c:pt idx="451">
                  <c:v>1.8803189364699833</c:v>
                </c:pt>
                <c:pt idx="452">
                  <c:v>1.6609179391975566</c:v>
                </c:pt>
                <c:pt idx="453">
                  <c:v>1.7314880207835337</c:v>
                </c:pt>
                <c:pt idx="454">
                  <c:v>1.8748343285736322</c:v>
                </c:pt>
                <c:pt idx="455">
                  <c:v>2.0070849527367276</c:v>
                </c:pt>
                <c:pt idx="456">
                  <c:v>2.1801840073271652</c:v>
                </c:pt>
                <c:pt idx="457">
                  <c:v>1.3356904826735825</c:v>
                </c:pt>
                <c:pt idx="458">
                  <c:v>1.9843052187553454</c:v>
                </c:pt>
                <c:pt idx="459">
                  <c:v>2.0349121576928511</c:v>
                </c:pt>
                <c:pt idx="460">
                  <c:v>2.0597137357349862</c:v>
                </c:pt>
                <c:pt idx="461">
                  <c:v>1.8158998533325104</c:v>
                </c:pt>
                <c:pt idx="462">
                  <c:v>1.9506907064486647</c:v>
                </c:pt>
                <c:pt idx="463">
                  <c:v>1.8171988323217612</c:v>
                </c:pt>
                <c:pt idx="464">
                  <c:v>1.9511451122951922</c:v>
                </c:pt>
                <c:pt idx="465">
                  <c:v>2.0919253431606553</c:v>
                </c:pt>
                <c:pt idx="466">
                  <c:v>1.7994581478171643</c:v>
                </c:pt>
                <c:pt idx="467">
                  <c:v>2.141696954125246</c:v>
                </c:pt>
                <c:pt idx="468">
                  <c:v>1.7195572004027966</c:v>
                </c:pt>
                <c:pt idx="469">
                  <c:v>1.4562510950458023</c:v>
                </c:pt>
                <c:pt idx="470">
                  <c:v>1.7571991561504348</c:v>
                </c:pt>
                <c:pt idx="471">
                  <c:v>1.7639529509993466</c:v>
                </c:pt>
                <c:pt idx="472">
                  <c:v>2.2804241146487438</c:v>
                </c:pt>
                <c:pt idx="473">
                  <c:v>1.7182393694986384</c:v>
                </c:pt>
                <c:pt idx="474">
                  <c:v>2.0018701351017416</c:v>
                </c:pt>
                <c:pt idx="475">
                  <c:v>1.9301508491163872</c:v>
                </c:pt>
                <c:pt idx="476">
                  <c:v>2.3586356431960933</c:v>
                </c:pt>
                <c:pt idx="477">
                  <c:v>2.0181773576155244</c:v>
                </c:pt>
                <c:pt idx="478">
                  <c:v>1.4940442222350363</c:v>
                </c:pt>
                <c:pt idx="479">
                  <c:v>1.8104541113682817</c:v>
                </c:pt>
                <c:pt idx="480">
                  <c:v>1.6537238993103536</c:v>
                </c:pt>
                <c:pt idx="481">
                  <c:v>1.7442264645497438</c:v>
                </c:pt>
                <c:pt idx="482">
                  <c:v>1.9859328071108511</c:v>
                </c:pt>
                <c:pt idx="483">
                  <c:v>1.5186841218004545</c:v>
                </c:pt>
                <c:pt idx="484">
                  <c:v>1.9613877068631513</c:v>
                </c:pt>
                <c:pt idx="485">
                  <c:v>1.7519364766211485</c:v>
                </c:pt>
                <c:pt idx="486">
                  <c:v>1.4753593106460166</c:v>
                </c:pt>
                <c:pt idx="487">
                  <c:v>1.8916412336958768</c:v>
                </c:pt>
                <c:pt idx="488">
                  <c:v>1.9895048979192751</c:v>
                </c:pt>
                <c:pt idx="489">
                  <c:v>1.7031781403302819</c:v>
                </c:pt>
                <c:pt idx="490">
                  <c:v>1.8238538588939885</c:v>
                </c:pt>
                <c:pt idx="491">
                  <c:v>1.656106893178384</c:v>
                </c:pt>
                <c:pt idx="492">
                  <c:v>1.7231432539321023</c:v>
                </c:pt>
                <c:pt idx="493">
                  <c:v>1.7199524125795591</c:v>
                </c:pt>
                <c:pt idx="494">
                  <c:v>2.4155254012947776</c:v>
                </c:pt>
                <c:pt idx="495">
                  <c:v>1.605577599141963</c:v>
                </c:pt>
                <c:pt idx="496">
                  <c:v>1.9447163015071354</c:v>
                </c:pt>
                <c:pt idx="497">
                  <c:v>1.6107808840254503</c:v>
                </c:pt>
                <c:pt idx="498">
                  <c:v>1.9775212861604476</c:v>
                </c:pt>
                <c:pt idx="499">
                  <c:v>1.9326886886789598</c:v>
                </c:pt>
                <c:pt idx="500">
                  <c:v>2.0225654169590541</c:v>
                </c:pt>
                <c:pt idx="501">
                  <c:v>1.5845398792058685</c:v>
                </c:pt>
                <c:pt idx="502">
                  <c:v>1.6891791287969014</c:v>
                </c:pt>
                <c:pt idx="503">
                  <c:v>2.0661520540674125</c:v>
                </c:pt>
                <c:pt idx="504">
                  <c:v>1.6185690689221524</c:v>
                </c:pt>
                <c:pt idx="505">
                  <c:v>2.0795748333688344</c:v>
                </c:pt>
                <c:pt idx="506">
                  <c:v>2.1287535239886672</c:v>
                </c:pt>
                <c:pt idx="507">
                  <c:v>1.7882642802159108</c:v>
                </c:pt>
                <c:pt idx="508">
                  <c:v>1.9587732603854953</c:v>
                </c:pt>
                <c:pt idx="509">
                  <c:v>1.9034650594544793</c:v>
                </c:pt>
                <c:pt idx="510">
                  <c:v>1.7115231225771375</c:v>
                </c:pt>
                <c:pt idx="511">
                  <c:v>1.6061358895542828</c:v>
                </c:pt>
                <c:pt idx="512">
                  <c:v>2.0346810357838248</c:v>
                </c:pt>
                <c:pt idx="513">
                  <c:v>1.7330206780957838</c:v>
                </c:pt>
                <c:pt idx="514">
                  <c:v>1.745003109536464</c:v>
                </c:pt>
                <c:pt idx="515">
                  <c:v>1.6782425612974627</c:v>
                </c:pt>
                <c:pt idx="516">
                  <c:v>1.555224452359651</c:v>
                </c:pt>
                <c:pt idx="517">
                  <c:v>1.6364379392732946</c:v>
                </c:pt>
                <c:pt idx="518">
                  <c:v>2.1648866948957579</c:v>
                </c:pt>
                <c:pt idx="519">
                  <c:v>1.7005060893493056</c:v>
                </c:pt>
                <c:pt idx="520">
                  <c:v>1.3923979577336549</c:v>
                </c:pt>
                <c:pt idx="521">
                  <c:v>2.1047725194627382</c:v>
                </c:pt>
                <c:pt idx="522">
                  <c:v>1.7671732271611091</c:v>
                </c:pt>
                <c:pt idx="523">
                  <c:v>1.4639253756056032</c:v>
                </c:pt>
                <c:pt idx="524">
                  <c:v>1.9119092892197695</c:v>
                </c:pt>
                <c:pt idx="525">
                  <c:v>1.6835448331331744</c:v>
                </c:pt>
                <c:pt idx="526">
                  <c:v>2.0769683864610506</c:v>
                </c:pt>
                <c:pt idx="527">
                  <c:v>1.7582861001819303</c:v>
                </c:pt>
                <c:pt idx="528">
                  <c:v>1.9676384415183161</c:v>
                </c:pt>
                <c:pt idx="529">
                  <c:v>1.5937460975792792</c:v>
                </c:pt>
                <c:pt idx="530">
                  <c:v>1.6607268364280259</c:v>
                </c:pt>
                <c:pt idx="531">
                  <c:v>2.1242205626563706</c:v>
                </c:pt>
                <c:pt idx="532">
                  <c:v>1.8196414289735525</c:v>
                </c:pt>
                <c:pt idx="533">
                  <c:v>1.8781422244856412</c:v>
                </c:pt>
                <c:pt idx="534">
                  <c:v>1.8858521158562773</c:v>
                </c:pt>
                <c:pt idx="535">
                  <c:v>1.7893524717987379</c:v>
                </c:pt>
                <c:pt idx="536">
                  <c:v>1.365230194100155</c:v>
                </c:pt>
                <c:pt idx="537">
                  <c:v>1.9928839753874144</c:v>
                </c:pt>
                <c:pt idx="538">
                  <c:v>2.1556201290871773</c:v>
                </c:pt>
                <c:pt idx="539">
                  <c:v>1.9001195039597629</c:v>
                </c:pt>
                <c:pt idx="540">
                  <c:v>1.8162463700162572</c:v>
                </c:pt>
                <c:pt idx="541">
                  <c:v>1.9011366087177564</c:v>
                </c:pt>
                <c:pt idx="542">
                  <c:v>1.4606488726685942</c:v>
                </c:pt>
                <c:pt idx="543">
                  <c:v>1.9668270769983973</c:v>
                </c:pt>
                <c:pt idx="544">
                  <c:v>1.3241793755008366</c:v>
                </c:pt>
                <c:pt idx="545">
                  <c:v>2.1284402552523751</c:v>
                </c:pt>
                <c:pt idx="546">
                  <c:v>1.5855515768295323</c:v>
                </c:pt>
                <c:pt idx="547">
                  <c:v>1.6737437447468047</c:v>
                </c:pt>
                <c:pt idx="548">
                  <c:v>1.6186990955215794</c:v>
                </c:pt>
                <c:pt idx="549">
                  <c:v>1.5985175226363495</c:v>
                </c:pt>
                <c:pt idx="550">
                  <c:v>1.7001298390904687</c:v>
                </c:pt>
                <c:pt idx="551">
                  <c:v>1.8422860548423987</c:v>
                </c:pt>
                <c:pt idx="552">
                  <c:v>1.8925069790656561</c:v>
                </c:pt>
                <c:pt idx="553">
                  <c:v>1.7820571632324818</c:v>
                </c:pt>
                <c:pt idx="554">
                  <c:v>1.780020803298374</c:v>
                </c:pt>
                <c:pt idx="555">
                  <c:v>1.5205874691318062</c:v>
                </c:pt>
                <c:pt idx="556">
                  <c:v>1.6316324189110549</c:v>
                </c:pt>
                <c:pt idx="557">
                  <c:v>2.0182556739515025</c:v>
                </c:pt>
                <c:pt idx="558">
                  <c:v>1.881705123544112</c:v>
                </c:pt>
                <c:pt idx="559">
                  <c:v>1.8964533471908798</c:v>
                </c:pt>
                <c:pt idx="560">
                  <c:v>1.6095655801730668</c:v>
                </c:pt>
                <c:pt idx="561">
                  <c:v>2.2607190500662977</c:v>
                </c:pt>
                <c:pt idx="562">
                  <c:v>2.0081515341171237</c:v>
                </c:pt>
                <c:pt idx="563">
                  <c:v>1.8579075968400502</c:v>
                </c:pt>
                <c:pt idx="564">
                  <c:v>2.0656235568181103</c:v>
                </c:pt>
                <c:pt idx="565">
                  <c:v>1.9123335475208307</c:v>
                </c:pt>
                <c:pt idx="566">
                  <c:v>1.8447599837750204</c:v>
                </c:pt>
                <c:pt idx="567">
                  <c:v>2.0947941922483651</c:v>
                </c:pt>
                <c:pt idx="568">
                  <c:v>2.0577278591060217</c:v>
                </c:pt>
                <c:pt idx="569">
                  <c:v>1.9264765996679856</c:v>
                </c:pt>
                <c:pt idx="570">
                  <c:v>1.9625417200509521</c:v>
                </c:pt>
                <c:pt idx="571">
                  <c:v>1.8153436610849099</c:v>
                </c:pt>
                <c:pt idx="572">
                  <c:v>2.175905910359397</c:v>
                </c:pt>
                <c:pt idx="573">
                  <c:v>1.9926744243824803</c:v>
                </c:pt>
                <c:pt idx="574">
                  <c:v>1.81892425116129</c:v>
                </c:pt>
                <c:pt idx="575">
                  <c:v>1.6332061008789687</c:v>
                </c:pt>
                <c:pt idx="576">
                  <c:v>1.8093043772763586</c:v>
                </c:pt>
                <c:pt idx="577">
                  <c:v>2.0994412159891667</c:v>
                </c:pt>
                <c:pt idx="578">
                  <c:v>1.6573217847430133</c:v>
                </c:pt>
                <c:pt idx="579">
                  <c:v>1.7650922838254068</c:v>
                </c:pt>
                <c:pt idx="580">
                  <c:v>2.1626216529568847</c:v>
                </c:pt>
                <c:pt idx="581">
                  <c:v>2.0877206813536198</c:v>
                </c:pt>
                <c:pt idx="582">
                  <c:v>2.2378176619527732</c:v>
                </c:pt>
                <c:pt idx="583">
                  <c:v>2.0752805098842408</c:v>
                </c:pt>
                <c:pt idx="584">
                  <c:v>1.7250663873160157</c:v>
                </c:pt>
                <c:pt idx="585">
                  <c:v>1.5242031540830379</c:v>
                </c:pt>
                <c:pt idx="586">
                  <c:v>1.9884990547107559</c:v>
                </c:pt>
                <c:pt idx="587">
                  <c:v>1.8924876065534786</c:v>
                </c:pt>
                <c:pt idx="588">
                  <c:v>1.851962795404468</c:v>
                </c:pt>
                <c:pt idx="589">
                  <c:v>1.5019095116208607</c:v>
                </c:pt>
                <c:pt idx="590">
                  <c:v>1.8306896613516344</c:v>
                </c:pt>
                <c:pt idx="591">
                  <c:v>1.8921626973525818</c:v>
                </c:pt>
                <c:pt idx="592">
                  <c:v>1.6759507623367842</c:v>
                </c:pt>
                <c:pt idx="593">
                  <c:v>1.9999034396938864</c:v>
                </c:pt>
                <c:pt idx="594">
                  <c:v>1.8611843918741648</c:v>
                </c:pt>
                <c:pt idx="595">
                  <c:v>1.9877896299586624</c:v>
                </c:pt>
                <c:pt idx="596">
                  <c:v>1.9212182780411684</c:v>
                </c:pt>
                <c:pt idx="597">
                  <c:v>1.7307635467797926</c:v>
                </c:pt>
                <c:pt idx="598">
                  <c:v>1.9566927419840248</c:v>
                </c:pt>
                <c:pt idx="599">
                  <c:v>2.0401311403569657</c:v>
                </c:pt>
                <c:pt idx="600">
                  <c:v>2.0224312297456173</c:v>
                </c:pt>
                <c:pt idx="601">
                  <c:v>1.7103885337924556</c:v>
                </c:pt>
                <c:pt idx="602">
                  <c:v>1.7282578052215225</c:v>
                </c:pt>
                <c:pt idx="603">
                  <c:v>1.7203932510254258</c:v>
                </c:pt>
                <c:pt idx="604">
                  <c:v>1.6814552368754114</c:v>
                </c:pt>
                <c:pt idx="605">
                  <c:v>1.8843122110101511</c:v>
                </c:pt>
                <c:pt idx="606">
                  <c:v>1.7872026405766324</c:v>
                </c:pt>
                <c:pt idx="607">
                  <c:v>1.9935531396382515</c:v>
                </c:pt>
                <c:pt idx="608">
                  <c:v>1.9430876599610425</c:v>
                </c:pt>
                <c:pt idx="609">
                  <c:v>1.9663675084587773</c:v>
                </c:pt>
                <c:pt idx="610">
                  <c:v>1.9011551143092529</c:v>
                </c:pt>
                <c:pt idx="611">
                  <c:v>1.710742022178799</c:v>
                </c:pt>
                <c:pt idx="612">
                  <c:v>1.4023930325296323</c:v>
                </c:pt>
                <c:pt idx="613">
                  <c:v>1.6586375347197997</c:v>
                </c:pt>
                <c:pt idx="614">
                  <c:v>2.0271164990617301</c:v>
                </c:pt>
                <c:pt idx="615">
                  <c:v>1.872910508077549</c:v>
                </c:pt>
                <c:pt idx="616">
                  <c:v>1.8567327989464761</c:v>
                </c:pt>
                <c:pt idx="617">
                  <c:v>1.9892169155939374</c:v>
                </c:pt>
                <c:pt idx="618">
                  <c:v>1.7582004602448134</c:v>
                </c:pt>
                <c:pt idx="619">
                  <c:v>2.0190015592473589</c:v>
                </c:pt>
                <c:pt idx="620">
                  <c:v>1.4030723826411577</c:v>
                </c:pt>
                <c:pt idx="621">
                  <c:v>1.7874832146268034</c:v>
                </c:pt>
                <c:pt idx="622">
                  <c:v>1.615093414992721</c:v>
                </c:pt>
                <c:pt idx="623">
                  <c:v>2.1827984829179616</c:v>
                </c:pt>
                <c:pt idx="624">
                  <c:v>2.102501283235382</c:v>
                </c:pt>
                <c:pt idx="625">
                  <c:v>1.8461494930705182</c:v>
                </c:pt>
                <c:pt idx="626">
                  <c:v>2.0717312631886085</c:v>
                </c:pt>
                <c:pt idx="627">
                  <c:v>1.8828027871632216</c:v>
                </c:pt>
                <c:pt idx="628">
                  <c:v>1.8916185416525906</c:v>
                </c:pt>
                <c:pt idx="629">
                  <c:v>1.6743808223152605</c:v>
                </c:pt>
                <c:pt idx="630">
                  <c:v>1.662711372705612</c:v>
                </c:pt>
                <c:pt idx="631">
                  <c:v>1.4989721722266331</c:v>
                </c:pt>
                <c:pt idx="632">
                  <c:v>1.4888437343651848</c:v>
                </c:pt>
                <c:pt idx="633">
                  <c:v>1.7323834787590524</c:v>
                </c:pt>
                <c:pt idx="634">
                  <c:v>1.4506058584997881</c:v>
                </c:pt>
                <c:pt idx="635">
                  <c:v>1.8975244429587192</c:v>
                </c:pt>
                <c:pt idx="636">
                  <c:v>1.7960080369620091</c:v>
                </c:pt>
                <c:pt idx="637">
                  <c:v>1.9855280666734618</c:v>
                </c:pt>
                <c:pt idx="638">
                  <c:v>2.1195782863435095</c:v>
                </c:pt>
                <c:pt idx="639">
                  <c:v>1.8965629182555421</c:v>
                </c:pt>
                <c:pt idx="640">
                  <c:v>1.9861608065465095</c:v>
                </c:pt>
                <c:pt idx="641">
                  <c:v>1.678613181242314</c:v>
                </c:pt>
                <c:pt idx="642">
                  <c:v>1.5152769754221325</c:v>
                </c:pt>
                <c:pt idx="643">
                  <c:v>1.7379467460776183</c:v>
                </c:pt>
                <c:pt idx="644">
                  <c:v>2.2903921045953641</c:v>
                </c:pt>
                <c:pt idx="645">
                  <c:v>2.1496354209416708</c:v>
                </c:pt>
                <c:pt idx="646">
                  <c:v>1.5707362184590963</c:v>
                </c:pt>
                <c:pt idx="647">
                  <c:v>1.8103025413026366</c:v>
                </c:pt>
                <c:pt idx="648">
                  <c:v>2.2744287069100064</c:v>
                </c:pt>
                <c:pt idx="649">
                  <c:v>1.8445404691228049</c:v>
                </c:pt>
                <c:pt idx="650">
                  <c:v>1.8949076673354703</c:v>
                </c:pt>
                <c:pt idx="651">
                  <c:v>1.7995607177062407</c:v>
                </c:pt>
                <c:pt idx="652">
                  <c:v>2.1092510542459433</c:v>
                </c:pt>
                <c:pt idx="653">
                  <c:v>2.0842936958452558</c:v>
                </c:pt>
                <c:pt idx="654">
                  <c:v>1.7634900813666476</c:v>
                </c:pt>
                <c:pt idx="655">
                  <c:v>1.6472559805102005</c:v>
                </c:pt>
                <c:pt idx="656">
                  <c:v>1.4968879541210143</c:v>
                </c:pt>
                <c:pt idx="657">
                  <c:v>1.4811895657128513</c:v>
                </c:pt>
                <c:pt idx="658">
                  <c:v>1.6215536646179256</c:v>
                </c:pt>
                <c:pt idx="659">
                  <c:v>2.1439960673244869</c:v>
                </c:pt>
                <c:pt idx="660">
                  <c:v>1.7863821944268654</c:v>
                </c:pt>
                <c:pt idx="661">
                  <c:v>1.9119226142932071</c:v>
                </c:pt>
                <c:pt idx="662">
                  <c:v>1.7586251251574687</c:v>
                </c:pt>
                <c:pt idx="663">
                  <c:v>1.6619075719608212</c:v>
                </c:pt>
                <c:pt idx="664">
                  <c:v>2.2909833559559178</c:v>
                </c:pt>
                <c:pt idx="665">
                  <c:v>1.7075189321350877</c:v>
                </c:pt>
                <c:pt idx="666">
                  <c:v>1.682764772425017</c:v>
                </c:pt>
                <c:pt idx="667">
                  <c:v>1.5878279659888701</c:v>
                </c:pt>
                <c:pt idx="668">
                  <c:v>1.6040976472894499</c:v>
                </c:pt>
                <c:pt idx="669">
                  <c:v>1.7204776833518718</c:v>
                </c:pt>
                <c:pt idx="670">
                  <c:v>1.8939014061614543</c:v>
                </c:pt>
                <c:pt idx="671">
                  <c:v>2.0160142347983019</c:v>
                </c:pt>
                <c:pt idx="672">
                  <c:v>1.8677407450216457</c:v>
                </c:pt>
                <c:pt idx="673">
                  <c:v>1.9177821231920067</c:v>
                </c:pt>
                <c:pt idx="674">
                  <c:v>1.9864220109701947</c:v>
                </c:pt>
                <c:pt idx="675">
                  <c:v>1.6988520147886526</c:v>
                </c:pt>
                <c:pt idx="676">
                  <c:v>1.5509606204607653</c:v>
                </c:pt>
                <c:pt idx="677">
                  <c:v>1.5992720989970586</c:v>
                </c:pt>
                <c:pt idx="678">
                  <c:v>1.7357123787745348</c:v>
                </c:pt>
                <c:pt idx="679">
                  <c:v>1.8801162970928793</c:v>
                </c:pt>
                <c:pt idx="680">
                  <c:v>1.7193878350161818</c:v>
                </c:pt>
                <c:pt idx="681">
                  <c:v>1.9841355568959713</c:v>
                </c:pt>
                <c:pt idx="682">
                  <c:v>1.5679638215498901</c:v>
                </c:pt>
                <c:pt idx="683">
                  <c:v>1.8002395204435793</c:v>
                </c:pt>
                <c:pt idx="684">
                  <c:v>1.9878995200684493</c:v>
                </c:pt>
                <c:pt idx="685">
                  <c:v>1.8360617008317277</c:v>
                </c:pt>
                <c:pt idx="686">
                  <c:v>1.8149044341472695</c:v>
                </c:pt>
                <c:pt idx="687">
                  <c:v>2.065531629316169</c:v>
                </c:pt>
                <c:pt idx="688">
                  <c:v>1.8210501702420299</c:v>
                </c:pt>
                <c:pt idx="689">
                  <c:v>1.61044153496068</c:v>
                </c:pt>
                <c:pt idx="690">
                  <c:v>1.582647858229425</c:v>
                </c:pt>
                <c:pt idx="691">
                  <c:v>1.8024772827100701</c:v>
                </c:pt>
                <c:pt idx="692">
                  <c:v>2.3868889778137508</c:v>
                </c:pt>
                <c:pt idx="693">
                  <c:v>1.9985121886007526</c:v>
                </c:pt>
                <c:pt idx="694">
                  <c:v>1.951642671568143</c:v>
                </c:pt>
                <c:pt idx="695">
                  <c:v>1.5167947355956244</c:v>
                </c:pt>
                <c:pt idx="696">
                  <c:v>1.5754507268914271</c:v>
                </c:pt>
                <c:pt idx="697">
                  <c:v>2.0659627952279731</c:v>
                </c:pt>
                <c:pt idx="698">
                  <c:v>1.9304034184424754</c:v>
                </c:pt>
                <c:pt idx="699">
                  <c:v>2.1700770221786723</c:v>
                </c:pt>
                <c:pt idx="700">
                  <c:v>1.8111853665032189</c:v>
                </c:pt>
                <c:pt idx="701">
                  <c:v>1.760070520873418</c:v>
                </c:pt>
                <c:pt idx="702">
                  <c:v>1.7788946284782128</c:v>
                </c:pt>
                <c:pt idx="703">
                  <c:v>1.6750491245050707</c:v>
                </c:pt>
                <c:pt idx="704">
                  <c:v>1.8709888271917734</c:v>
                </c:pt>
                <c:pt idx="705">
                  <c:v>2.0084425113646578</c:v>
                </c:pt>
                <c:pt idx="706">
                  <c:v>2.1293395186548398</c:v>
                </c:pt>
                <c:pt idx="707">
                  <c:v>1.5224477486943542</c:v>
                </c:pt>
                <c:pt idx="708">
                  <c:v>1.9996793554729706</c:v>
                </c:pt>
                <c:pt idx="709">
                  <c:v>1.8321297567898469</c:v>
                </c:pt>
                <c:pt idx="710">
                  <c:v>1.707823459322821</c:v>
                </c:pt>
                <c:pt idx="711">
                  <c:v>1.8913938106196735</c:v>
                </c:pt>
                <c:pt idx="712">
                  <c:v>1.9536774511377057</c:v>
                </c:pt>
                <c:pt idx="713">
                  <c:v>1.7223045617448847</c:v>
                </c:pt>
                <c:pt idx="714">
                  <c:v>1.7431495548451466</c:v>
                </c:pt>
                <c:pt idx="715">
                  <c:v>1.7452878573322081</c:v>
                </c:pt>
                <c:pt idx="716">
                  <c:v>1.5259168098910632</c:v>
                </c:pt>
                <c:pt idx="717">
                  <c:v>2.211893145535722</c:v>
                </c:pt>
                <c:pt idx="718">
                  <c:v>1.7580819603440681</c:v>
                </c:pt>
                <c:pt idx="719">
                  <c:v>1.7608670057592573</c:v>
                </c:pt>
                <c:pt idx="720">
                  <c:v>1.9691713148279568</c:v>
                </c:pt>
                <c:pt idx="721">
                  <c:v>1.8488304608351083</c:v>
                </c:pt>
                <c:pt idx="722">
                  <c:v>2.0554922274232084</c:v>
                </c:pt>
                <c:pt idx="723">
                  <c:v>1.8347638088424087</c:v>
                </c:pt>
                <c:pt idx="724">
                  <c:v>1.8156662907290677</c:v>
                </c:pt>
                <c:pt idx="725">
                  <c:v>1.9619940398068909</c:v>
                </c:pt>
                <c:pt idx="726">
                  <c:v>2.0379251933819251</c:v>
                </c:pt>
                <c:pt idx="727">
                  <c:v>2.0639951751407395</c:v>
                </c:pt>
                <c:pt idx="728">
                  <c:v>2.0387031387816403</c:v>
                </c:pt>
                <c:pt idx="729">
                  <c:v>1.8659326690144589</c:v>
                </c:pt>
                <c:pt idx="730">
                  <c:v>2.2409642366410623</c:v>
                </c:pt>
                <c:pt idx="731">
                  <c:v>1.8671021921296553</c:v>
                </c:pt>
                <c:pt idx="732">
                  <c:v>1.8440657645213587</c:v>
                </c:pt>
                <c:pt idx="733">
                  <c:v>1.8948392771198712</c:v>
                </c:pt>
                <c:pt idx="734">
                  <c:v>1.831424576105249</c:v>
                </c:pt>
                <c:pt idx="735">
                  <c:v>1.9479098775583505</c:v>
                </c:pt>
                <c:pt idx="736">
                  <c:v>1.7583409285944747</c:v>
                </c:pt>
                <c:pt idx="737">
                  <c:v>2.019919353281626</c:v>
                </c:pt>
                <c:pt idx="738">
                  <c:v>1.9715050170018653</c:v>
                </c:pt>
                <c:pt idx="739">
                  <c:v>1.9745181551416255</c:v>
                </c:pt>
                <c:pt idx="740">
                  <c:v>1.64158627683282</c:v>
                </c:pt>
                <c:pt idx="741">
                  <c:v>1.9818492145493583</c:v>
                </c:pt>
                <c:pt idx="742">
                  <c:v>1.6341704199524738</c:v>
                </c:pt>
                <c:pt idx="743">
                  <c:v>1.4897885618317819</c:v>
                </c:pt>
                <c:pt idx="744">
                  <c:v>1.7696219506280375</c:v>
                </c:pt>
                <c:pt idx="745">
                  <c:v>2.0737055078270483</c:v>
                </c:pt>
                <c:pt idx="746">
                  <c:v>2.2521831002668939</c:v>
                </c:pt>
                <c:pt idx="747">
                  <c:v>1.8047146925152582</c:v>
                </c:pt>
                <c:pt idx="748">
                  <c:v>2.2750587743198132</c:v>
                </c:pt>
                <c:pt idx="749">
                  <c:v>1.8542141665269547</c:v>
                </c:pt>
                <c:pt idx="750">
                  <c:v>1.6303519727134805</c:v>
                </c:pt>
                <c:pt idx="751">
                  <c:v>1.7890929342783739</c:v>
                </c:pt>
                <c:pt idx="752">
                  <c:v>1.8891361040143657</c:v>
                </c:pt>
                <c:pt idx="753">
                  <c:v>1.7920211628146099</c:v>
                </c:pt>
                <c:pt idx="754">
                  <c:v>1.7884420780324977</c:v>
                </c:pt>
                <c:pt idx="755">
                  <c:v>1.8903445358424431</c:v>
                </c:pt>
                <c:pt idx="756">
                  <c:v>1.6821002055472061</c:v>
                </c:pt>
                <c:pt idx="757">
                  <c:v>1.9764766905389397</c:v>
                </c:pt>
                <c:pt idx="758">
                  <c:v>1.7339839490514706</c:v>
                </c:pt>
                <c:pt idx="759">
                  <c:v>1.6383239535238818</c:v>
                </c:pt>
                <c:pt idx="760">
                  <c:v>1.6597832899604867</c:v>
                </c:pt>
                <c:pt idx="761">
                  <c:v>1.5964275869118296</c:v>
                </c:pt>
                <c:pt idx="762">
                  <c:v>1.8388410847120902</c:v>
                </c:pt>
                <c:pt idx="763">
                  <c:v>1.7217235942040112</c:v>
                </c:pt>
                <c:pt idx="764">
                  <c:v>1.9801656030246857</c:v>
                </c:pt>
                <c:pt idx="765">
                  <c:v>1.8755655659332913</c:v>
                </c:pt>
                <c:pt idx="766">
                  <c:v>1.627382604368238</c:v>
                </c:pt>
                <c:pt idx="767">
                  <c:v>1.8637209833357016</c:v>
                </c:pt>
                <c:pt idx="768">
                  <c:v>1.5945238027508637</c:v>
                </c:pt>
                <c:pt idx="769">
                  <c:v>1.757814119665694</c:v>
                </c:pt>
                <c:pt idx="770">
                  <c:v>1.88846495377644</c:v>
                </c:pt>
                <c:pt idx="771">
                  <c:v>1.6967315021194498</c:v>
                </c:pt>
                <c:pt idx="772">
                  <c:v>2.0485053930310517</c:v>
                </c:pt>
                <c:pt idx="773">
                  <c:v>1.9190369730539061</c:v>
                </c:pt>
                <c:pt idx="774">
                  <c:v>1.9133006365683158</c:v>
                </c:pt>
                <c:pt idx="775">
                  <c:v>1.5805871464135581</c:v>
                </c:pt>
                <c:pt idx="776">
                  <c:v>2.0379814740588138</c:v>
                </c:pt>
                <c:pt idx="777">
                  <c:v>1.9449004531972811</c:v>
                </c:pt>
                <c:pt idx="778">
                  <c:v>1.6695799157827533</c:v>
                </c:pt>
                <c:pt idx="779">
                  <c:v>1.7965249211204704</c:v>
                </c:pt>
                <c:pt idx="780">
                  <c:v>1.2367875618353654</c:v>
                </c:pt>
                <c:pt idx="781">
                  <c:v>1.9517572069119868</c:v>
                </c:pt>
                <c:pt idx="782">
                  <c:v>1.6334308490905229</c:v>
                </c:pt>
                <c:pt idx="783">
                  <c:v>1.631695048113059</c:v>
                </c:pt>
                <c:pt idx="784">
                  <c:v>1.4874228583484879</c:v>
                </c:pt>
                <c:pt idx="785">
                  <c:v>1.7232564615789947</c:v>
                </c:pt>
                <c:pt idx="786">
                  <c:v>1.7387443542929066</c:v>
                </c:pt>
                <c:pt idx="787">
                  <c:v>1.8834051310579891</c:v>
                </c:pt>
                <c:pt idx="788">
                  <c:v>1.4685479616199082</c:v>
                </c:pt>
                <c:pt idx="789">
                  <c:v>1.870038719234973</c:v>
                </c:pt>
                <c:pt idx="790">
                  <c:v>1.8703082064585796</c:v>
                </c:pt>
                <c:pt idx="791">
                  <c:v>1.8401296972590497</c:v>
                </c:pt>
                <c:pt idx="792">
                  <c:v>2.1454853111727807</c:v>
                </c:pt>
                <c:pt idx="793">
                  <c:v>1.8807489184346018</c:v>
                </c:pt>
                <c:pt idx="794">
                  <c:v>1.7075944890940651</c:v>
                </c:pt>
                <c:pt idx="795">
                  <c:v>2.1008394205486116</c:v>
                </c:pt>
                <c:pt idx="796">
                  <c:v>1.6198354987546821</c:v>
                </c:pt>
                <c:pt idx="797">
                  <c:v>2.0698181164367515</c:v>
                </c:pt>
                <c:pt idx="798">
                  <c:v>1.9830063757493495</c:v>
                </c:pt>
                <c:pt idx="799">
                  <c:v>1.9759936882170557</c:v>
                </c:pt>
                <c:pt idx="800">
                  <c:v>2.0251277924286892</c:v>
                </c:pt>
                <c:pt idx="801">
                  <c:v>1.8593753714318044</c:v>
                </c:pt>
                <c:pt idx="802">
                  <c:v>1.4645945201031942</c:v>
                </c:pt>
                <c:pt idx="803">
                  <c:v>1.8480729669661216</c:v>
                </c:pt>
                <c:pt idx="804">
                  <c:v>2.0106694822635216</c:v>
                </c:pt>
                <c:pt idx="805">
                  <c:v>2.1920646161333686</c:v>
                </c:pt>
                <c:pt idx="806">
                  <c:v>2.074303188162304</c:v>
                </c:pt>
                <c:pt idx="807">
                  <c:v>1.9606619702154298</c:v>
                </c:pt>
                <c:pt idx="808">
                  <c:v>1.887119847237134</c:v>
                </c:pt>
                <c:pt idx="809">
                  <c:v>2.047305777244846</c:v>
                </c:pt>
                <c:pt idx="810">
                  <c:v>1.6324744301331542</c:v>
                </c:pt>
                <c:pt idx="811">
                  <c:v>1.9351717390206638</c:v>
                </c:pt>
                <c:pt idx="812">
                  <c:v>2.248236019479334</c:v>
                </c:pt>
                <c:pt idx="813">
                  <c:v>1.8478603231663229</c:v>
                </c:pt>
                <c:pt idx="814">
                  <c:v>1.7359176423653615</c:v>
                </c:pt>
                <c:pt idx="815">
                  <c:v>2.1408078707322762</c:v>
                </c:pt>
                <c:pt idx="816">
                  <c:v>1.7224282149960839</c:v>
                </c:pt>
                <c:pt idx="817">
                  <c:v>1.4943824027504</c:v>
                </c:pt>
                <c:pt idx="818">
                  <c:v>1.8615460549747134</c:v>
                </c:pt>
                <c:pt idx="819">
                  <c:v>1.41364588197351</c:v>
                </c:pt>
                <c:pt idx="820">
                  <c:v>1.8273279043902857</c:v>
                </c:pt>
                <c:pt idx="821">
                  <c:v>1.8634354686866281</c:v>
                </c:pt>
                <c:pt idx="822">
                  <c:v>2.0595999391393374</c:v>
                </c:pt>
                <c:pt idx="823">
                  <c:v>2.3230922138847312</c:v>
                </c:pt>
                <c:pt idx="824">
                  <c:v>1.6843884645105867</c:v>
                </c:pt>
                <c:pt idx="825">
                  <c:v>1.8923531588013471</c:v>
                </c:pt>
                <c:pt idx="826">
                  <c:v>1.6349394767766334</c:v>
                </c:pt>
                <c:pt idx="827">
                  <c:v>1.9037665637077215</c:v>
                </c:pt>
                <c:pt idx="828">
                  <c:v>1.7121700552149655</c:v>
                </c:pt>
                <c:pt idx="829">
                  <c:v>2.3804270045995644</c:v>
                </c:pt>
                <c:pt idx="830">
                  <c:v>1.6464403200410569</c:v>
                </c:pt>
                <c:pt idx="831">
                  <c:v>1.7396733194463874</c:v>
                </c:pt>
                <c:pt idx="832">
                  <c:v>2.1350799502076008</c:v>
                </c:pt>
                <c:pt idx="833">
                  <c:v>1.8843437480902594</c:v>
                </c:pt>
                <c:pt idx="834">
                  <c:v>1.9091429794540744</c:v>
                </c:pt>
                <c:pt idx="835">
                  <c:v>1.4395447712320557</c:v>
                </c:pt>
                <c:pt idx="836">
                  <c:v>1.7484752615648524</c:v>
                </c:pt>
                <c:pt idx="837">
                  <c:v>1.8177515998435982</c:v>
                </c:pt>
                <c:pt idx="838">
                  <c:v>1.9247026391426658</c:v>
                </c:pt>
                <c:pt idx="839">
                  <c:v>2.0240328927076821</c:v>
                </c:pt>
                <c:pt idx="840">
                  <c:v>2.1702225261239132</c:v>
                </c:pt>
                <c:pt idx="841">
                  <c:v>2.0184419175386434</c:v>
                </c:pt>
                <c:pt idx="842">
                  <c:v>1.8456004730018662</c:v>
                </c:pt>
                <c:pt idx="843">
                  <c:v>1.7481738407398115</c:v>
                </c:pt>
                <c:pt idx="844">
                  <c:v>1.7679052446916863</c:v>
                </c:pt>
                <c:pt idx="845">
                  <c:v>1.976669664928254</c:v>
                </c:pt>
                <c:pt idx="846">
                  <c:v>1.2669539645957233</c:v>
                </c:pt>
                <c:pt idx="847">
                  <c:v>1.6862332771832396</c:v>
                </c:pt>
                <c:pt idx="848">
                  <c:v>2.1792507064371875</c:v>
                </c:pt>
                <c:pt idx="849">
                  <c:v>1.9207126026074608</c:v>
                </c:pt>
                <c:pt idx="850">
                  <c:v>1.7587211745220586</c:v>
                </c:pt>
                <c:pt idx="851">
                  <c:v>1.8985684315043461</c:v>
                </c:pt>
                <c:pt idx="852">
                  <c:v>1.6243750112461885</c:v>
                </c:pt>
                <c:pt idx="853">
                  <c:v>1.6173794638492982</c:v>
                </c:pt>
                <c:pt idx="854">
                  <c:v>2.0372275276917264</c:v>
                </c:pt>
                <c:pt idx="855">
                  <c:v>2.1085217282761999</c:v>
                </c:pt>
                <c:pt idx="856">
                  <c:v>1.793063170847482</c:v>
                </c:pt>
                <c:pt idx="857">
                  <c:v>1.8452952392428603</c:v>
                </c:pt>
                <c:pt idx="858">
                  <c:v>2.2319412342893816</c:v>
                </c:pt>
                <c:pt idx="859">
                  <c:v>1.8220211805602951</c:v>
                </c:pt>
                <c:pt idx="860">
                  <c:v>1.5359923160406304</c:v>
                </c:pt>
                <c:pt idx="861">
                  <c:v>1.7256377060414749</c:v>
                </c:pt>
                <c:pt idx="862">
                  <c:v>1.6402790689376854</c:v>
                </c:pt>
                <c:pt idx="863">
                  <c:v>1.6019292486626249</c:v>
                </c:pt>
                <c:pt idx="864">
                  <c:v>2.0327776391277581</c:v>
                </c:pt>
                <c:pt idx="865">
                  <c:v>2.1125550343149122</c:v>
                </c:pt>
                <c:pt idx="866">
                  <c:v>1.5222406617030586</c:v>
                </c:pt>
                <c:pt idx="867">
                  <c:v>1.7340061843887806</c:v>
                </c:pt>
                <c:pt idx="868">
                  <c:v>1.8610330782400872</c:v>
                </c:pt>
                <c:pt idx="869">
                  <c:v>1.8734887927571275</c:v>
                </c:pt>
                <c:pt idx="870">
                  <c:v>2.0729046849581412</c:v>
                </c:pt>
                <c:pt idx="871">
                  <c:v>1.9425028136410845</c:v>
                </c:pt>
                <c:pt idx="872">
                  <c:v>1.6160320912088473</c:v>
                </c:pt>
                <c:pt idx="873">
                  <c:v>1.7846519610264728</c:v>
                </c:pt>
                <c:pt idx="874">
                  <c:v>1.6547450813834068</c:v>
                </c:pt>
                <c:pt idx="875">
                  <c:v>1.961678234330881</c:v>
                </c:pt>
                <c:pt idx="876">
                  <c:v>2.2001882212466342</c:v>
                </c:pt>
                <c:pt idx="877">
                  <c:v>1.8609179603815615</c:v>
                </c:pt>
                <c:pt idx="878">
                  <c:v>1.8507843541924025</c:v>
                </c:pt>
                <c:pt idx="879">
                  <c:v>2.5198890729916901</c:v>
                </c:pt>
                <c:pt idx="880">
                  <c:v>1.9334830476297373</c:v>
                </c:pt>
                <c:pt idx="881">
                  <c:v>2.0849523315357352</c:v>
                </c:pt>
                <c:pt idx="882">
                  <c:v>1.5913793066691699</c:v>
                </c:pt>
                <c:pt idx="883">
                  <c:v>1.7860918360630453</c:v>
                </c:pt>
                <c:pt idx="884">
                  <c:v>2.2712622151683277</c:v>
                </c:pt>
                <c:pt idx="885">
                  <c:v>1.9633679120803684</c:v>
                </c:pt>
                <c:pt idx="886">
                  <c:v>1.6553958944771914</c:v>
                </c:pt>
                <c:pt idx="887">
                  <c:v>1.514698058110671</c:v>
                </c:pt>
                <c:pt idx="888">
                  <c:v>1.6659661705561213</c:v>
                </c:pt>
                <c:pt idx="889">
                  <c:v>1.941242499468677</c:v>
                </c:pt>
                <c:pt idx="890">
                  <c:v>1.975331878801839</c:v>
                </c:pt>
                <c:pt idx="891">
                  <c:v>1.9278473552887103</c:v>
                </c:pt>
                <c:pt idx="892">
                  <c:v>2.0230174659573148</c:v>
                </c:pt>
                <c:pt idx="893">
                  <c:v>1.8901301907958494</c:v>
                </c:pt>
                <c:pt idx="894">
                  <c:v>1.7993157500306207</c:v>
                </c:pt>
                <c:pt idx="895">
                  <c:v>1.7847836058240336</c:v>
                </c:pt>
                <c:pt idx="896">
                  <c:v>1.620833471297539</c:v>
                </c:pt>
                <c:pt idx="897">
                  <c:v>1.5266461696604132</c:v>
                </c:pt>
                <c:pt idx="898">
                  <c:v>1.8796260103756559</c:v>
                </c:pt>
                <c:pt idx="899">
                  <c:v>2.2972723665515602</c:v>
                </c:pt>
                <c:pt idx="900">
                  <c:v>1.7717725756992273</c:v>
                </c:pt>
                <c:pt idx="901">
                  <c:v>1.5961520607530382</c:v>
                </c:pt>
                <c:pt idx="902">
                  <c:v>1.6980458844609796</c:v>
                </c:pt>
                <c:pt idx="903">
                  <c:v>1.5477013465489495</c:v>
                </c:pt>
                <c:pt idx="904">
                  <c:v>1.5453632943564521</c:v>
                </c:pt>
                <c:pt idx="905">
                  <c:v>1.8398080035785682</c:v>
                </c:pt>
                <c:pt idx="906">
                  <c:v>1.4867696498188074</c:v>
                </c:pt>
                <c:pt idx="907">
                  <c:v>1.1356290209512547</c:v>
                </c:pt>
                <c:pt idx="908">
                  <c:v>2.0191070766937731</c:v>
                </c:pt>
                <c:pt idx="909">
                  <c:v>1.5773703387559763</c:v>
                </c:pt>
                <c:pt idx="910">
                  <c:v>1.9312448786081227</c:v>
                </c:pt>
                <c:pt idx="911">
                  <c:v>1.6867513388161086</c:v>
                </c:pt>
                <c:pt idx="912">
                  <c:v>1.8947058628218105</c:v>
                </c:pt>
                <c:pt idx="913">
                  <c:v>1.6922673191901243</c:v>
                </c:pt>
                <c:pt idx="914">
                  <c:v>2.0550614838304213</c:v>
                </c:pt>
                <c:pt idx="915">
                  <c:v>1.9177212716133472</c:v>
                </c:pt>
                <c:pt idx="916">
                  <c:v>1.8617684682647386</c:v>
                </c:pt>
                <c:pt idx="917">
                  <c:v>1.8994081371959979</c:v>
                </c:pt>
                <c:pt idx="918">
                  <c:v>1.4645194501901297</c:v>
                </c:pt>
                <c:pt idx="919">
                  <c:v>1.6453063721984442</c:v>
                </c:pt>
                <c:pt idx="920">
                  <c:v>1.7432774160441795</c:v>
                </c:pt>
                <c:pt idx="921">
                  <c:v>1.7625024357781349</c:v>
                </c:pt>
                <c:pt idx="922">
                  <c:v>2.0229662727571327</c:v>
                </c:pt>
                <c:pt idx="923">
                  <c:v>1.6804887046730634</c:v>
                </c:pt>
                <c:pt idx="924">
                  <c:v>1.9887007821743499</c:v>
                </c:pt>
                <c:pt idx="925">
                  <c:v>1.6600653759118451</c:v>
                </c:pt>
                <c:pt idx="926">
                  <c:v>1.8981772146255373</c:v>
                </c:pt>
                <c:pt idx="927">
                  <c:v>2.0576956308500289</c:v>
                </c:pt>
                <c:pt idx="928">
                  <c:v>1.8552770684036943</c:v>
                </c:pt>
                <c:pt idx="929">
                  <c:v>1.6685397416915091</c:v>
                </c:pt>
                <c:pt idx="930">
                  <c:v>1.7635476018805534</c:v>
                </c:pt>
                <c:pt idx="931">
                  <c:v>1.9100845015022507</c:v>
                </c:pt>
                <c:pt idx="932">
                  <c:v>1.7142101947491426</c:v>
                </c:pt>
                <c:pt idx="933">
                  <c:v>2.3155685501424372</c:v>
                </c:pt>
                <c:pt idx="934">
                  <c:v>2.0707945123936753</c:v>
                </c:pt>
                <c:pt idx="935">
                  <c:v>1.2746053080557331</c:v>
                </c:pt>
                <c:pt idx="936">
                  <c:v>2.132061096767206</c:v>
                </c:pt>
                <c:pt idx="937">
                  <c:v>1.726526014199921</c:v>
                </c:pt>
                <c:pt idx="938">
                  <c:v>2.0350252527846866</c:v>
                </c:pt>
                <c:pt idx="939">
                  <c:v>2.0255051519242873</c:v>
                </c:pt>
                <c:pt idx="940">
                  <c:v>2.1008244425280829</c:v>
                </c:pt>
                <c:pt idx="941">
                  <c:v>1.9021948132196727</c:v>
                </c:pt>
                <c:pt idx="942">
                  <c:v>1.8249916021738457</c:v>
                </c:pt>
                <c:pt idx="943">
                  <c:v>1.8066352764301232</c:v>
                </c:pt>
                <c:pt idx="944">
                  <c:v>2.3703892520056105</c:v>
                </c:pt>
                <c:pt idx="945">
                  <c:v>1.2857020290473606</c:v>
                </c:pt>
                <c:pt idx="946">
                  <c:v>1.2826376217487105</c:v>
                </c:pt>
                <c:pt idx="947">
                  <c:v>2.456100225103123</c:v>
                </c:pt>
                <c:pt idx="948">
                  <c:v>2.0616541132585269</c:v>
                </c:pt>
                <c:pt idx="949">
                  <c:v>1.8083842129875478</c:v>
                </c:pt>
                <c:pt idx="950">
                  <c:v>1.7484379271900838</c:v>
                </c:pt>
                <c:pt idx="951">
                  <c:v>1.5689398751811332</c:v>
                </c:pt>
                <c:pt idx="952">
                  <c:v>1.4915072594953624</c:v>
                </c:pt>
                <c:pt idx="953">
                  <c:v>1.6571065281051958</c:v>
                </c:pt>
                <c:pt idx="954">
                  <c:v>1.7959006543440399</c:v>
                </c:pt>
                <c:pt idx="955">
                  <c:v>1.8286136461117071</c:v>
                </c:pt>
                <c:pt idx="956">
                  <c:v>1.4649647507648087</c:v>
                </c:pt>
                <c:pt idx="957">
                  <c:v>1.7312834114830817</c:v>
                </c:pt>
                <c:pt idx="958">
                  <c:v>1.5993842664116951</c:v>
                </c:pt>
                <c:pt idx="959">
                  <c:v>2.2739931212030111</c:v>
                </c:pt>
                <c:pt idx="960">
                  <c:v>1.6403933010082259</c:v>
                </c:pt>
                <c:pt idx="961">
                  <c:v>2.0379252309629532</c:v>
                </c:pt>
                <c:pt idx="962">
                  <c:v>2.1390879490421462</c:v>
                </c:pt>
                <c:pt idx="963">
                  <c:v>1.8219004203030167</c:v>
                </c:pt>
                <c:pt idx="964">
                  <c:v>1.7510032409444989</c:v>
                </c:pt>
                <c:pt idx="965">
                  <c:v>1.5215215795966177</c:v>
                </c:pt>
                <c:pt idx="966">
                  <c:v>1.8701454928540979</c:v>
                </c:pt>
                <c:pt idx="967">
                  <c:v>1.8548375080230652</c:v>
                </c:pt>
                <c:pt idx="968">
                  <c:v>1.7343746142793695</c:v>
                </c:pt>
                <c:pt idx="969">
                  <c:v>1.8559181108939544</c:v>
                </c:pt>
                <c:pt idx="970">
                  <c:v>2.1213427646382819</c:v>
                </c:pt>
                <c:pt idx="971">
                  <c:v>1.43368692500494</c:v>
                </c:pt>
                <c:pt idx="972">
                  <c:v>1.8204453055568184</c:v>
                </c:pt>
                <c:pt idx="973">
                  <c:v>1.9077307323420367</c:v>
                </c:pt>
                <c:pt idx="974">
                  <c:v>1.9602327628270153</c:v>
                </c:pt>
                <c:pt idx="975">
                  <c:v>1.9969277483673551</c:v>
                </c:pt>
                <c:pt idx="976">
                  <c:v>1.6712179782319794</c:v>
                </c:pt>
                <c:pt idx="977">
                  <c:v>1.4130610596449493</c:v>
                </c:pt>
                <c:pt idx="978">
                  <c:v>1.6544777882209925</c:v>
                </c:pt>
                <c:pt idx="979">
                  <c:v>1.7212226343369785</c:v>
                </c:pt>
                <c:pt idx="980">
                  <c:v>1.96416005251284</c:v>
                </c:pt>
                <c:pt idx="981">
                  <c:v>1.8383365511015395</c:v>
                </c:pt>
                <c:pt idx="982">
                  <c:v>2.0111769542459399</c:v>
                </c:pt>
                <c:pt idx="983">
                  <c:v>1.8783744151361432</c:v>
                </c:pt>
                <c:pt idx="984">
                  <c:v>1.7974133540898656</c:v>
                </c:pt>
                <c:pt idx="985">
                  <c:v>1.5675256678561578</c:v>
                </c:pt>
                <c:pt idx="986">
                  <c:v>1.785985230927766</c:v>
                </c:pt>
                <c:pt idx="987">
                  <c:v>1.9530887494917817</c:v>
                </c:pt>
                <c:pt idx="988">
                  <c:v>1.8654783334004108</c:v>
                </c:pt>
                <c:pt idx="989">
                  <c:v>2.2515325172645682</c:v>
                </c:pt>
                <c:pt idx="990">
                  <c:v>1.925643016509591</c:v>
                </c:pt>
                <c:pt idx="991">
                  <c:v>1.7108153219292657</c:v>
                </c:pt>
                <c:pt idx="992">
                  <c:v>1.3226138647669199</c:v>
                </c:pt>
                <c:pt idx="993">
                  <c:v>1.7973528758172428</c:v>
                </c:pt>
                <c:pt idx="994">
                  <c:v>2.1686421667130062</c:v>
                </c:pt>
                <c:pt idx="995">
                  <c:v>1.5872067661485243</c:v>
                </c:pt>
                <c:pt idx="996">
                  <c:v>1.8645305218503978</c:v>
                </c:pt>
                <c:pt idx="997">
                  <c:v>1.6045005500926113</c:v>
                </c:pt>
                <c:pt idx="998">
                  <c:v>1.5028085991407405</c:v>
                </c:pt>
                <c:pt idx="999">
                  <c:v>1.6339140656797522</c:v>
                </c:pt>
              </c:numCache>
            </c:numRef>
          </c:xVal>
          <c:yVal>
            <c:numRef>
              <c:f>Simulation!$BC$7:$BC$1006</c:f>
              <c:numCache>
                <c:formatCode>[$THB]\ #,##0.00</c:formatCode>
                <c:ptCount val="1000"/>
                <c:pt idx="0">
                  <c:v>-549923.50828020577</c:v>
                </c:pt>
                <c:pt idx="1">
                  <c:v>-493905.86995929969</c:v>
                </c:pt>
                <c:pt idx="2">
                  <c:v>-526375.12036697776</c:v>
                </c:pt>
                <c:pt idx="3">
                  <c:v>-827179.44860959728</c:v>
                </c:pt>
                <c:pt idx="4">
                  <c:v>-940320.74579427508</c:v>
                </c:pt>
                <c:pt idx="5">
                  <c:v>-646989.79084113613</c:v>
                </c:pt>
                <c:pt idx="6">
                  <c:v>-888164.48038181383</c:v>
                </c:pt>
                <c:pt idx="7">
                  <c:v>-584445.23196122795</c:v>
                </c:pt>
                <c:pt idx="8">
                  <c:v>-212504.03335434338</c:v>
                </c:pt>
                <c:pt idx="9">
                  <c:v>-613603.1810027652</c:v>
                </c:pt>
                <c:pt idx="10">
                  <c:v>-657937.72590733832</c:v>
                </c:pt>
                <c:pt idx="11">
                  <c:v>-576082.88099739002</c:v>
                </c:pt>
                <c:pt idx="12">
                  <c:v>-454325.44853469636</c:v>
                </c:pt>
                <c:pt idx="13">
                  <c:v>-793255.78618566156</c:v>
                </c:pt>
                <c:pt idx="14">
                  <c:v>-326560.53623466473</c:v>
                </c:pt>
                <c:pt idx="15">
                  <c:v>-435777.30195132829</c:v>
                </c:pt>
                <c:pt idx="16">
                  <c:v>-527165.37703771866</c:v>
                </c:pt>
                <c:pt idx="17">
                  <c:v>-392042.80717391171</c:v>
                </c:pt>
                <c:pt idx="18">
                  <c:v>-413590.80431694794</c:v>
                </c:pt>
                <c:pt idx="19">
                  <c:v>-478831.39040606259</c:v>
                </c:pt>
                <c:pt idx="20">
                  <c:v>-471211.24270509719</c:v>
                </c:pt>
                <c:pt idx="21">
                  <c:v>-479105.56067101285</c:v>
                </c:pt>
                <c:pt idx="22">
                  <c:v>-213848.32873729896</c:v>
                </c:pt>
                <c:pt idx="23">
                  <c:v>-637079.28349370672</c:v>
                </c:pt>
                <c:pt idx="24">
                  <c:v>-309535.18722751155</c:v>
                </c:pt>
                <c:pt idx="25">
                  <c:v>-451569.02754622488</c:v>
                </c:pt>
                <c:pt idx="26">
                  <c:v>-668730.99045635015</c:v>
                </c:pt>
                <c:pt idx="27">
                  <c:v>-629926.30648324988</c:v>
                </c:pt>
                <c:pt idx="28">
                  <c:v>-446248.98680745461</c:v>
                </c:pt>
                <c:pt idx="29">
                  <c:v>-463306.47491973313</c:v>
                </c:pt>
                <c:pt idx="30">
                  <c:v>-500915.86043092515</c:v>
                </c:pt>
                <c:pt idx="31">
                  <c:v>-789887.47649207641</c:v>
                </c:pt>
                <c:pt idx="32">
                  <c:v>-510011.05458213645</c:v>
                </c:pt>
                <c:pt idx="33">
                  <c:v>-505477.69334673742</c:v>
                </c:pt>
                <c:pt idx="34">
                  <c:v>-444381.55730702262</c:v>
                </c:pt>
                <c:pt idx="35">
                  <c:v>-519833.59812422353</c:v>
                </c:pt>
                <c:pt idx="36">
                  <c:v>-490033.63086402416</c:v>
                </c:pt>
                <c:pt idx="37">
                  <c:v>-198137.80318918754</c:v>
                </c:pt>
                <c:pt idx="38">
                  <c:v>-582930.39631657908</c:v>
                </c:pt>
                <c:pt idx="39">
                  <c:v>-405307.58669263637</c:v>
                </c:pt>
                <c:pt idx="40">
                  <c:v>-395257.31905560405</c:v>
                </c:pt>
                <c:pt idx="41">
                  <c:v>-612584.60032914137</c:v>
                </c:pt>
                <c:pt idx="42">
                  <c:v>-648763.30688528903</c:v>
                </c:pt>
                <c:pt idx="43">
                  <c:v>-681473.27776191058</c:v>
                </c:pt>
                <c:pt idx="44">
                  <c:v>-518846.1512768073</c:v>
                </c:pt>
                <c:pt idx="45">
                  <c:v>-420188.93323138403</c:v>
                </c:pt>
                <c:pt idx="46">
                  <c:v>-434130.77458998398</c:v>
                </c:pt>
                <c:pt idx="47">
                  <c:v>-398833.34211800736</c:v>
                </c:pt>
                <c:pt idx="48">
                  <c:v>-362081.69238174893</c:v>
                </c:pt>
                <c:pt idx="49">
                  <c:v>-654591.20970724965</c:v>
                </c:pt>
                <c:pt idx="50">
                  <c:v>-402104.75070010126</c:v>
                </c:pt>
                <c:pt idx="51">
                  <c:v>-552983.12180937431</c:v>
                </c:pt>
                <c:pt idx="52">
                  <c:v>-414996.26787828631</c:v>
                </c:pt>
                <c:pt idx="53">
                  <c:v>-731607.8110307043</c:v>
                </c:pt>
                <c:pt idx="54">
                  <c:v>-285665.76523262006</c:v>
                </c:pt>
                <c:pt idx="55">
                  <c:v>-928412.33900851081</c:v>
                </c:pt>
                <c:pt idx="56">
                  <c:v>-346200.84284779849</c:v>
                </c:pt>
                <c:pt idx="57">
                  <c:v>-1198633.6140716164</c:v>
                </c:pt>
                <c:pt idx="58">
                  <c:v>-763451.27904545772</c:v>
                </c:pt>
                <c:pt idx="59">
                  <c:v>-373103.50675122358</c:v>
                </c:pt>
                <c:pt idx="60">
                  <c:v>-499469.89272757596</c:v>
                </c:pt>
                <c:pt idx="61">
                  <c:v>-718550.15715544694</c:v>
                </c:pt>
                <c:pt idx="62">
                  <c:v>-347080.83806086797</c:v>
                </c:pt>
                <c:pt idx="63">
                  <c:v>-321435.57512821304</c:v>
                </c:pt>
                <c:pt idx="64">
                  <c:v>-587120.84910327685</c:v>
                </c:pt>
                <c:pt idx="65">
                  <c:v>-571019.88000151911</c:v>
                </c:pt>
                <c:pt idx="66">
                  <c:v>-556512.36086099362</c:v>
                </c:pt>
                <c:pt idx="67">
                  <c:v>-417150.22907136125</c:v>
                </c:pt>
                <c:pt idx="68">
                  <c:v>-432847.02621644945</c:v>
                </c:pt>
                <c:pt idx="69">
                  <c:v>-425532.02516291896</c:v>
                </c:pt>
                <c:pt idx="70">
                  <c:v>-909437.16841018014</c:v>
                </c:pt>
                <c:pt idx="71">
                  <c:v>-748826.29073484335</c:v>
                </c:pt>
                <c:pt idx="72">
                  <c:v>-661232.29716417752</c:v>
                </c:pt>
                <c:pt idx="73">
                  <c:v>-637786.58891579881</c:v>
                </c:pt>
                <c:pt idx="74">
                  <c:v>-468060.1815070326</c:v>
                </c:pt>
                <c:pt idx="75">
                  <c:v>-446999.7814026</c:v>
                </c:pt>
                <c:pt idx="76">
                  <c:v>-587730.86363341473</c:v>
                </c:pt>
                <c:pt idx="77">
                  <c:v>-378538.22143384162</c:v>
                </c:pt>
                <c:pt idx="78">
                  <c:v>-544131.50593168288</c:v>
                </c:pt>
                <c:pt idx="79">
                  <c:v>-362822.65159537597</c:v>
                </c:pt>
                <c:pt idx="80">
                  <c:v>-395259.08889907342</c:v>
                </c:pt>
                <c:pt idx="81">
                  <c:v>-276493.08012577356</c:v>
                </c:pt>
                <c:pt idx="82">
                  <c:v>-658099.32378996862</c:v>
                </c:pt>
                <c:pt idx="83">
                  <c:v>-401573.27606239007</c:v>
                </c:pt>
                <c:pt idx="84">
                  <c:v>-439264.1793254381</c:v>
                </c:pt>
                <c:pt idx="85">
                  <c:v>-733923.62668880308</c:v>
                </c:pt>
                <c:pt idx="86">
                  <c:v>-276103.64769149665</c:v>
                </c:pt>
                <c:pt idx="87">
                  <c:v>-625218.28969467338</c:v>
                </c:pt>
                <c:pt idx="88">
                  <c:v>-458586.12944663689</c:v>
                </c:pt>
                <c:pt idx="89">
                  <c:v>-426247.00766002084</c:v>
                </c:pt>
                <c:pt idx="90">
                  <c:v>-680699.64098745072</c:v>
                </c:pt>
                <c:pt idx="91">
                  <c:v>-597576.30668124394</c:v>
                </c:pt>
                <c:pt idx="92">
                  <c:v>-647399.26080311649</c:v>
                </c:pt>
                <c:pt idx="93">
                  <c:v>-475550.33749735495</c:v>
                </c:pt>
                <c:pt idx="94">
                  <c:v>-842937.6451421245</c:v>
                </c:pt>
                <c:pt idx="95">
                  <c:v>-607515.41501723439</c:v>
                </c:pt>
                <c:pt idx="96">
                  <c:v>-283016.63336166763</c:v>
                </c:pt>
                <c:pt idx="97">
                  <c:v>-779622.27495495207</c:v>
                </c:pt>
                <c:pt idx="98">
                  <c:v>-552359.72725782171</c:v>
                </c:pt>
                <c:pt idx="99">
                  <c:v>-358456.51856518537</c:v>
                </c:pt>
                <c:pt idx="100">
                  <c:v>-264812.10114646074</c:v>
                </c:pt>
                <c:pt idx="101">
                  <c:v>-451387.5148452078</c:v>
                </c:pt>
                <c:pt idx="102">
                  <c:v>-710350.07226984343</c:v>
                </c:pt>
                <c:pt idx="103">
                  <c:v>-633897.7660718048</c:v>
                </c:pt>
                <c:pt idx="104">
                  <c:v>-562736.61540963454</c:v>
                </c:pt>
                <c:pt idx="105">
                  <c:v>-712499.11449618917</c:v>
                </c:pt>
                <c:pt idx="106">
                  <c:v>-326210.72616349091</c:v>
                </c:pt>
                <c:pt idx="107">
                  <c:v>-333701.52044684626</c:v>
                </c:pt>
                <c:pt idx="108">
                  <c:v>-663836.31757481513</c:v>
                </c:pt>
                <c:pt idx="109">
                  <c:v>-299303.51871896652</c:v>
                </c:pt>
                <c:pt idx="110">
                  <c:v>-769421.29051994579</c:v>
                </c:pt>
                <c:pt idx="111">
                  <c:v>-461843.10046228254</c:v>
                </c:pt>
                <c:pt idx="112">
                  <c:v>-439572.88101230492</c:v>
                </c:pt>
                <c:pt idx="113">
                  <c:v>-346559.02621922945</c:v>
                </c:pt>
                <c:pt idx="114">
                  <c:v>-368421.34885949106</c:v>
                </c:pt>
                <c:pt idx="115">
                  <c:v>-444418.43080681446</c:v>
                </c:pt>
                <c:pt idx="116">
                  <c:v>-434136.71719850763</c:v>
                </c:pt>
                <c:pt idx="117">
                  <c:v>-318185.99651435297</c:v>
                </c:pt>
                <c:pt idx="118">
                  <c:v>-639936.28928189329</c:v>
                </c:pt>
                <c:pt idx="119">
                  <c:v>-803065.72821160802</c:v>
                </c:pt>
                <c:pt idx="120">
                  <c:v>-954183.85683409544</c:v>
                </c:pt>
                <c:pt idx="121">
                  <c:v>-468034.44399969163</c:v>
                </c:pt>
                <c:pt idx="122">
                  <c:v>-450698.59270294372</c:v>
                </c:pt>
                <c:pt idx="123">
                  <c:v>-439069.20403725002</c:v>
                </c:pt>
                <c:pt idx="124">
                  <c:v>-423451.7647975916</c:v>
                </c:pt>
                <c:pt idx="125">
                  <c:v>-632327.51031087502</c:v>
                </c:pt>
                <c:pt idx="126">
                  <c:v>-373368.12986439338</c:v>
                </c:pt>
                <c:pt idx="127">
                  <c:v>-261373.02659843164</c:v>
                </c:pt>
                <c:pt idx="128">
                  <c:v>-465235.25213096966</c:v>
                </c:pt>
                <c:pt idx="129">
                  <c:v>-566257.47764504375</c:v>
                </c:pt>
                <c:pt idx="130">
                  <c:v>-234171.83868202264</c:v>
                </c:pt>
                <c:pt idx="131">
                  <c:v>-892048.58841336775</c:v>
                </c:pt>
                <c:pt idx="132">
                  <c:v>-315829.59816107363</c:v>
                </c:pt>
                <c:pt idx="133">
                  <c:v>-396279.28091468476</c:v>
                </c:pt>
                <c:pt idx="134">
                  <c:v>-338460.54089334817</c:v>
                </c:pt>
                <c:pt idx="135">
                  <c:v>-414971.79367603734</c:v>
                </c:pt>
                <c:pt idx="136">
                  <c:v>-350950.19640196487</c:v>
                </c:pt>
                <c:pt idx="137">
                  <c:v>-408939.96354086976</c:v>
                </c:pt>
                <c:pt idx="138">
                  <c:v>-404128.70236188988</c:v>
                </c:pt>
                <c:pt idx="139">
                  <c:v>-421831.14099049498</c:v>
                </c:pt>
                <c:pt idx="140">
                  <c:v>-494013.33739044261</c:v>
                </c:pt>
                <c:pt idx="141">
                  <c:v>-246904.20647438522</c:v>
                </c:pt>
                <c:pt idx="142">
                  <c:v>-390012.36088594655</c:v>
                </c:pt>
                <c:pt idx="143">
                  <c:v>-334491.90804093378</c:v>
                </c:pt>
                <c:pt idx="144">
                  <c:v>-662665.99503018125</c:v>
                </c:pt>
                <c:pt idx="145">
                  <c:v>-621714.22819957044</c:v>
                </c:pt>
                <c:pt idx="146">
                  <c:v>-264589.39301505452</c:v>
                </c:pt>
                <c:pt idx="147">
                  <c:v>-405448.77425916283</c:v>
                </c:pt>
                <c:pt idx="148">
                  <c:v>-566447.41320933378</c:v>
                </c:pt>
                <c:pt idx="149">
                  <c:v>-621178.06005007261</c:v>
                </c:pt>
                <c:pt idx="150">
                  <c:v>-574123.93387338053</c:v>
                </c:pt>
                <c:pt idx="151">
                  <c:v>-621334.59526491677</c:v>
                </c:pt>
                <c:pt idx="152">
                  <c:v>-641665.15240151575</c:v>
                </c:pt>
                <c:pt idx="153">
                  <c:v>-395056.24040567758</c:v>
                </c:pt>
                <c:pt idx="154">
                  <c:v>-257211.36380595691</c:v>
                </c:pt>
                <c:pt idx="155">
                  <c:v>-444206.08917320566</c:v>
                </c:pt>
                <c:pt idx="156">
                  <c:v>-487667.67729597702</c:v>
                </c:pt>
                <c:pt idx="157">
                  <c:v>-1208610.1275913017</c:v>
                </c:pt>
                <c:pt idx="158">
                  <c:v>-306922.77525787964</c:v>
                </c:pt>
                <c:pt idx="159">
                  <c:v>-509932.36350521934</c:v>
                </c:pt>
                <c:pt idx="160">
                  <c:v>-423420.03306112369</c:v>
                </c:pt>
                <c:pt idx="161">
                  <c:v>-473315.84430969181</c:v>
                </c:pt>
                <c:pt idx="162">
                  <c:v>-523362.16207667137</c:v>
                </c:pt>
                <c:pt idx="163">
                  <c:v>-257632.39613294508</c:v>
                </c:pt>
                <c:pt idx="164">
                  <c:v>-510885.44978902629</c:v>
                </c:pt>
                <c:pt idx="165">
                  <c:v>-319924.81579692219</c:v>
                </c:pt>
                <c:pt idx="166">
                  <c:v>-357682.94819774118</c:v>
                </c:pt>
                <c:pt idx="167">
                  <c:v>-215405.4542249178</c:v>
                </c:pt>
                <c:pt idx="168">
                  <c:v>-186159.56514412048</c:v>
                </c:pt>
                <c:pt idx="169">
                  <c:v>-678068.08457760513</c:v>
                </c:pt>
                <c:pt idx="170">
                  <c:v>-280168.04966594093</c:v>
                </c:pt>
                <c:pt idx="171">
                  <c:v>-137864.90312988078</c:v>
                </c:pt>
                <c:pt idx="172">
                  <c:v>-564355.12220466533</c:v>
                </c:pt>
                <c:pt idx="173">
                  <c:v>-905106.79584197211</c:v>
                </c:pt>
                <c:pt idx="174">
                  <c:v>-552942.82478399528</c:v>
                </c:pt>
                <c:pt idx="175">
                  <c:v>-336163.4237840611</c:v>
                </c:pt>
                <c:pt idx="176">
                  <c:v>-643401.45095786289</c:v>
                </c:pt>
                <c:pt idx="177">
                  <c:v>-459591.44181458745</c:v>
                </c:pt>
                <c:pt idx="178">
                  <c:v>-491662.63777314988</c:v>
                </c:pt>
                <c:pt idx="179">
                  <c:v>-649095.08808632731</c:v>
                </c:pt>
                <c:pt idx="180">
                  <c:v>-355559.82370467321</c:v>
                </c:pt>
                <c:pt idx="181">
                  <c:v>-436987.69847511663</c:v>
                </c:pt>
                <c:pt idx="182">
                  <c:v>-489062.63433109573</c:v>
                </c:pt>
                <c:pt idx="183">
                  <c:v>-496841.87343609915</c:v>
                </c:pt>
                <c:pt idx="184">
                  <c:v>-561897.3717610992</c:v>
                </c:pt>
                <c:pt idx="185">
                  <c:v>-392454.76666765427</c:v>
                </c:pt>
                <c:pt idx="186">
                  <c:v>-373262.20897279726</c:v>
                </c:pt>
                <c:pt idx="187">
                  <c:v>-348964.95425573434</c:v>
                </c:pt>
                <c:pt idx="188">
                  <c:v>-323235.94943573442</c:v>
                </c:pt>
                <c:pt idx="189">
                  <c:v>-631525.51586968498</c:v>
                </c:pt>
                <c:pt idx="190">
                  <c:v>-715585.7804320557</c:v>
                </c:pt>
                <c:pt idx="191">
                  <c:v>-621437.14668160863</c:v>
                </c:pt>
                <c:pt idx="192">
                  <c:v>-600947.79977927869</c:v>
                </c:pt>
                <c:pt idx="193">
                  <c:v>-715056.22807138646</c:v>
                </c:pt>
                <c:pt idx="194">
                  <c:v>-307646.34687239747</c:v>
                </c:pt>
                <c:pt idx="195">
                  <c:v>-691614.92236660188</c:v>
                </c:pt>
                <c:pt idx="196">
                  <c:v>-503645.08232080378</c:v>
                </c:pt>
                <c:pt idx="197">
                  <c:v>-380673.2622456383</c:v>
                </c:pt>
                <c:pt idx="198">
                  <c:v>-580474.73796497006</c:v>
                </c:pt>
                <c:pt idx="199">
                  <c:v>-423855.22833956406</c:v>
                </c:pt>
                <c:pt idx="200">
                  <c:v>-324973.32797401235</c:v>
                </c:pt>
                <c:pt idx="201">
                  <c:v>-79242.655970515683</c:v>
                </c:pt>
                <c:pt idx="202">
                  <c:v>-410820.24217794882</c:v>
                </c:pt>
                <c:pt idx="203">
                  <c:v>-503411.02504067752</c:v>
                </c:pt>
                <c:pt idx="204">
                  <c:v>-455795.58708178904</c:v>
                </c:pt>
                <c:pt idx="205">
                  <c:v>-317531.75191450748</c:v>
                </c:pt>
                <c:pt idx="206">
                  <c:v>-472759.92725512781</c:v>
                </c:pt>
                <c:pt idx="207">
                  <c:v>-395834.14996445971</c:v>
                </c:pt>
                <c:pt idx="208">
                  <c:v>-802303.72132918984</c:v>
                </c:pt>
                <c:pt idx="209">
                  <c:v>-461123.43563560909</c:v>
                </c:pt>
                <c:pt idx="210">
                  <c:v>-355180.31444323505</c:v>
                </c:pt>
                <c:pt idx="211">
                  <c:v>-399326.37808859278</c:v>
                </c:pt>
                <c:pt idx="212">
                  <c:v>-255611.86146076</c:v>
                </c:pt>
                <c:pt idx="213">
                  <c:v>-810872.3128123167</c:v>
                </c:pt>
                <c:pt idx="214">
                  <c:v>-555558.29566032952</c:v>
                </c:pt>
                <c:pt idx="215">
                  <c:v>-455642.33256866806</c:v>
                </c:pt>
                <c:pt idx="216">
                  <c:v>-640812.74841972231</c:v>
                </c:pt>
                <c:pt idx="217">
                  <c:v>-312244.7962274577</c:v>
                </c:pt>
                <c:pt idx="218">
                  <c:v>-517395.23111312324</c:v>
                </c:pt>
                <c:pt idx="219">
                  <c:v>-441075.32198662125</c:v>
                </c:pt>
                <c:pt idx="220">
                  <c:v>-418679.11508224043</c:v>
                </c:pt>
                <c:pt idx="221">
                  <c:v>-337644.95032328204</c:v>
                </c:pt>
                <c:pt idx="222">
                  <c:v>-654919.02582189604</c:v>
                </c:pt>
                <c:pt idx="223">
                  <c:v>-515659.35553319659</c:v>
                </c:pt>
                <c:pt idx="224">
                  <c:v>-520219.69101746916</c:v>
                </c:pt>
                <c:pt idx="225">
                  <c:v>-392252.17854242004</c:v>
                </c:pt>
                <c:pt idx="226">
                  <c:v>-744587.45634162007</c:v>
                </c:pt>
                <c:pt idx="227">
                  <c:v>-304323.21408151556</c:v>
                </c:pt>
                <c:pt idx="228">
                  <c:v>-319016.9263996135</c:v>
                </c:pt>
                <c:pt idx="229">
                  <c:v>-251785.60975992377</c:v>
                </c:pt>
                <c:pt idx="230">
                  <c:v>-507471.65874206601</c:v>
                </c:pt>
                <c:pt idx="231">
                  <c:v>-461348.55741853965</c:v>
                </c:pt>
                <c:pt idx="232">
                  <c:v>-362841.6069257278</c:v>
                </c:pt>
                <c:pt idx="233">
                  <c:v>-334184.35543520818</c:v>
                </c:pt>
                <c:pt idx="234">
                  <c:v>-623471.14962118608</c:v>
                </c:pt>
                <c:pt idx="235">
                  <c:v>-293201.84960986418</c:v>
                </c:pt>
                <c:pt idx="236">
                  <c:v>-552116.86417435366</c:v>
                </c:pt>
                <c:pt idx="237">
                  <c:v>-592544.86943911877</c:v>
                </c:pt>
                <c:pt idx="238">
                  <c:v>-248243.69640537142</c:v>
                </c:pt>
                <c:pt idx="239">
                  <c:v>-524267.4793724122</c:v>
                </c:pt>
                <c:pt idx="240">
                  <c:v>-140596.78142746398</c:v>
                </c:pt>
                <c:pt idx="241">
                  <c:v>-456163.99912866903</c:v>
                </c:pt>
                <c:pt idx="242">
                  <c:v>-519162.83619111567</c:v>
                </c:pt>
                <c:pt idx="243">
                  <c:v>-947810.47978149517</c:v>
                </c:pt>
                <c:pt idx="244">
                  <c:v>-359070.56888041715</c:v>
                </c:pt>
                <c:pt idx="245">
                  <c:v>-528885.20523850946</c:v>
                </c:pt>
                <c:pt idx="246">
                  <c:v>-414547.86881964863</c:v>
                </c:pt>
                <c:pt idx="247">
                  <c:v>-391870.65651120665</c:v>
                </c:pt>
                <c:pt idx="248">
                  <c:v>-770078.10872447118</c:v>
                </c:pt>
                <c:pt idx="249">
                  <c:v>-267939.32187981461</c:v>
                </c:pt>
                <c:pt idx="250">
                  <c:v>-445845.57784596831</c:v>
                </c:pt>
                <c:pt idx="251">
                  <c:v>-307188.56937430555</c:v>
                </c:pt>
                <c:pt idx="252">
                  <c:v>-916353.88248990709</c:v>
                </c:pt>
                <c:pt idx="253">
                  <c:v>-488391.98009233782</c:v>
                </c:pt>
                <c:pt idx="254">
                  <c:v>-653745.44398399326</c:v>
                </c:pt>
                <c:pt idx="255">
                  <c:v>-590044.40639206511</c:v>
                </c:pt>
                <c:pt idx="256">
                  <c:v>-612653.05779056647</c:v>
                </c:pt>
                <c:pt idx="257">
                  <c:v>-405690.72308926447</c:v>
                </c:pt>
                <c:pt idx="258">
                  <c:v>-575015.47671861132</c:v>
                </c:pt>
                <c:pt idx="259">
                  <c:v>-211212.60998467286</c:v>
                </c:pt>
                <c:pt idx="260">
                  <c:v>-822177.30188113265</c:v>
                </c:pt>
                <c:pt idx="261">
                  <c:v>-547337.71866567084</c:v>
                </c:pt>
                <c:pt idx="262">
                  <c:v>-656159.93759106402</c:v>
                </c:pt>
                <c:pt idx="263">
                  <c:v>-534476.76191817271</c:v>
                </c:pt>
                <c:pt idx="264">
                  <c:v>-752927.52854063525</c:v>
                </c:pt>
                <c:pt idx="265">
                  <c:v>-661054.9214107648</c:v>
                </c:pt>
                <c:pt idx="266">
                  <c:v>-376485.9264175751</c:v>
                </c:pt>
                <c:pt idx="267">
                  <c:v>-641963.96880903933</c:v>
                </c:pt>
                <c:pt idx="268">
                  <c:v>-420155.33174007852</c:v>
                </c:pt>
                <c:pt idx="269">
                  <c:v>-540099.64400144899</c:v>
                </c:pt>
                <c:pt idx="270">
                  <c:v>-465000.2308388669</c:v>
                </c:pt>
                <c:pt idx="271">
                  <c:v>-389838.88918251311</c:v>
                </c:pt>
                <c:pt idx="272">
                  <c:v>-944008.29493537825</c:v>
                </c:pt>
                <c:pt idx="273">
                  <c:v>-587007.2054142931</c:v>
                </c:pt>
                <c:pt idx="274">
                  <c:v>-848048.00660347333</c:v>
                </c:pt>
                <c:pt idx="275">
                  <c:v>-384145.58918230538</c:v>
                </c:pt>
                <c:pt idx="276">
                  <c:v>-471852.7041963425</c:v>
                </c:pt>
                <c:pt idx="277">
                  <c:v>-278507.36790978559</c:v>
                </c:pt>
                <c:pt idx="278">
                  <c:v>-473583.24450815422</c:v>
                </c:pt>
                <c:pt idx="279">
                  <c:v>-514770.96510270145</c:v>
                </c:pt>
                <c:pt idx="280">
                  <c:v>-679293.542278226</c:v>
                </c:pt>
                <c:pt idx="281">
                  <c:v>-436725.88255020906</c:v>
                </c:pt>
                <c:pt idx="282">
                  <c:v>-781684.93590145907</c:v>
                </c:pt>
                <c:pt idx="283">
                  <c:v>-369852.8614403184</c:v>
                </c:pt>
                <c:pt idx="284">
                  <c:v>-247949.31986197573</c:v>
                </c:pt>
                <c:pt idx="285">
                  <c:v>-408735.14087279676</c:v>
                </c:pt>
                <c:pt idx="286">
                  <c:v>-645203.4650022299</c:v>
                </c:pt>
                <c:pt idx="287">
                  <c:v>-348042.19979728828</c:v>
                </c:pt>
                <c:pt idx="288">
                  <c:v>-708510.89582080673</c:v>
                </c:pt>
                <c:pt idx="289">
                  <c:v>-743924.3273988117</c:v>
                </c:pt>
                <c:pt idx="290">
                  <c:v>-91269.127124260413</c:v>
                </c:pt>
                <c:pt idx="291">
                  <c:v>-661948.73983798595</c:v>
                </c:pt>
                <c:pt idx="292">
                  <c:v>-413857.34356965683</c:v>
                </c:pt>
                <c:pt idx="293">
                  <c:v>-582826.21378677711</c:v>
                </c:pt>
                <c:pt idx="294">
                  <c:v>-446088.30311473575</c:v>
                </c:pt>
                <c:pt idx="295">
                  <c:v>-396588.53313601646</c:v>
                </c:pt>
                <c:pt idx="296">
                  <c:v>-266877.26654945896</c:v>
                </c:pt>
                <c:pt idx="297">
                  <c:v>-568908.67776362109</c:v>
                </c:pt>
                <c:pt idx="298">
                  <c:v>-692755.5917965183</c:v>
                </c:pt>
                <c:pt idx="299">
                  <c:v>-544762.05544046941</c:v>
                </c:pt>
                <c:pt idx="300">
                  <c:v>-517603.5367618592</c:v>
                </c:pt>
                <c:pt idx="301">
                  <c:v>-616678.49103286257</c:v>
                </c:pt>
                <c:pt idx="302">
                  <c:v>-521340.9038674261</c:v>
                </c:pt>
                <c:pt idx="303">
                  <c:v>-585870.78607532103</c:v>
                </c:pt>
                <c:pt idx="304">
                  <c:v>-501623.35628137691</c:v>
                </c:pt>
                <c:pt idx="305">
                  <c:v>-364672.39783468214</c:v>
                </c:pt>
                <c:pt idx="306">
                  <c:v>-598209.7850174387</c:v>
                </c:pt>
                <c:pt idx="307">
                  <c:v>-485310.63854797371</c:v>
                </c:pt>
                <c:pt idx="308">
                  <c:v>-831822.81856100494</c:v>
                </c:pt>
                <c:pt idx="309">
                  <c:v>-515762.76494389726</c:v>
                </c:pt>
                <c:pt idx="310">
                  <c:v>-676434.32864211663</c:v>
                </c:pt>
                <c:pt idx="311">
                  <c:v>-181237.31235914282</c:v>
                </c:pt>
                <c:pt idx="312">
                  <c:v>-34470.673289536964</c:v>
                </c:pt>
                <c:pt idx="313">
                  <c:v>-263085.18402944668</c:v>
                </c:pt>
                <c:pt idx="314">
                  <c:v>-571401.48152969568</c:v>
                </c:pt>
                <c:pt idx="315">
                  <c:v>-554404.24193736981</c:v>
                </c:pt>
                <c:pt idx="316">
                  <c:v>-585011.60972652282</c:v>
                </c:pt>
                <c:pt idx="317">
                  <c:v>-530876.26342400792</c:v>
                </c:pt>
                <c:pt idx="318">
                  <c:v>-538315.800310347</c:v>
                </c:pt>
                <c:pt idx="319">
                  <c:v>-644879.50406303233</c:v>
                </c:pt>
                <c:pt idx="320">
                  <c:v>-420234.44708572514</c:v>
                </c:pt>
                <c:pt idx="321">
                  <c:v>-818358.20434368309</c:v>
                </c:pt>
                <c:pt idx="322">
                  <c:v>-543711.96093764342</c:v>
                </c:pt>
                <c:pt idx="323">
                  <c:v>-489179.4465441741</c:v>
                </c:pt>
                <c:pt idx="324">
                  <c:v>169786.85347762587</c:v>
                </c:pt>
                <c:pt idx="325">
                  <c:v>-619317.86695032753</c:v>
                </c:pt>
                <c:pt idx="326">
                  <c:v>-724349.44454663293</c:v>
                </c:pt>
                <c:pt idx="327">
                  <c:v>-985875.04194078874</c:v>
                </c:pt>
                <c:pt idx="328">
                  <c:v>-635295.75488030375</c:v>
                </c:pt>
                <c:pt idx="329">
                  <c:v>-649590.25363761303</c:v>
                </c:pt>
                <c:pt idx="330">
                  <c:v>-705357.82724836469</c:v>
                </c:pt>
                <c:pt idx="331">
                  <c:v>-679547.63023415953</c:v>
                </c:pt>
                <c:pt idx="332">
                  <c:v>-100848.96694805729</c:v>
                </c:pt>
                <c:pt idx="333">
                  <c:v>-590470.80306547834</c:v>
                </c:pt>
                <c:pt idx="334">
                  <c:v>-233123.6665559723</c:v>
                </c:pt>
                <c:pt idx="335">
                  <c:v>-696426.65604260447</c:v>
                </c:pt>
                <c:pt idx="336">
                  <c:v>-343517.97009278869</c:v>
                </c:pt>
                <c:pt idx="337">
                  <c:v>-350008.72973430669</c:v>
                </c:pt>
                <c:pt idx="338">
                  <c:v>-378711.52351936651</c:v>
                </c:pt>
                <c:pt idx="339">
                  <c:v>-214332.32657888159</c:v>
                </c:pt>
                <c:pt idx="340">
                  <c:v>-657664.79359757225</c:v>
                </c:pt>
                <c:pt idx="341">
                  <c:v>-524148.84897448844</c:v>
                </c:pt>
                <c:pt idx="342">
                  <c:v>-547316.78174921661</c:v>
                </c:pt>
                <c:pt idx="343">
                  <c:v>-484504.62907372555</c:v>
                </c:pt>
                <c:pt idx="344">
                  <c:v>-363211.20578483981</c:v>
                </c:pt>
                <c:pt idx="345">
                  <c:v>-377240.06962314225</c:v>
                </c:pt>
                <c:pt idx="346">
                  <c:v>-326638.21008601075</c:v>
                </c:pt>
                <c:pt idx="347">
                  <c:v>-595038.51743461331</c:v>
                </c:pt>
                <c:pt idx="348">
                  <c:v>-540099.91634713043</c:v>
                </c:pt>
                <c:pt idx="349">
                  <c:v>-337358.46330888942</c:v>
                </c:pt>
                <c:pt idx="350">
                  <c:v>-1656150.194230793</c:v>
                </c:pt>
                <c:pt idx="351">
                  <c:v>-449989.75992198777</c:v>
                </c:pt>
                <c:pt idx="352">
                  <c:v>-587503.55898853531</c:v>
                </c:pt>
                <c:pt idx="353">
                  <c:v>-349862.27445440972</c:v>
                </c:pt>
                <c:pt idx="354">
                  <c:v>-263693.30709404708</c:v>
                </c:pt>
                <c:pt idx="355">
                  <c:v>-664547.98323841998</c:v>
                </c:pt>
                <c:pt idx="356">
                  <c:v>-509636.37801241502</c:v>
                </c:pt>
                <c:pt idx="357">
                  <c:v>-501197.45809237636</c:v>
                </c:pt>
                <c:pt idx="358">
                  <c:v>-641699.94851182029</c:v>
                </c:pt>
                <c:pt idx="359">
                  <c:v>-519302.21088160039</c:v>
                </c:pt>
                <c:pt idx="360">
                  <c:v>-474479.25632311823</c:v>
                </c:pt>
                <c:pt idx="361">
                  <c:v>-514612.23886936926</c:v>
                </c:pt>
                <c:pt idx="362">
                  <c:v>-656697.0542113171</c:v>
                </c:pt>
                <c:pt idx="363">
                  <c:v>-358984.67223344417</c:v>
                </c:pt>
                <c:pt idx="364">
                  <c:v>-450427.11961451825</c:v>
                </c:pt>
                <c:pt idx="365">
                  <c:v>-237527.48022386222</c:v>
                </c:pt>
                <c:pt idx="366">
                  <c:v>-425320.50658164569</c:v>
                </c:pt>
                <c:pt idx="367">
                  <c:v>-617320.97809904581</c:v>
                </c:pt>
                <c:pt idx="368">
                  <c:v>-513070.91789601813</c:v>
                </c:pt>
                <c:pt idx="369">
                  <c:v>-324782.92560171522</c:v>
                </c:pt>
                <c:pt idx="370">
                  <c:v>-535642.25619647093</c:v>
                </c:pt>
                <c:pt idx="371">
                  <c:v>-509932.68661527662</c:v>
                </c:pt>
                <c:pt idx="372">
                  <c:v>-465181.61302989651</c:v>
                </c:pt>
                <c:pt idx="373">
                  <c:v>-760886.20195646863</c:v>
                </c:pt>
                <c:pt idx="374">
                  <c:v>-309338.25012938143</c:v>
                </c:pt>
                <c:pt idx="375">
                  <c:v>-362377.70827424247</c:v>
                </c:pt>
                <c:pt idx="376">
                  <c:v>-415081.98457883764</c:v>
                </c:pt>
                <c:pt idx="377">
                  <c:v>-485520.89146652888</c:v>
                </c:pt>
                <c:pt idx="378">
                  <c:v>-464963.49839453772</c:v>
                </c:pt>
                <c:pt idx="379">
                  <c:v>-479787.6615581431</c:v>
                </c:pt>
                <c:pt idx="380">
                  <c:v>-350116.25370283774</c:v>
                </c:pt>
                <c:pt idx="381">
                  <c:v>-245876.68123356742</c:v>
                </c:pt>
                <c:pt idx="382">
                  <c:v>-636205.97372534312</c:v>
                </c:pt>
                <c:pt idx="383">
                  <c:v>-439034.48239571927</c:v>
                </c:pt>
                <c:pt idx="384">
                  <c:v>-487716.616028975</c:v>
                </c:pt>
                <c:pt idx="385">
                  <c:v>-508501.3896652197</c:v>
                </c:pt>
                <c:pt idx="386">
                  <c:v>-701058.19561597356</c:v>
                </c:pt>
                <c:pt idx="387">
                  <c:v>-662672.33276258991</c:v>
                </c:pt>
                <c:pt idx="388">
                  <c:v>-672714.52518828656</c:v>
                </c:pt>
                <c:pt idx="389">
                  <c:v>-286471.34689713153</c:v>
                </c:pt>
                <c:pt idx="390">
                  <c:v>-360148.57930708816</c:v>
                </c:pt>
                <c:pt idx="391">
                  <c:v>-506649.83717339346</c:v>
                </c:pt>
                <c:pt idx="392">
                  <c:v>-525237.01850228384</c:v>
                </c:pt>
                <c:pt idx="393">
                  <c:v>-245354.07638786919</c:v>
                </c:pt>
                <c:pt idx="394">
                  <c:v>-579495.57488479419</c:v>
                </c:pt>
                <c:pt idx="395">
                  <c:v>-519493.28542038705</c:v>
                </c:pt>
                <c:pt idx="396">
                  <c:v>-535436.7647857361</c:v>
                </c:pt>
                <c:pt idx="397">
                  <c:v>-636307.00680566719</c:v>
                </c:pt>
                <c:pt idx="398">
                  <c:v>-517306.94009889523</c:v>
                </c:pt>
                <c:pt idx="399">
                  <c:v>-398041.6925921191</c:v>
                </c:pt>
                <c:pt idx="400">
                  <c:v>-343374.96470675874</c:v>
                </c:pt>
                <c:pt idx="401">
                  <c:v>-526053.10658420273</c:v>
                </c:pt>
                <c:pt idx="402">
                  <c:v>-550397.28587189456</c:v>
                </c:pt>
                <c:pt idx="403">
                  <c:v>-486228.90996910911</c:v>
                </c:pt>
                <c:pt idx="404">
                  <c:v>-829132.67318577133</c:v>
                </c:pt>
                <c:pt idx="405">
                  <c:v>-425992.78443970624</c:v>
                </c:pt>
                <c:pt idx="406">
                  <c:v>-365410.49522058782</c:v>
                </c:pt>
                <c:pt idx="407">
                  <c:v>-450089.86829600739</c:v>
                </c:pt>
                <c:pt idx="408">
                  <c:v>-488361.26089938753</c:v>
                </c:pt>
                <c:pt idx="409">
                  <c:v>-427892.30028530001</c:v>
                </c:pt>
                <c:pt idx="410">
                  <c:v>-980513.9248134899</c:v>
                </c:pt>
                <c:pt idx="411">
                  <c:v>-444004.05559458747</c:v>
                </c:pt>
                <c:pt idx="412">
                  <c:v>-558805.99918155791</c:v>
                </c:pt>
                <c:pt idx="413">
                  <c:v>-527572.42676635901</c:v>
                </c:pt>
                <c:pt idx="414">
                  <c:v>-151977.08032135712</c:v>
                </c:pt>
                <c:pt idx="415">
                  <c:v>-489126.17990955152</c:v>
                </c:pt>
                <c:pt idx="416">
                  <c:v>-643116.03706351668</c:v>
                </c:pt>
                <c:pt idx="417">
                  <c:v>-350057.63383055548</c:v>
                </c:pt>
                <c:pt idx="418">
                  <c:v>-243285.87328669499</c:v>
                </c:pt>
                <c:pt idx="419">
                  <c:v>-455424.29257901059</c:v>
                </c:pt>
                <c:pt idx="420">
                  <c:v>-199100.11941783561</c:v>
                </c:pt>
                <c:pt idx="421">
                  <c:v>-111719.87307796115</c:v>
                </c:pt>
                <c:pt idx="422">
                  <c:v>-359621.70436764625</c:v>
                </c:pt>
                <c:pt idx="423">
                  <c:v>-576573.61299092881</c:v>
                </c:pt>
                <c:pt idx="424">
                  <c:v>-285674.81467056065</c:v>
                </c:pt>
                <c:pt idx="425">
                  <c:v>-330959.48082557227</c:v>
                </c:pt>
                <c:pt idx="426">
                  <c:v>-156828.90931818308</c:v>
                </c:pt>
                <c:pt idx="427">
                  <c:v>-503522.75131207984</c:v>
                </c:pt>
                <c:pt idx="428">
                  <c:v>-641629.70831268909</c:v>
                </c:pt>
                <c:pt idx="429">
                  <c:v>-393408.2352376387</c:v>
                </c:pt>
                <c:pt idx="430">
                  <c:v>-463726.47271801811</c:v>
                </c:pt>
                <c:pt idx="431">
                  <c:v>-346680.54300839687</c:v>
                </c:pt>
                <c:pt idx="432">
                  <c:v>-940994.62267115968</c:v>
                </c:pt>
                <c:pt idx="433">
                  <c:v>-298723.68894034135</c:v>
                </c:pt>
                <c:pt idx="434">
                  <c:v>-817471.69125678949</c:v>
                </c:pt>
                <c:pt idx="435">
                  <c:v>-663092.36786415335</c:v>
                </c:pt>
                <c:pt idx="436">
                  <c:v>-399205.83703943482</c:v>
                </c:pt>
                <c:pt idx="437">
                  <c:v>-271327.85735190264</c:v>
                </c:pt>
                <c:pt idx="438">
                  <c:v>-436239.94555699127</c:v>
                </c:pt>
                <c:pt idx="439">
                  <c:v>-271662.90318276826</c:v>
                </c:pt>
                <c:pt idx="440">
                  <c:v>-775055.41915734997</c:v>
                </c:pt>
                <c:pt idx="441">
                  <c:v>-454528.052673019</c:v>
                </c:pt>
                <c:pt idx="442">
                  <c:v>-443113.61051032203</c:v>
                </c:pt>
                <c:pt idx="443">
                  <c:v>-418417.02009165543</c:v>
                </c:pt>
                <c:pt idx="444">
                  <c:v>-389014.32055845344</c:v>
                </c:pt>
                <c:pt idx="445">
                  <c:v>-283740.8711895009</c:v>
                </c:pt>
                <c:pt idx="446">
                  <c:v>-1275460.3345107846</c:v>
                </c:pt>
                <c:pt idx="447">
                  <c:v>-569570.92720718938</c:v>
                </c:pt>
                <c:pt idx="448">
                  <c:v>-461730.89345151745</c:v>
                </c:pt>
                <c:pt idx="449">
                  <c:v>-283663.35578830284</c:v>
                </c:pt>
                <c:pt idx="450">
                  <c:v>-31696.311021420639</c:v>
                </c:pt>
                <c:pt idx="451">
                  <c:v>-364427.07498783525</c:v>
                </c:pt>
                <c:pt idx="452">
                  <c:v>-531278.5528620265</c:v>
                </c:pt>
                <c:pt idx="453">
                  <c:v>-400022.41969649307</c:v>
                </c:pt>
                <c:pt idx="454">
                  <c:v>-229354.55618835427</c:v>
                </c:pt>
                <c:pt idx="455">
                  <c:v>-742004.10062899115</c:v>
                </c:pt>
                <c:pt idx="456">
                  <c:v>-270157.68928659894</c:v>
                </c:pt>
                <c:pt idx="457">
                  <c:v>-517282.47406637226</c:v>
                </c:pt>
                <c:pt idx="458">
                  <c:v>-294528.84661081072</c:v>
                </c:pt>
                <c:pt idx="459">
                  <c:v>-573215.52160316776</c:v>
                </c:pt>
                <c:pt idx="460">
                  <c:v>-618500.19911508285</c:v>
                </c:pt>
                <c:pt idx="461">
                  <c:v>-423990.57988198439</c:v>
                </c:pt>
                <c:pt idx="462">
                  <c:v>-458310.11319755646</c:v>
                </c:pt>
                <c:pt idx="463">
                  <c:v>-377992.81990741449</c:v>
                </c:pt>
                <c:pt idx="464">
                  <c:v>-376021.43161605787</c:v>
                </c:pt>
                <c:pt idx="465">
                  <c:v>-340293.92415403621</c:v>
                </c:pt>
                <c:pt idx="466">
                  <c:v>-522345.77565624029</c:v>
                </c:pt>
                <c:pt idx="467">
                  <c:v>-524594.18487258093</c:v>
                </c:pt>
                <c:pt idx="468">
                  <c:v>-172810.45275405131</c:v>
                </c:pt>
                <c:pt idx="469">
                  <c:v>-308468.72298191697</c:v>
                </c:pt>
                <c:pt idx="470">
                  <c:v>-525651.06431657448</c:v>
                </c:pt>
                <c:pt idx="471">
                  <c:v>-688942.12001594994</c:v>
                </c:pt>
                <c:pt idx="472">
                  <c:v>-567491.62382533681</c:v>
                </c:pt>
                <c:pt idx="473">
                  <c:v>-362995.50404854235</c:v>
                </c:pt>
                <c:pt idx="474">
                  <c:v>-606730.75475085084</c:v>
                </c:pt>
                <c:pt idx="475">
                  <c:v>-656894.47916292213</c:v>
                </c:pt>
                <c:pt idx="476">
                  <c:v>-449409.39544023713</c:v>
                </c:pt>
                <c:pt idx="477">
                  <c:v>-347267.47609932395</c:v>
                </c:pt>
                <c:pt idx="478">
                  <c:v>-501364.57526301849</c:v>
                </c:pt>
                <c:pt idx="479">
                  <c:v>-442407.17434137804</c:v>
                </c:pt>
                <c:pt idx="480">
                  <c:v>-539898.52366444375</c:v>
                </c:pt>
                <c:pt idx="481">
                  <c:v>-476759.04278532695</c:v>
                </c:pt>
                <c:pt idx="482">
                  <c:v>-472621.93788155005</c:v>
                </c:pt>
                <c:pt idx="483">
                  <c:v>-232655.46367558464</c:v>
                </c:pt>
                <c:pt idx="484">
                  <c:v>-523951.53701547743</c:v>
                </c:pt>
                <c:pt idx="485">
                  <c:v>-440258.47537930217</c:v>
                </c:pt>
                <c:pt idx="486">
                  <c:v>-377155.19415690913</c:v>
                </c:pt>
                <c:pt idx="487">
                  <c:v>-534073.1571534914</c:v>
                </c:pt>
                <c:pt idx="488">
                  <c:v>-443117.84072708082</c:v>
                </c:pt>
                <c:pt idx="489">
                  <c:v>-544889.14525633026</c:v>
                </c:pt>
                <c:pt idx="490">
                  <c:v>-525577.73226965312</c:v>
                </c:pt>
                <c:pt idx="491">
                  <c:v>-275070.74100387748</c:v>
                </c:pt>
                <c:pt idx="492">
                  <c:v>-383182.43719377229</c:v>
                </c:pt>
                <c:pt idx="493">
                  <c:v>-795998.03892595135</c:v>
                </c:pt>
                <c:pt idx="494">
                  <c:v>-754050.27050789585</c:v>
                </c:pt>
                <c:pt idx="495">
                  <c:v>-346479.14064693777</c:v>
                </c:pt>
                <c:pt idx="496">
                  <c:v>-535841.47822831571</c:v>
                </c:pt>
                <c:pt idx="497">
                  <c:v>-557562.82712784735</c:v>
                </c:pt>
                <c:pt idx="498">
                  <c:v>-171052.80468762433</c:v>
                </c:pt>
                <c:pt idx="499">
                  <c:v>-770342.33320843196</c:v>
                </c:pt>
                <c:pt idx="500">
                  <c:v>-391504.64128293807</c:v>
                </c:pt>
                <c:pt idx="501">
                  <c:v>-361100.24942269991</c:v>
                </c:pt>
                <c:pt idx="502">
                  <c:v>-195663.92260191089</c:v>
                </c:pt>
                <c:pt idx="503">
                  <c:v>-477991.73839702178</c:v>
                </c:pt>
                <c:pt idx="504">
                  <c:v>-314363.46209750487</c:v>
                </c:pt>
                <c:pt idx="505">
                  <c:v>-757287.38920594705</c:v>
                </c:pt>
                <c:pt idx="506">
                  <c:v>-544256.82548407069</c:v>
                </c:pt>
                <c:pt idx="507">
                  <c:v>-443333.86606690008</c:v>
                </c:pt>
                <c:pt idx="508">
                  <c:v>-514366.67953728116</c:v>
                </c:pt>
                <c:pt idx="509">
                  <c:v>-782780.66107253334</c:v>
                </c:pt>
                <c:pt idx="510">
                  <c:v>-480274.28234421206</c:v>
                </c:pt>
                <c:pt idx="511">
                  <c:v>-421617.99020440131</c:v>
                </c:pt>
                <c:pt idx="512">
                  <c:v>-315007.18866479979</c:v>
                </c:pt>
                <c:pt idx="513">
                  <c:v>-253554.48790570325</c:v>
                </c:pt>
                <c:pt idx="514">
                  <c:v>-372229.71966390661</c:v>
                </c:pt>
                <c:pt idx="515">
                  <c:v>-543703.25959344371</c:v>
                </c:pt>
                <c:pt idx="516">
                  <c:v>-548752.21486843191</c:v>
                </c:pt>
                <c:pt idx="517">
                  <c:v>-445215.48469110392</c:v>
                </c:pt>
                <c:pt idx="518">
                  <c:v>-514248.36795778014</c:v>
                </c:pt>
                <c:pt idx="519">
                  <c:v>-263466.70327929687</c:v>
                </c:pt>
                <c:pt idx="520">
                  <c:v>-112155.89894711133</c:v>
                </c:pt>
                <c:pt idx="521">
                  <c:v>-503031.57191526541</c:v>
                </c:pt>
                <c:pt idx="522">
                  <c:v>-754981.7954562162</c:v>
                </c:pt>
                <c:pt idx="523">
                  <c:v>-267083.94292775402</c:v>
                </c:pt>
                <c:pt idx="524">
                  <c:v>-389840.58726567333</c:v>
                </c:pt>
                <c:pt idx="525">
                  <c:v>-407682.44275639998</c:v>
                </c:pt>
                <c:pt idx="526">
                  <c:v>-342215.63492589712</c:v>
                </c:pt>
                <c:pt idx="527">
                  <c:v>-552152.6005721027</c:v>
                </c:pt>
                <c:pt idx="528">
                  <c:v>-441340.49218016246</c:v>
                </c:pt>
                <c:pt idx="529">
                  <c:v>-443253.06690704194</c:v>
                </c:pt>
                <c:pt idx="530">
                  <c:v>-454142.07143181912</c:v>
                </c:pt>
                <c:pt idx="531">
                  <c:v>-638609.62711310992</c:v>
                </c:pt>
                <c:pt idx="532">
                  <c:v>-537747.26350932731</c:v>
                </c:pt>
                <c:pt idx="533">
                  <c:v>-658301.90006718365</c:v>
                </c:pt>
                <c:pt idx="534">
                  <c:v>-314679.98930225195</c:v>
                </c:pt>
                <c:pt idx="535">
                  <c:v>-302566.19509986974</c:v>
                </c:pt>
                <c:pt idx="536">
                  <c:v>-365632.59440014767</c:v>
                </c:pt>
                <c:pt idx="537">
                  <c:v>-393129.29850052949</c:v>
                </c:pt>
                <c:pt idx="538">
                  <c:v>-552883.00327876629</c:v>
                </c:pt>
                <c:pt idx="539">
                  <c:v>-429806.61054306058</c:v>
                </c:pt>
                <c:pt idx="540">
                  <c:v>-442073.50191092351</c:v>
                </c:pt>
                <c:pt idx="541">
                  <c:v>-343887.11505321041</c:v>
                </c:pt>
                <c:pt idx="542">
                  <c:v>-295105.91346429242</c:v>
                </c:pt>
                <c:pt idx="543">
                  <c:v>-410208.97509107576</c:v>
                </c:pt>
                <c:pt idx="544">
                  <c:v>-340750.45437734597</c:v>
                </c:pt>
                <c:pt idx="545">
                  <c:v>-268746.64720427478</c:v>
                </c:pt>
                <c:pt idx="546">
                  <c:v>-396636.9999042009</c:v>
                </c:pt>
                <c:pt idx="547">
                  <c:v>-468837.5929768749</c:v>
                </c:pt>
                <c:pt idx="548">
                  <c:v>-540903.29662422347</c:v>
                </c:pt>
                <c:pt idx="549">
                  <c:v>-391578.15376120713</c:v>
                </c:pt>
                <c:pt idx="550">
                  <c:v>-740120.16483009909</c:v>
                </c:pt>
                <c:pt idx="551">
                  <c:v>-313957.2683042814</c:v>
                </c:pt>
                <c:pt idx="552">
                  <c:v>-397685.46959007485</c:v>
                </c:pt>
                <c:pt idx="553">
                  <c:v>-378052.03359057498</c:v>
                </c:pt>
                <c:pt idx="554">
                  <c:v>-637191.34483142896</c:v>
                </c:pt>
                <c:pt idx="555">
                  <c:v>-564116.8163827688</c:v>
                </c:pt>
                <c:pt idx="556">
                  <c:v>-368590.23707789602</c:v>
                </c:pt>
                <c:pt idx="557">
                  <c:v>-1042949.1360628933</c:v>
                </c:pt>
                <c:pt idx="558">
                  <c:v>-385319.74409852526</c:v>
                </c:pt>
                <c:pt idx="559">
                  <c:v>-379112.8963782473</c:v>
                </c:pt>
                <c:pt idx="560">
                  <c:v>-461228.63638677984</c:v>
                </c:pt>
                <c:pt idx="561">
                  <c:v>-630666.38265833119</c:v>
                </c:pt>
                <c:pt idx="562">
                  <c:v>-410785.61119621596</c:v>
                </c:pt>
                <c:pt idx="563">
                  <c:v>-735545.18655270059</c:v>
                </c:pt>
                <c:pt idx="564">
                  <c:v>-363312.40674343961</c:v>
                </c:pt>
                <c:pt idx="565">
                  <c:v>-308341.88140510907</c:v>
                </c:pt>
                <c:pt idx="566">
                  <c:v>-452648.54021316371</c:v>
                </c:pt>
                <c:pt idx="567">
                  <c:v>-468380.85460358509</c:v>
                </c:pt>
                <c:pt idx="568">
                  <c:v>-535751.096780336</c:v>
                </c:pt>
                <c:pt idx="569">
                  <c:v>-603193.83510871348</c:v>
                </c:pt>
                <c:pt idx="570">
                  <c:v>-593957.21447834186</c:v>
                </c:pt>
                <c:pt idx="571">
                  <c:v>-654139.11902645277</c:v>
                </c:pt>
                <c:pt idx="572">
                  <c:v>-612461.61569140363</c:v>
                </c:pt>
                <c:pt idx="573">
                  <c:v>-351802.76581579284</c:v>
                </c:pt>
                <c:pt idx="574">
                  <c:v>-525967.56363564893</c:v>
                </c:pt>
                <c:pt idx="575">
                  <c:v>-520103.06986942282</c:v>
                </c:pt>
                <c:pt idx="576">
                  <c:v>-523025.69457832631</c:v>
                </c:pt>
                <c:pt idx="577">
                  <c:v>-589665.43065771833</c:v>
                </c:pt>
                <c:pt idx="578">
                  <c:v>-405534.00501096318</c:v>
                </c:pt>
                <c:pt idx="579">
                  <c:v>-520577.55304473755</c:v>
                </c:pt>
                <c:pt idx="580">
                  <c:v>-482290.19104196271</c:v>
                </c:pt>
                <c:pt idx="581">
                  <c:v>-526541.57807459822</c:v>
                </c:pt>
                <c:pt idx="582">
                  <c:v>-597057.78192040999</c:v>
                </c:pt>
                <c:pt idx="583">
                  <c:v>-402625.52837247099</c:v>
                </c:pt>
                <c:pt idx="584">
                  <c:v>-452506.70899198647</c:v>
                </c:pt>
                <c:pt idx="585">
                  <c:v>-291082.42569396296</c:v>
                </c:pt>
                <c:pt idx="586">
                  <c:v>-750340.45582872629</c:v>
                </c:pt>
                <c:pt idx="587">
                  <c:v>-384762.87248460995</c:v>
                </c:pt>
                <c:pt idx="588">
                  <c:v>-514670.36512596626</c:v>
                </c:pt>
                <c:pt idx="589">
                  <c:v>-433175.4670917422</c:v>
                </c:pt>
                <c:pt idx="590">
                  <c:v>-606853.31931942678</c:v>
                </c:pt>
                <c:pt idx="591">
                  <c:v>-525506.80113493465</c:v>
                </c:pt>
                <c:pt idx="592">
                  <c:v>-377815.69895717944</c:v>
                </c:pt>
                <c:pt idx="593">
                  <c:v>-460908.82420054369</c:v>
                </c:pt>
                <c:pt idx="594">
                  <c:v>-422378.53582644602</c:v>
                </c:pt>
                <c:pt idx="595">
                  <c:v>-592491.04281878669</c:v>
                </c:pt>
                <c:pt idx="596">
                  <c:v>-564647.60490518273</c:v>
                </c:pt>
                <c:pt idx="597">
                  <c:v>-330300.0894557375</c:v>
                </c:pt>
                <c:pt idx="598">
                  <c:v>-390149.94993811822</c:v>
                </c:pt>
                <c:pt idx="599">
                  <c:v>-554931.85123245628</c:v>
                </c:pt>
                <c:pt idx="600">
                  <c:v>-760724.59813579265</c:v>
                </c:pt>
                <c:pt idx="601">
                  <c:v>-390598.94864021149</c:v>
                </c:pt>
                <c:pt idx="602">
                  <c:v>-504762.18112603878</c:v>
                </c:pt>
                <c:pt idx="603">
                  <c:v>-123292.77283351426</c:v>
                </c:pt>
                <c:pt idx="604">
                  <c:v>-382449.36310487427</c:v>
                </c:pt>
                <c:pt idx="605">
                  <c:v>-375543.68059026031</c:v>
                </c:pt>
                <c:pt idx="606">
                  <c:v>-324131.77940989216</c:v>
                </c:pt>
                <c:pt idx="607">
                  <c:v>-607779.35745703569</c:v>
                </c:pt>
                <c:pt idx="608">
                  <c:v>-473208.15091751842</c:v>
                </c:pt>
                <c:pt idx="609">
                  <c:v>-509948.9662006062</c:v>
                </c:pt>
                <c:pt idx="610">
                  <c:v>-440966.15737412567</c:v>
                </c:pt>
                <c:pt idx="611">
                  <c:v>-425475.06950730761</c:v>
                </c:pt>
                <c:pt idx="612">
                  <c:v>-269084.88258555369</c:v>
                </c:pt>
                <c:pt idx="613">
                  <c:v>-376111.22711678525</c:v>
                </c:pt>
                <c:pt idx="614">
                  <c:v>-373594.91333611705</c:v>
                </c:pt>
                <c:pt idx="615">
                  <c:v>-476831.74616508395</c:v>
                </c:pt>
                <c:pt idx="616">
                  <c:v>-1392185.0929685328</c:v>
                </c:pt>
                <c:pt idx="617">
                  <c:v>-455427.18433744321</c:v>
                </c:pt>
                <c:pt idx="618">
                  <c:v>-639711.63928158791</c:v>
                </c:pt>
                <c:pt idx="619">
                  <c:v>-366624.42748876102</c:v>
                </c:pt>
                <c:pt idx="620">
                  <c:v>-254522.24724612199</c:v>
                </c:pt>
                <c:pt idx="621">
                  <c:v>-232175.91387301008</c:v>
                </c:pt>
                <c:pt idx="622">
                  <c:v>-331432.46460639522</c:v>
                </c:pt>
                <c:pt idx="623">
                  <c:v>-619219.80494278925</c:v>
                </c:pt>
                <c:pt idx="624">
                  <c:v>-148346.45587459276</c:v>
                </c:pt>
                <c:pt idx="625">
                  <c:v>-338069.52831003885</c:v>
                </c:pt>
                <c:pt idx="626">
                  <c:v>-486271.02860001824</c:v>
                </c:pt>
                <c:pt idx="627">
                  <c:v>-547486.66491101589</c:v>
                </c:pt>
                <c:pt idx="628">
                  <c:v>-606735.73997531086</c:v>
                </c:pt>
                <c:pt idx="629">
                  <c:v>-377812.48404507583</c:v>
                </c:pt>
                <c:pt idx="630">
                  <c:v>-394176.12424292858</c:v>
                </c:pt>
                <c:pt idx="631">
                  <c:v>-431542.57665561931</c:v>
                </c:pt>
                <c:pt idx="632">
                  <c:v>-404992.5307154262</c:v>
                </c:pt>
                <c:pt idx="633">
                  <c:v>-731779.56852489011</c:v>
                </c:pt>
                <c:pt idx="634">
                  <c:v>-326021.92496673367</c:v>
                </c:pt>
                <c:pt idx="635">
                  <c:v>-588547.87757162657</c:v>
                </c:pt>
                <c:pt idx="636">
                  <c:v>-556346.05320024118</c:v>
                </c:pt>
                <c:pt idx="637">
                  <c:v>-471044.05077063618</c:v>
                </c:pt>
                <c:pt idx="638">
                  <c:v>-343577.21896874963</c:v>
                </c:pt>
                <c:pt idx="639">
                  <c:v>-415054.15926263737</c:v>
                </c:pt>
                <c:pt idx="640">
                  <c:v>-586554.35616147122</c:v>
                </c:pt>
                <c:pt idx="641">
                  <c:v>-554843.47462965897</c:v>
                </c:pt>
                <c:pt idx="642">
                  <c:v>-570391.13285942026</c:v>
                </c:pt>
                <c:pt idx="643">
                  <c:v>-494182.7251049187</c:v>
                </c:pt>
                <c:pt idx="644">
                  <c:v>-413883.66077460465</c:v>
                </c:pt>
                <c:pt idx="645">
                  <c:v>-549227.53327261447</c:v>
                </c:pt>
                <c:pt idx="646">
                  <c:v>-462809.75508486421</c:v>
                </c:pt>
                <c:pt idx="647">
                  <c:v>-161160.20710440632</c:v>
                </c:pt>
                <c:pt idx="648">
                  <c:v>-758045.39799598372</c:v>
                </c:pt>
                <c:pt idx="649">
                  <c:v>-227471.30600937153</c:v>
                </c:pt>
                <c:pt idx="650">
                  <c:v>-606084.01999637228</c:v>
                </c:pt>
                <c:pt idx="651">
                  <c:v>-425760.16630631662</c:v>
                </c:pt>
                <c:pt idx="652">
                  <c:v>-589430.47650211025</c:v>
                </c:pt>
                <c:pt idx="653">
                  <c:v>-403611.43599066185</c:v>
                </c:pt>
                <c:pt idx="654">
                  <c:v>-459798.4260449328</c:v>
                </c:pt>
                <c:pt idx="655">
                  <c:v>-397265.56989529636</c:v>
                </c:pt>
                <c:pt idx="656">
                  <c:v>-506845.42263800302</c:v>
                </c:pt>
                <c:pt idx="657">
                  <c:v>-416148.79046424828</c:v>
                </c:pt>
                <c:pt idx="658">
                  <c:v>-352745.39035103051</c:v>
                </c:pt>
                <c:pt idx="659">
                  <c:v>-655513.93925253162</c:v>
                </c:pt>
                <c:pt idx="660">
                  <c:v>-419891.66471231868</c:v>
                </c:pt>
                <c:pt idx="661">
                  <c:v>-772970.87476834259</c:v>
                </c:pt>
                <c:pt idx="662">
                  <c:v>-402978.99020922463</c:v>
                </c:pt>
                <c:pt idx="663">
                  <c:v>-467287.45389544754</c:v>
                </c:pt>
                <c:pt idx="664">
                  <c:v>-477873.27056750562</c:v>
                </c:pt>
                <c:pt idx="665">
                  <c:v>-604315.58286526543</c:v>
                </c:pt>
                <c:pt idx="666">
                  <c:v>-289406.32991766697</c:v>
                </c:pt>
                <c:pt idx="667">
                  <c:v>-426493.97051345021</c:v>
                </c:pt>
                <c:pt idx="668">
                  <c:v>-778213.28284519352</c:v>
                </c:pt>
                <c:pt idx="669">
                  <c:v>-471493.27614079881</c:v>
                </c:pt>
                <c:pt idx="670">
                  <c:v>-430065.67165621743</c:v>
                </c:pt>
                <c:pt idx="671">
                  <c:v>-678347.6103670192</c:v>
                </c:pt>
                <c:pt idx="672">
                  <c:v>-490171.49579425086</c:v>
                </c:pt>
                <c:pt idx="673">
                  <c:v>-518323.60925789806</c:v>
                </c:pt>
                <c:pt idx="674">
                  <c:v>-352838.9080996199</c:v>
                </c:pt>
                <c:pt idx="675">
                  <c:v>-346827.3037550149</c:v>
                </c:pt>
                <c:pt idx="676">
                  <c:v>-476086.16841265443</c:v>
                </c:pt>
                <c:pt idx="677">
                  <c:v>-152613.52793381736</c:v>
                </c:pt>
                <c:pt idx="678">
                  <c:v>-381750.82673185738</c:v>
                </c:pt>
                <c:pt idx="679">
                  <c:v>-372539.99969484797</c:v>
                </c:pt>
                <c:pt idx="680">
                  <c:v>-402484.13308346504</c:v>
                </c:pt>
                <c:pt idx="681">
                  <c:v>-735042.24099632842</c:v>
                </c:pt>
                <c:pt idx="682">
                  <c:v>-330263.70814240514</c:v>
                </c:pt>
                <c:pt idx="683">
                  <c:v>-672063.26347893639</c:v>
                </c:pt>
                <c:pt idx="684">
                  <c:v>-749938.09017312503</c:v>
                </c:pt>
                <c:pt idx="685">
                  <c:v>-400210.74367144424</c:v>
                </c:pt>
                <c:pt idx="686">
                  <c:v>-544528.68844307819</c:v>
                </c:pt>
                <c:pt idx="687">
                  <c:v>-555835.38768277317</c:v>
                </c:pt>
                <c:pt idx="688">
                  <c:v>-463219.17828774755</c:v>
                </c:pt>
                <c:pt idx="689">
                  <c:v>-377472.44978674594</c:v>
                </c:pt>
                <c:pt idx="690">
                  <c:v>-361483.55939975288</c:v>
                </c:pt>
                <c:pt idx="691">
                  <c:v>-373051.54534398043</c:v>
                </c:pt>
                <c:pt idx="692">
                  <c:v>-459425.67031899258</c:v>
                </c:pt>
                <c:pt idx="693">
                  <c:v>-850828.61646602955</c:v>
                </c:pt>
                <c:pt idx="694">
                  <c:v>-464966.77707371674</c:v>
                </c:pt>
                <c:pt idx="695">
                  <c:v>-632797.39142295043</c:v>
                </c:pt>
                <c:pt idx="696">
                  <c:v>-285998.21489825891</c:v>
                </c:pt>
                <c:pt idx="697">
                  <c:v>-649183.18804930942</c:v>
                </c:pt>
                <c:pt idx="698">
                  <c:v>-569345.37919591856</c:v>
                </c:pt>
                <c:pt idx="699">
                  <c:v>-480705.62956357445</c:v>
                </c:pt>
                <c:pt idx="700">
                  <c:v>-488158.26158773713</c:v>
                </c:pt>
                <c:pt idx="701">
                  <c:v>-469959.68289367203</c:v>
                </c:pt>
                <c:pt idx="702">
                  <c:v>-358441.74659834371</c:v>
                </c:pt>
                <c:pt idx="703">
                  <c:v>-660146.97197058937</c:v>
                </c:pt>
                <c:pt idx="704">
                  <c:v>-333021.0851809422</c:v>
                </c:pt>
                <c:pt idx="705">
                  <c:v>-485903.34912288003</c:v>
                </c:pt>
                <c:pt idx="706">
                  <c:v>-575540.19792810734</c:v>
                </c:pt>
                <c:pt idx="707">
                  <c:v>-181810.11618653871</c:v>
                </c:pt>
                <c:pt idx="708">
                  <c:v>-811286.00195664028</c:v>
                </c:pt>
                <c:pt idx="709">
                  <c:v>-310372.33037843835</c:v>
                </c:pt>
                <c:pt idx="710">
                  <c:v>-364682.30834210617</c:v>
                </c:pt>
                <c:pt idx="711">
                  <c:v>-345072.96774261515</c:v>
                </c:pt>
                <c:pt idx="712">
                  <c:v>-1007466.2253472055</c:v>
                </c:pt>
                <c:pt idx="713">
                  <c:v>-370191.05849439674</c:v>
                </c:pt>
                <c:pt idx="714">
                  <c:v>-481509.05591947422</c:v>
                </c:pt>
                <c:pt idx="715">
                  <c:v>-588704.08973292075</c:v>
                </c:pt>
                <c:pt idx="716">
                  <c:v>-366509.84137612814</c:v>
                </c:pt>
                <c:pt idx="717">
                  <c:v>-762196.51771716867</c:v>
                </c:pt>
                <c:pt idx="718">
                  <c:v>-1069867.9604228865</c:v>
                </c:pt>
                <c:pt idx="719">
                  <c:v>-456620.55619304534</c:v>
                </c:pt>
                <c:pt idx="720">
                  <c:v>-700321.39987738337</c:v>
                </c:pt>
                <c:pt idx="721">
                  <c:v>-696075.19370110519</c:v>
                </c:pt>
                <c:pt idx="722">
                  <c:v>-865102.62558236532</c:v>
                </c:pt>
                <c:pt idx="723">
                  <c:v>-537302.72082965472</c:v>
                </c:pt>
                <c:pt idx="724">
                  <c:v>-407274.89227143093</c:v>
                </c:pt>
                <c:pt idx="725">
                  <c:v>-688883.09774507815</c:v>
                </c:pt>
                <c:pt idx="726">
                  <c:v>-227239.21665282012</c:v>
                </c:pt>
                <c:pt idx="727">
                  <c:v>-642428.36343050096</c:v>
                </c:pt>
                <c:pt idx="728">
                  <c:v>-93936.480678467546</c:v>
                </c:pt>
                <c:pt idx="729">
                  <c:v>-483940.85997588979</c:v>
                </c:pt>
                <c:pt idx="730">
                  <c:v>-1109602.256646859</c:v>
                </c:pt>
                <c:pt idx="731">
                  <c:v>-391576.72760341805</c:v>
                </c:pt>
                <c:pt idx="732">
                  <c:v>-711729.2477770301</c:v>
                </c:pt>
                <c:pt idx="733">
                  <c:v>-584955.72128040949</c:v>
                </c:pt>
                <c:pt idx="734">
                  <c:v>-487651.05513088894</c:v>
                </c:pt>
                <c:pt idx="735">
                  <c:v>-544286.55270846817</c:v>
                </c:pt>
                <c:pt idx="736">
                  <c:v>-445909.92691682791</c:v>
                </c:pt>
                <c:pt idx="737">
                  <c:v>-631716.30595220695</c:v>
                </c:pt>
                <c:pt idx="738">
                  <c:v>-564412.99771284219</c:v>
                </c:pt>
                <c:pt idx="739">
                  <c:v>-571861.82986586704</c:v>
                </c:pt>
                <c:pt idx="740">
                  <c:v>-459897.42843804345</c:v>
                </c:pt>
                <c:pt idx="741">
                  <c:v>-398719.61210196395</c:v>
                </c:pt>
                <c:pt idx="742">
                  <c:v>-512398.17039992567</c:v>
                </c:pt>
                <c:pt idx="743">
                  <c:v>-242457.79698364157</c:v>
                </c:pt>
                <c:pt idx="744">
                  <c:v>-509971.14057164267</c:v>
                </c:pt>
                <c:pt idx="745">
                  <c:v>-448519.47748343134</c:v>
                </c:pt>
                <c:pt idx="746">
                  <c:v>-812055.07495373534</c:v>
                </c:pt>
                <c:pt idx="747">
                  <c:v>-588699.02466882416</c:v>
                </c:pt>
                <c:pt idx="748">
                  <c:v>-597583.5258657895</c:v>
                </c:pt>
                <c:pt idx="749">
                  <c:v>-272376.49726328719</c:v>
                </c:pt>
                <c:pt idx="750">
                  <c:v>-167479.56974208774</c:v>
                </c:pt>
                <c:pt idx="751">
                  <c:v>-512478.4407806024</c:v>
                </c:pt>
                <c:pt idx="752">
                  <c:v>-751317.44034420676</c:v>
                </c:pt>
                <c:pt idx="753">
                  <c:v>-411096.35081753111</c:v>
                </c:pt>
                <c:pt idx="754">
                  <c:v>-371860.62928138138</c:v>
                </c:pt>
                <c:pt idx="755">
                  <c:v>-532063.69674822106</c:v>
                </c:pt>
                <c:pt idx="756">
                  <c:v>-312587.45609478047</c:v>
                </c:pt>
                <c:pt idx="757">
                  <c:v>-594566.24512310605</c:v>
                </c:pt>
                <c:pt idx="758">
                  <c:v>-379058.53058412694</c:v>
                </c:pt>
                <c:pt idx="759">
                  <c:v>-391030.48534191377</c:v>
                </c:pt>
                <c:pt idx="760">
                  <c:v>-382637.9799014742</c:v>
                </c:pt>
                <c:pt idx="761">
                  <c:v>-286720.65978614497</c:v>
                </c:pt>
                <c:pt idx="762">
                  <c:v>-325711.5799511557</c:v>
                </c:pt>
                <c:pt idx="763">
                  <c:v>-314623.25753511931</c:v>
                </c:pt>
                <c:pt idx="764">
                  <c:v>-694684.14705208573</c:v>
                </c:pt>
                <c:pt idx="765">
                  <c:v>-529985.84369002236</c:v>
                </c:pt>
                <c:pt idx="766">
                  <c:v>-519121.1664255301</c:v>
                </c:pt>
                <c:pt idx="767">
                  <c:v>-572998.74721469963</c:v>
                </c:pt>
                <c:pt idx="768">
                  <c:v>-355229.03930988838</c:v>
                </c:pt>
                <c:pt idx="769">
                  <c:v>-437905.37886204314</c:v>
                </c:pt>
                <c:pt idx="770">
                  <c:v>-396744.9265879516</c:v>
                </c:pt>
                <c:pt idx="771">
                  <c:v>-376822.12254409422</c:v>
                </c:pt>
                <c:pt idx="772">
                  <c:v>-538452.05839367583</c:v>
                </c:pt>
                <c:pt idx="773">
                  <c:v>-665689.10524200602</c:v>
                </c:pt>
                <c:pt idx="774">
                  <c:v>-647345.92850454827</c:v>
                </c:pt>
                <c:pt idx="775">
                  <c:v>-196427.5360703622</c:v>
                </c:pt>
                <c:pt idx="776">
                  <c:v>-478177.78807578771</c:v>
                </c:pt>
                <c:pt idx="777">
                  <c:v>-300900.44076327933</c:v>
                </c:pt>
                <c:pt idx="778">
                  <c:v>-368189.4960807818</c:v>
                </c:pt>
                <c:pt idx="779">
                  <c:v>-515470.77813725057</c:v>
                </c:pt>
                <c:pt idx="780">
                  <c:v>-60861.4129849663</c:v>
                </c:pt>
                <c:pt idx="781">
                  <c:v>-316577.34378487687</c:v>
                </c:pt>
                <c:pt idx="782">
                  <c:v>-481052.17320926138</c:v>
                </c:pt>
                <c:pt idx="783">
                  <c:v>-135545.14482014696</c:v>
                </c:pt>
                <c:pt idx="784">
                  <c:v>-398795.53393617528</c:v>
                </c:pt>
                <c:pt idx="785">
                  <c:v>-175387.50328137795</c:v>
                </c:pt>
                <c:pt idx="786">
                  <c:v>-373117.13378428691</c:v>
                </c:pt>
                <c:pt idx="787">
                  <c:v>-484623.99669627589</c:v>
                </c:pt>
                <c:pt idx="788">
                  <c:v>-399685.77164079342</c:v>
                </c:pt>
                <c:pt idx="789">
                  <c:v>-371183.16077715345</c:v>
                </c:pt>
                <c:pt idx="790">
                  <c:v>-564726.17723838845</c:v>
                </c:pt>
                <c:pt idx="791">
                  <c:v>-452851.29121812247</c:v>
                </c:pt>
                <c:pt idx="792">
                  <c:v>-180033.62516127992</c:v>
                </c:pt>
                <c:pt idx="793">
                  <c:v>-688713.29834317765</c:v>
                </c:pt>
                <c:pt idx="794">
                  <c:v>-273286.00409006071</c:v>
                </c:pt>
                <c:pt idx="795">
                  <c:v>-459540.20528869843</c:v>
                </c:pt>
                <c:pt idx="796">
                  <c:v>-263641.28859403799</c:v>
                </c:pt>
                <c:pt idx="797">
                  <c:v>-420004.87988994177</c:v>
                </c:pt>
                <c:pt idx="798">
                  <c:v>-527307.62341008009</c:v>
                </c:pt>
                <c:pt idx="799">
                  <c:v>-632724.9759793249</c:v>
                </c:pt>
                <c:pt idx="800">
                  <c:v>-614771.04527563998</c:v>
                </c:pt>
                <c:pt idx="801">
                  <c:v>-708435.07121611689</c:v>
                </c:pt>
                <c:pt idx="802">
                  <c:v>-430082.00955604459</c:v>
                </c:pt>
                <c:pt idx="803">
                  <c:v>-351475.03424248961</c:v>
                </c:pt>
                <c:pt idx="804">
                  <c:v>-415866.64179457002</c:v>
                </c:pt>
                <c:pt idx="805">
                  <c:v>-552439.46017221175</c:v>
                </c:pt>
                <c:pt idx="806">
                  <c:v>-1048646.5998943911</c:v>
                </c:pt>
                <c:pt idx="807">
                  <c:v>-367709.07609186554</c:v>
                </c:pt>
                <c:pt idx="808">
                  <c:v>-306735.88266141107</c:v>
                </c:pt>
                <c:pt idx="809">
                  <c:v>-617311.10915037175</c:v>
                </c:pt>
                <c:pt idx="810">
                  <c:v>-666006.43041709624</c:v>
                </c:pt>
                <c:pt idx="811">
                  <c:v>-371898.44569943566</c:v>
                </c:pt>
                <c:pt idx="812">
                  <c:v>-539507.05920690484</c:v>
                </c:pt>
                <c:pt idx="813">
                  <c:v>-497327.95882557309</c:v>
                </c:pt>
                <c:pt idx="814">
                  <c:v>-229455.99743441795</c:v>
                </c:pt>
                <c:pt idx="815">
                  <c:v>-407878.67572899046</c:v>
                </c:pt>
                <c:pt idx="816">
                  <c:v>-446231.4865787439</c:v>
                </c:pt>
                <c:pt idx="817">
                  <c:v>-263998.17742554843</c:v>
                </c:pt>
                <c:pt idx="818">
                  <c:v>-508048.4385423474</c:v>
                </c:pt>
                <c:pt idx="819">
                  <c:v>-412026.8992965715</c:v>
                </c:pt>
                <c:pt idx="820">
                  <c:v>-322051.8350795419</c:v>
                </c:pt>
                <c:pt idx="821">
                  <c:v>-449141.96854679519</c:v>
                </c:pt>
                <c:pt idx="822">
                  <c:v>-776620.66160245147</c:v>
                </c:pt>
                <c:pt idx="823">
                  <c:v>-931650.95818354585</c:v>
                </c:pt>
                <c:pt idx="824">
                  <c:v>-465176.70954605122</c:v>
                </c:pt>
                <c:pt idx="825">
                  <c:v>-492423.37658184604</c:v>
                </c:pt>
                <c:pt idx="826">
                  <c:v>-472218.07883281144</c:v>
                </c:pt>
                <c:pt idx="827">
                  <c:v>-513618.90710462793</c:v>
                </c:pt>
                <c:pt idx="828">
                  <c:v>-481856.81642015418</c:v>
                </c:pt>
                <c:pt idx="829">
                  <c:v>-545203.38761321688</c:v>
                </c:pt>
                <c:pt idx="830">
                  <c:v>-563134.9189972945</c:v>
                </c:pt>
                <c:pt idx="831">
                  <c:v>-522468.00282220228</c:v>
                </c:pt>
                <c:pt idx="832">
                  <c:v>-526123.84648825112</c:v>
                </c:pt>
                <c:pt idx="833">
                  <c:v>-460281.7263837182</c:v>
                </c:pt>
                <c:pt idx="834">
                  <c:v>-692537.25299421838</c:v>
                </c:pt>
                <c:pt idx="835">
                  <c:v>-462025.874543129</c:v>
                </c:pt>
                <c:pt idx="836">
                  <c:v>-272955.80795714795</c:v>
                </c:pt>
                <c:pt idx="837">
                  <c:v>-304301.33016411052</c:v>
                </c:pt>
                <c:pt idx="838">
                  <c:v>-839132.3851766279</c:v>
                </c:pt>
                <c:pt idx="839">
                  <c:v>-550529.04049824551</c:v>
                </c:pt>
                <c:pt idx="840">
                  <c:v>-488667.33547319379</c:v>
                </c:pt>
                <c:pt idx="841">
                  <c:v>-340981.04648070596</c:v>
                </c:pt>
                <c:pt idx="842">
                  <c:v>-814627.3241871614</c:v>
                </c:pt>
                <c:pt idx="843">
                  <c:v>-512562.83080427535</c:v>
                </c:pt>
                <c:pt idx="844">
                  <c:v>-372659.23330259323</c:v>
                </c:pt>
                <c:pt idx="845">
                  <c:v>-604998.32855466986</c:v>
                </c:pt>
                <c:pt idx="846">
                  <c:v>-412467.12459710939</c:v>
                </c:pt>
                <c:pt idx="847">
                  <c:v>-455947.53246043832</c:v>
                </c:pt>
                <c:pt idx="848">
                  <c:v>-586941.28994435584</c:v>
                </c:pt>
                <c:pt idx="849">
                  <c:v>-452631.58795304224</c:v>
                </c:pt>
                <c:pt idx="850">
                  <c:v>-418798.39485984924</c:v>
                </c:pt>
                <c:pt idx="851">
                  <c:v>-612561.52985327202</c:v>
                </c:pt>
                <c:pt idx="852">
                  <c:v>-497503.77273555775</c:v>
                </c:pt>
                <c:pt idx="853">
                  <c:v>-504844.17723275977</c:v>
                </c:pt>
                <c:pt idx="854">
                  <c:v>-697569.61364221293</c:v>
                </c:pt>
                <c:pt idx="855">
                  <c:v>-510285.38470314862</c:v>
                </c:pt>
                <c:pt idx="856">
                  <c:v>-460083.89161434071</c:v>
                </c:pt>
                <c:pt idx="857">
                  <c:v>-307635.57020680048</c:v>
                </c:pt>
                <c:pt idx="858">
                  <c:v>-659566.94390566112</c:v>
                </c:pt>
                <c:pt idx="859">
                  <c:v>-860848.07889014203</c:v>
                </c:pt>
                <c:pt idx="860">
                  <c:v>-409302.41258546175</c:v>
                </c:pt>
                <c:pt idx="861">
                  <c:v>-417387.63879880379</c:v>
                </c:pt>
                <c:pt idx="862">
                  <c:v>-444615.13451137766</c:v>
                </c:pt>
                <c:pt idx="863">
                  <c:v>-401125.09135422693</c:v>
                </c:pt>
                <c:pt idx="864">
                  <c:v>-375041.22956600436</c:v>
                </c:pt>
                <c:pt idx="865">
                  <c:v>-386837.62327983929</c:v>
                </c:pt>
                <c:pt idx="866">
                  <c:v>-229073.42505139415</c:v>
                </c:pt>
                <c:pt idx="867">
                  <c:v>-481792.53197429259</c:v>
                </c:pt>
                <c:pt idx="868">
                  <c:v>-541034.87819999573</c:v>
                </c:pt>
                <c:pt idx="869">
                  <c:v>-648020.2992751589</c:v>
                </c:pt>
                <c:pt idx="870">
                  <c:v>-322164.14862931683</c:v>
                </c:pt>
                <c:pt idx="871">
                  <c:v>-572275.54282395635</c:v>
                </c:pt>
                <c:pt idx="872">
                  <c:v>-564337.62754264614</c:v>
                </c:pt>
                <c:pt idx="873">
                  <c:v>-457507.60917909117</c:v>
                </c:pt>
                <c:pt idx="874">
                  <c:v>-403260.80434470717</c:v>
                </c:pt>
                <c:pt idx="875">
                  <c:v>-459417.5989842501</c:v>
                </c:pt>
                <c:pt idx="876">
                  <c:v>-882031.9245763449</c:v>
                </c:pt>
                <c:pt idx="877">
                  <c:v>-397293.86770163383</c:v>
                </c:pt>
                <c:pt idx="878">
                  <c:v>-497301.52997236722</c:v>
                </c:pt>
                <c:pt idx="879">
                  <c:v>-534603.19188466365</c:v>
                </c:pt>
                <c:pt idx="880">
                  <c:v>-371468.05372873484</c:v>
                </c:pt>
                <c:pt idx="881">
                  <c:v>-490237.30909479945</c:v>
                </c:pt>
                <c:pt idx="882">
                  <c:v>-611098.58781362022</c:v>
                </c:pt>
                <c:pt idx="883">
                  <c:v>-673672.05839709518</c:v>
                </c:pt>
                <c:pt idx="884">
                  <c:v>-595115.88984854147</c:v>
                </c:pt>
                <c:pt idx="885">
                  <c:v>-218707.47445301106</c:v>
                </c:pt>
                <c:pt idx="886">
                  <c:v>-760134.56746860617</c:v>
                </c:pt>
                <c:pt idx="887">
                  <c:v>-430935.22833420918</c:v>
                </c:pt>
                <c:pt idx="888">
                  <c:v>-385186.29732227302</c:v>
                </c:pt>
                <c:pt idx="889">
                  <c:v>-603953.98151775403</c:v>
                </c:pt>
                <c:pt idx="890">
                  <c:v>-651338.25889887265</c:v>
                </c:pt>
                <c:pt idx="891">
                  <c:v>-773424.68745363806</c:v>
                </c:pt>
                <c:pt idx="892">
                  <c:v>-519151.08912455896</c:v>
                </c:pt>
                <c:pt idx="893">
                  <c:v>-358210.55009365524</c:v>
                </c:pt>
                <c:pt idx="894">
                  <c:v>-434517.01630403497</c:v>
                </c:pt>
                <c:pt idx="895">
                  <c:v>-381868.90578405419</c:v>
                </c:pt>
                <c:pt idx="896">
                  <c:v>-389670.70419840747</c:v>
                </c:pt>
                <c:pt idx="897">
                  <c:v>-474050.71353916195</c:v>
                </c:pt>
                <c:pt idx="898">
                  <c:v>-298816.7996725007</c:v>
                </c:pt>
                <c:pt idx="899">
                  <c:v>-485029.89855673932</c:v>
                </c:pt>
                <c:pt idx="900">
                  <c:v>-386638.20722447056</c:v>
                </c:pt>
                <c:pt idx="901">
                  <c:v>-566038.84130349709</c:v>
                </c:pt>
                <c:pt idx="902">
                  <c:v>-315265.9939128526</c:v>
                </c:pt>
                <c:pt idx="903">
                  <c:v>-377512.96572202421</c:v>
                </c:pt>
                <c:pt idx="904">
                  <c:v>-411356.15367492056</c:v>
                </c:pt>
                <c:pt idx="905">
                  <c:v>-408352.40370277036</c:v>
                </c:pt>
                <c:pt idx="906">
                  <c:v>-517020.28061146848</c:v>
                </c:pt>
                <c:pt idx="907">
                  <c:v>-269356.55695007695</c:v>
                </c:pt>
                <c:pt idx="908">
                  <c:v>-655725.49609051342</c:v>
                </c:pt>
                <c:pt idx="909">
                  <c:v>-323865.42699698498</c:v>
                </c:pt>
                <c:pt idx="910">
                  <c:v>-441744.31470688712</c:v>
                </c:pt>
                <c:pt idx="911">
                  <c:v>-554977.07754281536</c:v>
                </c:pt>
                <c:pt idx="912">
                  <c:v>-584775.15910466202</c:v>
                </c:pt>
                <c:pt idx="913">
                  <c:v>-376072.14317940664</c:v>
                </c:pt>
                <c:pt idx="914">
                  <c:v>-512701.75609311834</c:v>
                </c:pt>
                <c:pt idx="915">
                  <c:v>-383712.61198435677</c:v>
                </c:pt>
                <c:pt idx="916">
                  <c:v>-510590.0300687782</c:v>
                </c:pt>
                <c:pt idx="917">
                  <c:v>-576440.32629106008</c:v>
                </c:pt>
                <c:pt idx="918">
                  <c:v>-506117.2355031101</c:v>
                </c:pt>
                <c:pt idx="919">
                  <c:v>-619385.41711639287</c:v>
                </c:pt>
                <c:pt idx="920">
                  <c:v>-381857.68183545419</c:v>
                </c:pt>
                <c:pt idx="921">
                  <c:v>-674427.45936752646</c:v>
                </c:pt>
                <c:pt idx="922">
                  <c:v>-310971.9514735858</c:v>
                </c:pt>
                <c:pt idx="923">
                  <c:v>-373499.72823731275</c:v>
                </c:pt>
                <c:pt idx="924">
                  <c:v>-590562.29290378559</c:v>
                </c:pt>
                <c:pt idx="925">
                  <c:v>-453985.13027894101</c:v>
                </c:pt>
                <c:pt idx="926">
                  <c:v>-505408.10507647693</c:v>
                </c:pt>
                <c:pt idx="927">
                  <c:v>-655785.79870071448</c:v>
                </c:pt>
                <c:pt idx="928">
                  <c:v>-691519.77038544999</c:v>
                </c:pt>
                <c:pt idx="929">
                  <c:v>-380300.10324538453</c:v>
                </c:pt>
                <c:pt idx="930">
                  <c:v>-579141.84755902109</c:v>
                </c:pt>
                <c:pt idx="931">
                  <c:v>-296520.9650220878</c:v>
                </c:pt>
                <c:pt idx="932">
                  <c:v>-538999.91820756672</c:v>
                </c:pt>
                <c:pt idx="933">
                  <c:v>-503157.44585667294</c:v>
                </c:pt>
                <c:pt idx="934">
                  <c:v>-515580.39621758065</c:v>
                </c:pt>
                <c:pt idx="935">
                  <c:v>-432698.97566332342</c:v>
                </c:pt>
                <c:pt idx="936">
                  <c:v>-689830.17989641451</c:v>
                </c:pt>
                <c:pt idx="937">
                  <c:v>-574207.50370014342</c:v>
                </c:pt>
                <c:pt idx="938">
                  <c:v>-898864.00067166146</c:v>
                </c:pt>
                <c:pt idx="939">
                  <c:v>-731910.11541406135</c:v>
                </c:pt>
                <c:pt idx="940">
                  <c:v>-968441.55940310424</c:v>
                </c:pt>
                <c:pt idx="941">
                  <c:v>-496496.66231334838</c:v>
                </c:pt>
                <c:pt idx="942">
                  <c:v>-356560.06358752563</c:v>
                </c:pt>
                <c:pt idx="943">
                  <c:v>-544162.639087616</c:v>
                </c:pt>
                <c:pt idx="944">
                  <c:v>-801569.13265384245</c:v>
                </c:pt>
                <c:pt idx="945">
                  <c:v>-385465.20093239145</c:v>
                </c:pt>
                <c:pt idx="946">
                  <c:v>-330826.23617791198</c:v>
                </c:pt>
                <c:pt idx="947">
                  <c:v>-527473.01496389997</c:v>
                </c:pt>
                <c:pt idx="948">
                  <c:v>-410478.49605345423</c:v>
                </c:pt>
                <c:pt idx="949">
                  <c:v>-464280.65436581685</c:v>
                </c:pt>
                <c:pt idx="950">
                  <c:v>-576370.41865384695</c:v>
                </c:pt>
                <c:pt idx="951">
                  <c:v>-362323.66678639501</c:v>
                </c:pt>
                <c:pt idx="952">
                  <c:v>-265169.95128686505</c:v>
                </c:pt>
                <c:pt idx="953">
                  <c:v>-371973.16117467918</c:v>
                </c:pt>
                <c:pt idx="954">
                  <c:v>-659960.13093549898</c:v>
                </c:pt>
                <c:pt idx="955">
                  <c:v>-645360.16976205283</c:v>
                </c:pt>
                <c:pt idx="956">
                  <c:v>-299064.70210738457</c:v>
                </c:pt>
                <c:pt idx="957">
                  <c:v>-403310.77570809657</c:v>
                </c:pt>
                <c:pt idx="958">
                  <c:v>-811681.96901487</c:v>
                </c:pt>
                <c:pt idx="959">
                  <c:v>-522149.08550367411</c:v>
                </c:pt>
                <c:pt idx="960">
                  <c:v>-759706.65558819007</c:v>
                </c:pt>
                <c:pt idx="961">
                  <c:v>-434416.55127852468</c:v>
                </c:pt>
                <c:pt idx="962">
                  <c:v>-276349.73646725202</c:v>
                </c:pt>
                <c:pt idx="963">
                  <c:v>-449587.85371343209</c:v>
                </c:pt>
                <c:pt idx="964">
                  <c:v>-659741.51969462051</c:v>
                </c:pt>
                <c:pt idx="965">
                  <c:v>-364597.11962220515</c:v>
                </c:pt>
                <c:pt idx="966">
                  <c:v>-580504.17193355318</c:v>
                </c:pt>
                <c:pt idx="967">
                  <c:v>-435025.34084764577</c:v>
                </c:pt>
                <c:pt idx="968">
                  <c:v>-505437.31331033842</c:v>
                </c:pt>
                <c:pt idx="969">
                  <c:v>-573612.79479409242</c:v>
                </c:pt>
                <c:pt idx="970">
                  <c:v>-686631.65926089045</c:v>
                </c:pt>
                <c:pt idx="971">
                  <c:v>-373957.03753891238</c:v>
                </c:pt>
                <c:pt idx="972">
                  <c:v>-365590.66444398626</c:v>
                </c:pt>
                <c:pt idx="973">
                  <c:v>-340056.91779852146</c:v>
                </c:pt>
                <c:pt idx="974">
                  <c:v>-583356.80664941831</c:v>
                </c:pt>
                <c:pt idx="975">
                  <c:v>-391233.56051012012</c:v>
                </c:pt>
                <c:pt idx="976">
                  <c:v>-489114.23214794556</c:v>
                </c:pt>
                <c:pt idx="977">
                  <c:v>-333605.88397326344</c:v>
                </c:pt>
                <c:pt idx="978">
                  <c:v>-356759.00240427838</c:v>
                </c:pt>
                <c:pt idx="979">
                  <c:v>-643211.29771265504</c:v>
                </c:pt>
                <c:pt idx="980">
                  <c:v>-411818.13885916024</c:v>
                </c:pt>
                <c:pt idx="981">
                  <c:v>-526954.95145415002</c:v>
                </c:pt>
                <c:pt idx="982">
                  <c:v>-395868.4757242956</c:v>
                </c:pt>
                <c:pt idx="983">
                  <c:v>-368874.75747932424</c:v>
                </c:pt>
                <c:pt idx="984">
                  <c:v>-590280.72468421655</c:v>
                </c:pt>
                <c:pt idx="985">
                  <c:v>-368061.87874270859</c:v>
                </c:pt>
                <c:pt idx="986">
                  <c:v>-565555.06102567399</c:v>
                </c:pt>
                <c:pt idx="987">
                  <c:v>-966481.08358994545</c:v>
                </c:pt>
                <c:pt idx="988">
                  <c:v>-582767.99882223574</c:v>
                </c:pt>
                <c:pt idx="989">
                  <c:v>-510977.12208738783</c:v>
                </c:pt>
                <c:pt idx="990">
                  <c:v>-710989.6456592991</c:v>
                </c:pt>
                <c:pt idx="991">
                  <c:v>-346557.88406954915</c:v>
                </c:pt>
                <c:pt idx="992">
                  <c:v>-337311.22334992862</c:v>
                </c:pt>
                <c:pt idx="993">
                  <c:v>-500145.91798863723</c:v>
                </c:pt>
                <c:pt idx="994">
                  <c:v>-666849.48831131449</c:v>
                </c:pt>
                <c:pt idx="995">
                  <c:v>-482190.28315363708</c:v>
                </c:pt>
                <c:pt idx="996">
                  <c:v>-461191.72646327969</c:v>
                </c:pt>
                <c:pt idx="997">
                  <c:v>-319651.90838158317</c:v>
                </c:pt>
                <c:pt idx="998">
                  <c:v>-443519.83867978235</c:v>
                </c:pt>
                <c:pt idx="999">
                  <c:v>-456159.8705267238</c:v>
                </c:pt>
              </c:numCache>
            </c:numRef>
          </c:yVal>
          <c:smooth val="0"/>
          <c:extLst>
            <c:ext xmlns:c16="http://schemas.microsoft.com/office/drawing/2014/chart" uri="{C3380CC4-5D6E-409C-BE32-E72D297353CC}">
              <c16:uniqueId val="{00000000-045A-0D41-A827-1D32C474C687}"/>
            </c:ext>
          </c:extLst>
        </c:ser>
        <c:dLbls>
          <c:showLegendKey val="0"/>
          <c:showVal val="0"/>
          <c:showCatName val="0"/>
          <c:showSerName val="0"/>
          <c:showPercent val="0"/>
          <c:showBubbleSize val="0"/>
        </c:dLbls>
        <c:axId val="292664000"/>
        <c:axId val="292802192"/>
      </c:scatterChart>
      <c:valAx>
        <c:axId val="292664000"/>
        <c:scaling>
          <c:orientation val="minMax"/>
          <c:max val="3"/>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QALY gain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802192"/>
        <c:crosses val="autoZero"/>
        <c:crossBetween val="midCat"/>
      </c:valAx>
      <c:valAx>
        <c:axId val="292802192"/>
        <c:scaling>
          <c:orientation val="minMax"/>
          <c:max val="1000000"/>
          <c:min val="-1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 costs (THB)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6640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Simulation!$BM$4</c:f>
              <c:strCache>
                <c:ptCount val="1"/>
                <c:pt idx="0">
                  <c:v>Conventional Treatment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Simulation!$BL$7:$BL$62</c:f>
              <c:numCache>
                <c:formatCode>[$THB]\ #,##0.00</c:formatCode>
                <c:ptCount val="56"/>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numCache>
            </c:numRef>
          </c:xVal>
          <c:yVal>
            <c:numRef>
              <c:f>Simulation!$BM$5:$BM$62</c:f>
              <c:numCache>
                <c:formatCode>General</c:formatCode>
                <c:ptCount val="58"/>
                <c:pt idx="2">
                  <c:v>1E-3</c:v>
                </c:pt>
                <c:pt idx="3">
                  <c:v>1E-3</c:v>
                </c:pt>
                <c:pt idx="4">
                  <c:v>1E-3</c:v>
                </c:pt>
                <c:pt idx="5">
                  <c:v>1E-3</c:v>
                </c:pt>
                <c:pt idx="6">
                  <c:v>1E-3</c:v>
                </c:pt>
                <c:pt idx="7">
                  <c:v>1E-3</c:v>
                </c:pt>
                <c:pt idx="8">
                  <c:v>1E-3</c:v>
                </c:pt>
                <c:pt idx="9">
                  <c:v>1E-3</c:v>
                </c:pt>
                <c:pt idx="10">
                  <c:v>1E-3</c:v>
                </c:pt>
                <c:pt idx="11">
                  <c:v>1E-3</c:v>
                </c:pt>
                <c:pt idx="12">
                  <c:v>1E-3</c:v>
                </c:pt>
                <c:pt idx="13">
                  <c:v>1E-3</c:v>
                </c:pt>
                <c:pt idx="14">
                  <c:v>1E-3</c:v>
                </c:pt>
                <c:pt idx="15">
                  <c:v>1E-3</c:v>
                </c:pt>
                <c:pt idx="16">
                  <c:v>1E-3</c:v>
                </c:pt>
                <c:pt idx="17">
                  <c:v>1E-3</c:v>
                </c:pt>
                <c:pt idx="18">
                  <c:v>1E-3</c:v>
                </c:pt>
                <c:pt idx="19">
                  <c:v>1E-3</c:v>
                </c:pt>
                <c:pt idx="20">
                  <c:v>1E-3</c:v>
                </c:pt>
                <c:pt idx="21">
                  <c:v>1E-3</c:v>
                </c:pt>
                <c:pt idx="22">
                  <c:v>1E-3</c:v>
                </c:pt>
                <c:pt idx="23">
                  <c:v>1E-3</c:v>
                </c:pt>
                <c:pt idx="24">
                  <c:v>1E-3</c:v>
                </c:pt>
                <c:pt idx="25">
                  <c:v>1E-3</c:v>
                </c:pt>
                <c:pt idx="26">
                  <c:v>1E-3</c:v>
                </c:pt>
                <c:pt idx="27">
                  <c:v>1E-3</c:v>
                </c:pt>
                <c:pt idx="28">
                  <c:v>1E-3</c:v>
                </c:pt>
                <c:pt idx="29">
                  <c:v>1E-3</c:v>
                </c:pt>
                <c:pt idx="30">
                  <c:v>1E-3</c:v>
                </c:pt>
                <c:pt idx="31">
                  <c:v>1E-3</c:v>
                </c:pt>
                <c:pt idx="32">
                  <c:v>1E-3</c:v>
                </c:pt>
                <c:pt idx="33">
                  <c:v>1E-3</c:v>
                </c:pt>
                <c:pt idx="34">
                  <c:v>1E-3</c:v>
                </c:pt>
                <c:pt idx="35">
                  <c:v>1E-3</c:v>
                </c:pt>
                <c:pt idx="36">
                  <c:v>1E-3</c:v>
                </c:pt>
                <c:pt idx="37">
                  <c:v>1E-3</c:v>
                </c:pt>
                <c:pt idx="38">
                  <c:v>1E-3</c:v>
                </c:pt>
                <c:pt idx="39">
                  <c:v>1E-3</c:v>
                </c:pt>
                <c:pt idx="40">
                  <c:v>1E-3</c:v>
                </c:pt>
                <c:pt idx="41">
                  <c:v>1E-3</c:v>
                </c:pt>
                <c:pt idx="42">
                  <c:v>1E-3</c:v>
                </c:pt>
                <c:pt idx="43">
                  <c:v>1E-3</c:v>
                </c:pt>
                <c:pt idx="44">
                  <c:v>1E-3</c:v>
                </c:pt>
                <c:pt idx="45">
                  <c:v>1E-3</c:v>
                </c:pt>
                <c:pt idx="46">
                  <c:v>1E-3</c:v>
                </c:pt>
                <c:pt idx="47">
                  <c:v>1E-3</c:v>
                </c:pt>
                <c:pt idx="48">
                  <c:v>1E-3</c:v>
                </c:pt>
                <c:pt idx="49">
                  <c:v>1E-3</c:v>
                </c:pt>
                <c:pt idx="50">
                  <c:v>0</c:v>
                </c:pt>
                <c:pt idx="51">
                  <c:v>0</c:v>
                </c:pt>
                <c:pt idx="52">
                  <c:v>0</c:v>
                </c:pt>
                <c:pt idx="53">
                  <c:v>0</c:v>
                </c:pt>
                <c:pt idx="54">
                  <c:v>0</c:v>
                </c:pt>
                <c:pt idx="55">
                  <c:v>0</c:v>
                </c:pt>
                <c:pt idx="56">
                  <c:v>0</c:v>
                </c:pt>
                <c:pt idx="57">
                  <c:v>0</c:v>
                </c:pt>
              </c:numCache>
            </c:numRef>
          </c:yVal>
          <c:smooth val="1"/>
          <c:extLst>
            <c:ext xmlns:c16="http://schemas.microsoft.com/office/drawing/2014/chart" uri="{C3380CC4-5D6E-409C-BE32-E72D297353CC}">
              <c16:uniqueId val="{00000000-2025-AE48-8D99-37C43E250014}"/>
            </c:ext>
          </c:extLst>
        </c:ser>
        <c:ser>
          <c:idx val="1"/>
          <c:order val="1"/>
          <c:tx>
            <c:strRef>
              <c:f>Simulation!$BN$4</c:f>
              <c:strCache>
                <c:ptCount val="1"/>
                <c:pt idx="0">
                  <c:v>MDCT treatment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Simulation!$BL$7:$BL$62</c:f>
              <c:numCache>
                <c:formatCode>[$THB]\ #,##0.00</c:formatCode>
                <c:ptCount val="56"/>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numCache>
            </c:numRef>
          </c:xVal>
          <c:yVal>
            <c:numRef>
              <c:f>Simulation!$BN$5:$BN$62</c:f>
              <c:numCache>
                <c:formatCode>General</c:formatCode>
                <c:ptCount val="58"/>
                <c:pt idx="2">
                  <c:v>0.999</c:v>
                </c:pt>
                <c:pt idx="3">
                  <c:v>0.999</c:v>
                </c:pt>
                <c:pt idx="4">
                  <c:v>0.999</c:v>
                </c:pt>
                <c:pt idx="5">
                  <c:v>0.999</c:v>
                </c:pt>
                <c:pt idx="6">
                  <c:v>0.999</c:v>
                </c:pt>
                <c:pt idx="7">
                  <c:v>0.999</c:v>
                </c:pt>
                <c:pt idx="8">
                  <c:v>0.999</c:v>
                </c:pt>
                <c:pt idx="9">
                  <c:v>0.999</c:v>
                </c:pt>
                <c:pt idx="10">
                  <c:v>0.999</c:v>
                </c:pt>
                <c:pt idx="11">
                  <c:v>0.999</c:v>
                </c:pt>
                <c:pt idx="12">
                  <c:v>0.999</c:v>
                </c:pt>
                <c:pt idx="13">
                  <c:v>0.999</c:v>
                </c:pt>
                <c:pt idx="14">
                  <c:v>0.999</c:v>
                </c:pt>
                <c:pt idx="15">
                  <c:v>0.999</c:v>
                </c:pt>
                <c:pt idx="16">
                  <c:v>0.999</c:v>
                </c:pt>
                <c:pt idx="17">
                  <c:v>0.999</c:v>
                </c:pt>
                <c:pt idx="18">
                  <c:v>0.999</c:v>
                </c:pt>
                <c:pt idx="19">
                  <c:v>0.999</c:v>
                </c:pt>
                <c:pt idx="20">
                  <c:v>0.999</c:v>
                </c:pt>
                <c:pt idx="21">
                  <c:v>0.999</c:v>
                </c:pt>
                <c:pt idx="22">
                  <c:v>0.999</c:v>
                </c:pt>
                <c:pt idx="23">
                  <c:v>0.999</c:v>
                </c:pt>
                <c:pt idx="24">
                  <c:v>0.999</c:v>
                </c:pt>
                <c:pt idx="25">
                  <c:v>0.999</c:v>
                </c:pt>
                <c:pt idx="26">
                  <c:v>0.999</c:v>
                </c:pt>
                <c:pt idx="27">
                  <c:v>0.999</c:v>
                </c:pt>
                <c:pt idx="28">
                  <c:v>0.999</c:v>
                </c:pt>
                <c:pt idx="29">
                  <c:v>0.999</c:v>
                </c:pt>
                <c:pt idx="30">
                  <c:v>0.999</c:v>
                </c:pt>
                <c:pt idx="31">
                  <c:v>0.999</c:v>
                </c:pt>
                <c:pt idx="32">
                  <c:v>0.999</c:v>
                </c:pt>
                <c:pt idx="33">
                  <c:v>0.999</c:v>
                </c:pt>
                <c:pt idx="34">
                  <c:v>0.999</c:v>
                </c:pt>
                <c:pt idx="35">
                  <c:v>0.999</c:v>
                </c:pt>
                <c:pt idx="36">
                  <c:v>0.999</c:v>
                </c:pt>
                <c:pt idx="37">
                  <c:v>0.999</c:v>
                </c:pt>
                <c:pt idx="38">
                  <c:v>0.999</c:v>
                </c:pt>
                <c:pt idx="39">
                  <c:v>0.999</c:v>
                </c:pt>
                <c:pt idx="40">
                  <c:v>0.999</c:v>
                </c:pt>
                <c:pt idx="41">
                  <c:v>0.999</c:v>
                </c:pt>
                <c:pt idx="42">
                  <c:v>0.999</c:v>
                </c:pt>
                <c:pt idx="43">
                  <c:v>0.999</c:v>
                </c:pt>
                <c:pt idx="44">
                  <c:v>0.999</c:v>
                </c:pt>
                <c:pt idx="45">
                  <c:v>0.999</c:v>
                </c:pt>
                <c:pt idx="46">
                  <c:v>0.999</c:v>
                </c:pt>
                <c:pt idx="47">
                  <c:v>0.999</c:v>
                </c:pt>
                <c:pt idx="48">
                  <c:v>0.999</c:v>
                </c:pt>
                <c:pt idx="49">
                  <c:v>0.999</c:v>
                </c:pt>
                <c:pt idx="50">
                  <c:v>1</c:v>
                </c:pt>
                <c:pt idx="51">
                  <c:v>1</c:v>
                </c:pt>
                <c:pt idx="52">
                  <c:v>1</c:v>
                </c:pt>
                <c:pt idx="53">
                  <c:v>1</c:v>
                </c:pt>
                <c:pt idx="54">
                  <c:v>1</c:v>
                </c:pt>
                <c:pt idx="55">
                  <c:v>1</c:v>
                </c:pt>
                <c:pt idx="56">
                  <c:v>1</c:v>
                </c:pt>
                <c:pt idx="57">
                  <c:v>1</c:v>
                </c:pt>
              </c:numCache>
            </c:numRef>
          </c:yVal>
          <c:smooth val="1"/>
          <c:extLst>
            <c:ext xmlns:c16="http://schemas.microsoft.com/office/drawing/2014/chart" uri="{C3380CC4-5D6E-409C-BE32-E72D297353CC}">
              <c16:uniqueId val="{00000001-2025-AE48-8D99-37C43E250014}"/>
            </c:ext>
          </c:extLst>
        </c:ser>
        <c:dLbls>
          <c:showLegendKey val="0"/>
          <c:showVal val="0"/>
          <c:showCatName val="0"/>
          <c:showSerName val="0"/>
          <c:showPercent val="0"/>
          <c:showBubbleSize val="0"/>
        </c:dLbls>
        <c:axId val="852250368"/>
        <c:axId val="1027433264"/>
      </c:scatterChart>
      <c:valAx>
        <c:axId val="8522503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Threshold (THB)</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433264"/>
        <c:crosses val="autoZero"/>
        <c:crossBetween val="midCat"/>
      </c:valAx>
      <c:valAx>
        <c:axId val="102743326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Probability of being the more cost-effective treatment</a:t>
                </a:r>
                <a:r>
                  <a:rPr lang="en-GB" baseline="0"/>
                  <a:t> option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25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tx>
            <c:strRef>
              <c:f>Simulation!$BN$4</c:f>
              <c:strCache>
                <c:ptCount val="1"/>
                <c:pt idx="0">
                  <c:v>MDCT treatment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Simulation!$BL$7:$BL$67</c:f>
              <c:numCache>
                <c:formatCode>[$THB]\ #,##0.00</c:formatCode>
                <c:ptCount val="6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150000</c:v>
                </c:pt>
                <c:pt idx="60">
                  <c:v>200000</c:v>
                </c:pt>
              </c:numCache>
            </c:numRef>
          </c:xVal>
          <c:yVal>
            <c:numRef>
              <c:f>Simulation!$BN$7:$BN$67</c:f>
              <c:numCache>
                <c:formatCode>General</c:formatCode>
                <c:ptCount val="61"/>
                <c:pt idx="0">
                  <c:v>0.999</c:v>
                </c:pt>
                <c:pt idx="1">
                  <c:v>0.999</c:v>
                </c:pt>
                <c:pt idx="2">
                  <c:v>0.999</c:v>
                </c:pt>
                <c:pt idx="3">
                  <c:v>0.999</c:v>
                </c:pt>
                <c:pt idx="4">
                  <c:v>0.999</c:v>
                </c:pt>
                <c:pt idx="5">
                  <c:v>0.999</c:v>
                </c:pt>
                <c:pt idx="6">
                  <c:v>0.999</c:v>
                </c:pt>
                <c:pt idx="7">
                  <c:v>0.999</c:v>
                </c:pt>
                <c:pt idx="8">
                  <c:v>0.999</c:v>
                </c:pt>
                <c:pt idx="9">
                  <c:v>0.999</c:v>
                </c:pt>
                <c:pt idx="10">
                  <c:v>0.999</c:v>
                </c:pt>
                <c:pt idx="11">
                  <c:v>0.999</c:v>
                </c:pt>
                <c:pt idx="12">
                  <c:v>0.999</c:v>
                </c:pt>
                <c:pt idx="13">
                  <c:v>0.999</c:v>
                </c:pt>
                <c:pt idx="14">
                  <c:v>0.999</c:v>
                </c:pt>
                <c:pt idx="15">
                  <c:v>0.999</c:v>
                </c:pt>
                <c:pt idx="16">
                  <c:v>0.999</c:v>
                </c:pt>
                <c:pt idx="17">
                  <c:v>0.999</c:v>
                </c:pt>
                <c:pt idx="18">
                  <c:v>0.999</c:v>
                </c:pt>
                <c:pt idx="19">
                  <c:v>0.999</c:v>
                </c:pt>
                <c:pt idx="20">
                  <c:v>0.999</c:v>
                </c:pt>
                <c:pt idx="21">
                  <c:v>0.999</c:v>
                </c:pt>
                <c:pt idx="22">
                  <c:v>0.999</c:v>
                </c:pt>
                <c:pt idx="23">
                  <c:v>0.999</c:v>
                </c:pt>
                <c:pt idx="24">
                  <c:v>0.999</c:v>
                </c:pt>
                <c:pt idx="25">
                  <c:v>0.999</c:v>
                </c:pt>
                <c:pt idx="26">
                  <c:v>0.999</c:v>
                </c:pt>
                <c:pt idx="27">
                  <c:v>0.999</c:v>
                </c:pt>
                <c:pt idx="28">
                  <c:v>0.999</c:v>
                </c:pt>
                <c:pt idx="29">
                  <c:v>0.999</c:v>
                </c:pt>
                <c:pt idx="30">
                  <c:v>0.999</c:v>
                </c:pt>
                <c:pt idx="31">
                  <c:v>0.999</c:v>
                </c:pt>
                <c:pt idx="32">
                  <c:v>0.999</c:v>
                </c:pt>
                <c:pt idx="33">
                  <c:v>0.999</c:v>
                </c:pt>
                <c:pt idx="34">
                  <c:v>0.999</c:v>
                </c:pt>
                <c:pt idx="35">
                  <c:v>0.999</c:v>
                </c:pt>
                <c:pt idx="36">
                  <c:v>0.999</c:v>
                </c:pt>
                <c:pt idx="37">
                  <c:v>0.999</c:v>
                </c:pt>
                <c:pt idx="38">
                  <c:v>0.999</c:v>
                </c:pt>
                <c:pt idx="39">
                  <c:v>0.999</c:v>
                </c:pt>
                <c:pt idx="40">
                  <c:v>0.999</c:v>
                </c:pt>
                <c:pt idx="41">
                  <c:v>0.999</c:v>
                </c:pt>
                <c:pt idx="42">
                  <c:v>0.999</c:v>
                </c:pt>
                <c:pt idx="43">
                  <c:v>0.999</c:v>
                </c:pt>
                <c:pt idx="44">
                  <c:v>0.999</c:v>
                </c:pt>
                <c:pt idx="45">
                  <c:v>0.999</c:v>
                </c:pt>
                <c:pt idx="46">
                  <c:v>0.999</c:v>
                </c:pt>
                <c:pt idx="47">
                  <c:v>0.999</c:v>
                </c:pt>
                <c:pt idx="48">
                  <c:v>1</c:v>
                </c:pt>
                <c:pt idx="49">
                  <c:v>1</c:v>
                </c:pt>
                <c:pt idx="50">
                  <c:v>1</c:v>
                </c:pt>
                <c:pt idx="51">
                  <c:v>1</c:v>
                </c:pt>
                <c:pt idx="52">
                  <c:v>1</c:v>
                </c:pt>
                <c:pt idx="53">
                  <c:v>1</c:v>
                </c:pt>
                <c:pt idx="54">
                  <c:v>1</c:v>
                </c:pt>
                <c:pt idx="55">
                  <c:v>1</c:v>
                </c:pt>
                <c:pt idx="56">
                  <c:v>1</c:v>
                </c:pt>
                <c:pt idx="57">
                  <c:v>1</c:v>
                </c:pt>
                <c:pt idx="58">
                  <c:v>1</c:v>
                </c:pt>
                <c:pt idx="59">
                  <c:v>1</c:v>
                </c:pt>
                <c:pt idx="60">
                  <c:v>1</c:v>
                </c:pt>
              </c:numCache>
            </c:numRef>
          </c:yVal>
          <c:smooth val="1"/>
          <c:extLst>
            <c:ext xmlns:c16="http://schemas.microsoft.com/office/drawing/2014/chart" uri="{C3380CC4-5D6E-409C-BE32-E72D297353CC}">
              <c16:uniqueId val="{00000001-D907-DC4F-8D9B-82C1FA3B486D}"/>
            </c:ext>
          </c:extLst>
        </c:ser>
        <c:ser>
          <c:idx val="0"/>
          <c:order val="1"/>
          <c:tx>
            <c:v>Conventional treatment</c:v>
          </c:tx>
          <c:spPr>
            <a:ln w="28575" cap="rnd">
              <a:solidFill>
                <a:schemeClr val="accent1"/>
              </a:solidFill>
              <a:round/>
            </a:ln>
            <a:effectLst/>
          </c:spPr>
          <c:marker>
            <c:symbol val="circle"/>
            <c:size val="5"/>
            <c:spPr>
              <a:solidFill>
                <a:schemeClr val="accent1"/>
              </a:solidFill>
              <a:ln w="9525">
                <a:solidFill>
                  <a:schemeClr val="accent1"/>
                </a:solidFill>
              </a:ln>
              <a:effectLst/>
            </c:spPr>
          </c:marker>
          <c:yVal>
            <c:numRef>
              <c:f>Simulation!$BM$7:$BM$67</c:f>
              <c:numCache>
                <c:formatCode>General</c:formatCode>
                <c:ptCount val="61"/>
                <c:pt idx="0">
                  <c:v>1E-3</c:v>
                </c:pt>
                <c:pt idx="1">
                  <c:v>1E-3</c:v>
                </c:pt>
                <c:pt idx="2">
                  <c:v>1E-3</c:v>
                </c:pt>
                <c:pt idx="3">
                  <c:v>1E-3</c:v>
                </c:pt>
                <c:pt idx="4">
                  <c:v>1E-3</c:v>
                </c:pt>
                <c:pt idx="5">
                  <c:v>1E-3</c:v>
                </c:pt>
                <c:pt idx="6">
                  <c:v>1E-3</c:v>
                </c:pt>
                <c:pt idx="7">
                  <c:v>1E-3</c:v>
                </c:pt>
                <c:pt idx="8">
                  <c:v>1E-3</c:v>
                </c:pt>
                <c:pt idx="9">
                  <c:v>1E-3</c:v>
                </c:pt>
                <c:pt idx="10">
                  <c:v>1E-3</c:v>
                </c:pt>
                <c:pt idx="11">
                  <c:v>1E-3</c:v>
                </c:pt>
                <c:pt idx="12">
                  <c:v>1E-3</c:v>
                </c:pt>
                <c:pt idx="13">
                  <c:v>1E-3</c:v>
                </c:pt>
                <c:pt idx="14">
                  <c:v>1E-3</c:v>
                </c:pt>
                <c:pt idx="15">
                  <c:v>1E-3</c:v>
                </c:pt>
                <c:pt idx="16">
                  <c:v>1E-3</c:v>
                </c:pt>
                <c:pt idx="17">
                  <c:v>1E-3</c:v>
                </c:pt>
                <c:pt idx="18">
                  <c:v>1E-3</c:v>
                </c:pt>
                <c:pt idx="19">
                  <c:v>1E-3</c:v>
                </c:pt>
                <c:pt idx="20">
                  <c:v>1E-3</c:v>
                </c:pt>
                <c:pt idx="21">
                  <c:v>1E-3</c:v>
                </c:pt>
                <c:pt idx="22">
                  <c:v>1E-3</c:v>
                </c:pt>
                <c:pt idx="23">
                  <c:v>1E-3</c:v>
                </c:pt>
                <c:pt idx="24">
                  <c:v>1E-3</c:v>
                </c:pt>
                <c:pt idx="25">
                  <c:v>1E-3</c:v>
                </c:pt>
                <c:pt idx="26">
                  <c:v>1E-3</c:v>
                </c:pt>
                <c:pt idx="27">
                  <c:v>1E-3</c:v>
                </c:pt>
                <c:pt idx="28">
                  <c:v>1E-3</c:v>
                </c:pt>
                <c:pt idx="29">
                  <c:v>1E-3</c:v>
                </c:pt>
                <c:pt idx="30">
                  <c:v>1E-3</c:v>
                </c:pt>
                <c:pt idx="31">
                  <c:v>1E-3</c:v>
                </c:pt>
                <c:pt idx="32">
                  <c:v>1E-3</c:v>
                </c:pt>
                <c:pt idx="33">
                  <c:v>1E-3</c:v>
                </c:pt>
                <c:pt idx="34">
                  <c:v>1E-3</c:v>
                </c:pt>
                <c:pt idx="35">
                  <c:v>1E-3</c:v>
                </c:pt>
                <c:pt idx="36">
                  <c:v>1E-3</c:v>
                </c:pt>
                <c:pt idx="37">
                  <c:v>1E-3</c:v>
                </c:pt>
                <c:pt idx="38">
                  <c:v>1E-3</c:v>
                </c:pt>
                <c:pt idx="39">
                  <c:v>1E-3</c:v>
                </c:pt>
                <c:pt idx="40">
                  <c:v>1E-3</c:v>
                </c:pt>
                <c:pt idx="41">
                  <c:v>1E-3</c:v>
                </c:pt>
                <c:pt idx="42">
                  <c:v>1E-3</c:v>
                </c:pt>
                <c:pt idx="43">
                  <c:v>1E-3</c:v>
                </c:pt>
                <c:pt idx="44">
                  <c:v>1E-3</c:v>
                </c:pt>
                <c:pt idx="45">
                  <c:v>1E-3</c:v>
                </c:pt>
                <c:pt idx="46">
                  <c:v>1E-3</c:v>
                </c:pt>
                <c:pt idx="47">
                  <c:v>1E-3</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00-37D8-3743-9D30-1CA6F3871E45}"/>
            </c:ext>
          </c:extLst>
        </c:ser>
        <c:dLbls>
          <c:showLegendKey val="0"/>
          <c:showVal val="0"/>
          <c:showCatName val="0"/>
          <c:showSerName val="0"/>
          <c:showPercent val="0"/>
          <c:showBubbleSize val="0"/>
        </c:dLbls>
        <c:axId val="852250368"/>
        <c:axId val="1027433264"/>
      </c:scatterChart>
      <c:valAx>
        <c:axId val="852250368"/>
        <c:scaling>
          <c:orientation val="minMax"/>
          <c:max val="2000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Threshold (THB)</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433264"/>
        <c:crosses val="autoZero"/>
        <c:crossBetween val="midCat"/>
      </c:valAx>
      <c:valAx>
        <c:axId val="1027433264"/>
        <c:scaling>
          <c:orientation val="minMax"/>
          <c:max val="1"/>
          <c:min val="0.999"/>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Probability of being the more cost-effective treatment</a:t>
                </a:r>
                <a:r>
                  <a:rPr lang="en-GB" baseline="0"/>
                  <a:t> option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250368"/>
        <c:crosses val="autoZero"/>
        <c:crossBetween val="midCat"/>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cat>
            <c:numRef>
              <c:f>Simulation!$BU$7:$BU$67</c:f>
              <c:numCache>
                <c:formatCode>[$THB]\ #,##0.00</c:formatCode>
                <c:ptCount val="6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150000</c:v>
                </c:pt>
                <c:pt idx="60">
                  <c:v>200000</c:v>
                </c:pt>
              </c:numCache>
            </c:numRef>
          </c:cat>
          <c:val>
            <c:numRef>
              <c:f>Simulation!$BV$7:$BV$67</c:f>
              <c:numCache>
                <c:formatCode>[$THB]\ #,##0.00</c:formatCode>
                <c:ptCount val="61"/>
                <c:pt idx="0">
                  <c:v>8009012.953584441</c:v>
                </c:pt>
                <c:pt idx="1">
                  <c:v>7841864.5334307719</c:v>
                </c:pt>
                <c:pt idx="2">
                  <c:v>7674716.1133100512</c:v>
                </c:pt>
                <c:pt idx="3">
                  <c:v>7507567.6931673642</c:v>
                </c:pt>
                <c:pt idx="4">
                  <c:v>7340419.2730356604</c:v>
                </c:pt>
                <c:pt idx="5">
                  <c:v>7173270.8529039565</c:v>
                </c:pt>
                <c:pt idx="6">
                  <c:v>7006122.4327612706</c:v>
                </c:pt>
                <c:pt idx="7">
                  <c:v>6838974.0126295667</c:v>
                </c:pt>
                <c:pt idx="8">
                  <c:v>6671825.5924758976</c:v>
                </c:pt>
                <c:pt idx="9">
                  <c:v>6504677.1723441938</c:v>
                </c:pt>
                <c:pt idx="10">
                  <c:v>6337528.75221249</c:v>
                </c:pt>
                <c:pt idx="11">
                  <c:v>6170380.3320807861</c:v>
                </c:pt>
                <c:pt idx="12">
                  <c:v>6003231.9119380992</c:v>
                </c:pt>
                <c:pt idx="13">
                  <c:v>5836083.4918009043</c:v>
                </c:pt>
                <c:pt idx="14">
                  <c:v>5668935.0716692004</c:v>
                </c:pt>
                <c:pt idx="15">
                  <c:v>5501786.6515210224</c:v>
                </c:pt>
                <c:pt idx="16">
                  <c:v>5334638.2313948106</c:v>
                </c:pt>
                <c:pt idx="17">
                  <c:v>5167489.8112576157</c:v>
                </c:pt>
                <c:pt idx="18">
                  <c:v>5000341.3911094377</c:v>
                </c:pt>
                <c:pt idx="19">
                  <c:v>4833192.9709777338</c:v>
                </c:pt>
                <c:pt idx="20">
                  <c:v>4666044.55084603</c:v>
                </c:pt>
                <c:pt idx="21">
                  <c:v>4498896.1307143262</c:v>
                </c:pt>
                <c:pt idx="22">
                  <c:v>4331747.7105716402</c:v>
                </c:pt>
                <c:pt idx="23">
                  <c:v>4164599.2904289532</c:v>
                </c:pt>
                <c:pt idx="24">
                  <c:v>3997450.870302741</c:v>
                </c:pt>
                <c:pt idx="25">
                  <c:v>3830302.4501600545</c:v>
                </c:pt>
                <c:pt idx="26">
                  <c:v>3663154.0300283511</c:v>
                </c:pt>
                <c:pt idx="27">
                  <c:v>3496005.6098911557</c:v>
                </c:pt>
                <c:pt idx="28">
                  <c:v>3328857.1897539608</c:v>
                </c:pt>
                <c:pt idx="29">
                  <c:v>3161708.769622257</c:v>
                </c:pt>
                <c:pt idx="30">
                  <c:v>2994560.3494823161</c:v>
                </c:pt>
                <c:pt idx="31">
                  <c:v>2827411.9293368841</c:v>
                </c:pt>
                <c:pt idx="32">
                  <c:v>2660263.5092079258</c:v>
                </c:pt>
                <c:pt idx="33">
                  <c:v>2493115.0890707308</c:v>
                </c:pt>
                <c:pt idx="34">
                  <c:v>2325966.6689335359</c:v>
                </c:pt>
                <c:pt idx="35">
                  <c:v>2158818.2487963405</c:v>
                </c:pt>
                <c:pt idx="36">
                  <c:v>1991669.8286591456</c:v>
                </c:pt>
                <c:pt idx="37">
                  <c:v>1824521.4085219505</c:v>
                </c:pt>
                <c:pt idx="38">
                  <c:v>1657372.9883875011</c:v>
                </c:pt>
                <c:pt idx="39">
                  <c:v>1490224.568250306</c:v>
                </c:pt>
                <c:pt idx="40">
                  <c:v>1323076.1481144836</c:v>
                </c:pt>
                <c:pt idx="41">
                  <c:v>1155927.7279772887</c:v>
                </c:pt>
                <c:pt idx="42">
                  <c:v>988779.30784283916</c:v>
                </c:pt>
                <c:pt idx="43">
                  <c:v>821630.88770495763</c:v>
                </c:pt>
                <c:pt idx="44">
                  <c:v>654482.46756776248</c:v>
                </c:pt>
                <c:pt idx="45">
                  <c:v>487334.04743262666</c:v>
                </c:pt>
                <c:pt idx="46">
                  <c:v>320185.62729543156</c:v>
                </c:pt>
                <c:pt idx="47">
                  <c:v>153037.20715909448</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smooth val="0"/>
          <c:extLst>
            <c:ext xmlns:c16="http://schemas.microsoft.com/office/drawing/2014/chart" uri="{C3380CC4-5D6E-409C-BE32-E72D297353CC}">
              <c16:uniqueId val="{00000000-D10A-AB41-BCA5-E257E0CE8BE0}"/>
            </c:ext>
          </c:extLst>
        </c:ser>
        <c:dLbls>
          <c:showLegendKey val="0"/>
          <c:showVal val="0"/>
          <c:showCatName val="0"/>
          <c:showSerName val="0"/>
          <c:showPercent val="0"/>
          <c:showBubbleSize val="0"/>
        </c:dLbls>
        <c:marker val="1"/>
        <c:smooth val="0"/>
        <c:axId val="1110928383"/>
        <c:axId val="1111383983"/>
      </c:lineChart>
      <c:catAx>
        <c:axId val="111092838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Threshold</a:t>
                </a:r>
                <a:r>
                  <a:rPr lang="en-GB" baseline="0"/>
                  <a:t> (THB)</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1383983"/>
        <c:crosses val="autoZero"/>
        <c:auto val="1"/>
        <c:lblAlgn val="ctr"/>
        <c:lblOffset val="100"/>
        <c:noMultiLvlLbl val="1"/>
      </c:catAx>
      <c:valAx>
        <c:axId val="1111383983"/>
        <c:scaling>
          <c:orientation val="minMax"/>
          <c:max val="1000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Expected Value of Perfect Information (EPVI)</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92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strRef>
              <c:f>Simulation!$CB$7:$CB$52</c:f>
              <c:strCache>
                <c:ptCount val="46"/>
                <c:pt idx="0">
                  <c:v>p3a/3a</c:v>
                </c:pt>
                <c:pt idx="1">
                  <c:v>p3a/3b</c:v>
                </c:pt>
                <c:pt idx="2">
                  <c:v>p3a/Death</c:v>
                </c:pt>
                <c:pt idx="3">
                  <c:v>p3b/3b</c:v>
                </c:pt>
                <c:pt idx="4">
                  <c:v>p3b/4</c:v>
                </c:pt>
                <c:pt idx="5">
                  <c:v>p3b/Death</c:v>
                </c:pt>
                <c:pt idx="6">
                  <c:v>p4/4</c:v>
                </c:pt>
                <c:pt idx="7">
                  <c:v>p4/5</c:v>
                </c:pt>
                <c:pt idx="8">
                  <c:v>p4/Death</c:v>
                </c:pt>
                <c:pt idx="9">
                  <c:v>p5/5</c:v>
                </c:pt>
                <c:pt idx="10">
                  <c:v>p5/Dialysis</c:v>
                </c:pt>
                <c:pt idx="11">
                  <c:v>p5/Death</c:v>
                </c:pt>
                <c:pt idx="12">
                  <c:v>pDialysis/Dialysis</c:v>
                </c:pt>
                <c:pt idx="13">
                  <c:v>pDialysis/Death</c:v>
                </c:pt>
                <c:pt idx="15">
                  <c:v>RR3a</c:v>
                </c:pt>
                <c:pt idx="16">
                  <c:v>RR3b</c:v>
                </c:pt>
                <c:pt idx="17">
                  <c:v>RR4</c:v>
                </c:pt>
                <c:pt idx="18">
                  <c:v>RR5</c:v>
                </c:pt>
                <c:pt idx="20">
                  <c:v>cM3a</c:v>
                </c:pt>
                <c:pt idx="21">
                  <c:v>cM3b</c:v>
                </c:pt>
                <c:pt idx="22">
                  <c:v>cM4</c:v>
                </c:pt>
                <c:pt idx="23">
                  <c:v>cM5</c:v>
                </c:pt>
                <c:pt idx="24">
                  <c:v>cMDialysis0</c:v>
                </c:pt>
                <c:pt idx="25">
                  <c:v>cMDialysis1</c:v>
                </c:pt>
                <c:pt idx="27">
                  <c:v>cNM3a</c:v>
                </c:pt>
                <c:pt idx="28">
                  <c:v>cNM3b</c:v>
                </c:pt>
                <c:pt idx="29">
                  <c:v>cNM4</c:v>
                </c:pt>
                <c:pt idx="30">
                  <c:v>cNM5</c:v>
                </c:pt>
                <c:pt idx="31">
                  <c:v>cNMDialysis</c:v>
                </c:pt>
                <c:pt idx="33">
                  <c:v>cMDCT</c:v>
                </c:pt>
                <c:pt idx="35">
                  <c:v>u3aCT</c:v>
                </c:pt>
                <c:pt idx="36">
                  <c:v>u3bCT</c:v>
                </c:pt>
                <c:pt idx="37">
                  <c:v>u4CT</c:v>
                </c:pt>
                <c:pt idx="38">
                  <c:v>u5CT</c:v>
                </c:pt>
                <c:pt idx="39">
                  <c:v>uDialysisCT</c:v>
                </c:pt>
                <c:pt idx="41">
                  <c:v>u3aMDCT</c:v>
                </c:pt>
                <c:pt idx="42">
                  <c:v>u3bMDCT</c:v>
                </c:pt>
                <c:pt idx="43">
                  <c:v>u4MDCT</c:v>
                </c:pt>
                <c:pt idx="44">
                  <c:v>u5MDCT</c:v>
                </c:pt>
                <c:pt idx="45">
                  <c:v>uDialysisMDCT</c:v>
                </c:pt>
              </c:strCache>
            </c:strRef>
          </c:cat>
          <c:val>
            <c:numRef>
              <c:f>Simulation!$CC$7:$CC$52</c:f>
              <c:numCache>
                <c:formatCode>[$THB]\ #,##0.00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5">
                  <c:v>0</c:v>
                </c:pt>
                <c:pt idx="16">
                  <c:v>0</c:v>
                </c:pt>
                <c:pt idx="17">
                  <c:v>0</c:v>
                </c:pt>
                <c:pt idx="18">
                  <c:v>0</c:v>
                </c:pt>
                <c:pt idx="20">
                  <c:v>0</c:v>
                </c:pt>
                <c:pt idx="21">
                  <c:v>0</c:v>
                </c:pt>
                <c:pt idx="22">
                  <c:v>0</c:v>
                </c:pt>
                <c:pt idx="23">
                  <c:v>0</c:v>
                </c:pt>
                <c:pt idx="24">
                  <c:v>0</c:v>
                </c:pt>
                <c:pt idx="25">
                  <c:v>0</c:v>
                </c:pt>
                <c:pt idx="27">
                  <c:v>0</c:v>
                </c:pt>
                <c:pt idx="28">
                  <c:v>0</c:v>
                </c:pt>
                <c:pt idx="29">
                  <c:v>0</c:v>
                </c:pt>
                <c:pt idx="30">
                  <c:v>0</c:v>
                </c:pt>
                <c:pt idx="31">
                  <c:v>0</c:v>
                </c:pt>
                <c:pt idx="33">
                  <c:v>0</c:v>
                </c:pt>
                <c:pt idx="35">
                  <c:v>0</c:v>
                </c:pt>
                <c:pt idx="36">
                  <c:v>0</c:v>
                </c:pt>
                <c:pt idx="37">
                  <c:v>0</c:v>
                </c:pt>
                <c:pt idx="38">
                  <c:v>0</c:v>
                </c:pt>
                <c:pt idx="39">
                  <c:v>0</c:v>
                </c:pt>
                <c:pt idx="41">
                  <c:v>0</c:v>
                </c:pt>
                <c:pt idx="42">
                  <c:v>0</c:v>
                </c:pt>
                <c:pt idx="43">
                  <c:v>0</c:v>
                </c:pt>
                <c:pt idx="44">
                  <c:v>0</c:v>
                </c:pt>
                <c:pt idx="45">
                  <c:v>0</c:v>
                </c:pt>
              </c:numCache>
            </c:numRef>
          </c:val>
          <c:extLst>
            <c:ext xmlns:c16="http://schemas.microsoft.com/office/drawing/2014/chart" uri="{C3380CC4-5D6E-409C-BE32-E72D297353CC}">
              <c16:uniqueId val="{00000000-398D-624A-84BC-1F6DB67010F9}"/>
            </c:ext>
          </c:extLst>
        </c:ser>
        <c:dLbls>
          <c:showLegendKey val="0"/>
          <c:showVal val="0"/>
          <c:showCatName val="0"/>
          <c:showSerName val="0"/>
          <c:showPercent val="0"/>
          <c:showBubbleSize val="0"/>
        </c:dLbls>
        <c:gapWidth val="219"/>
        <c:overlap val="-27"/>
        <c:axId val="1169212735"/>
        <c:axId val="1169214463"/>
      </c:barChart>
      <c:catAx>
        <c:axId val="11692127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Parameter name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214463"/>
        <c:crosses val="autoZero"/>
        <c:auto val="1"/>
        <c:lblAlgn val="ctr"/>
        <c:lblOffset val="100"/>
        <c:noMultiLvlLbl val="0"/>
      </c:catAx>
      <c:valAx>
        <c:axId val="1169214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Partial</a:t>
                </a:r>
                <a:r>
                  <a:rPr lang="en-GB" baseline="0"/>
                  <a:t> EVPI</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2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'Budget impact analysis (5 yr)'!$G$27</c:f>
              <c:strCache>
                <c:ptCount val="1"/>
                <c:pt idx="0">
                  <c:v>Budget impact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'Budget impact analysis (5 yr)'!$F$29:$F$45</c:f>
              <c:numCache>
                <c:formatCode>General</c:formatCode>
                <c:ptCount val="17"/>
                <c:pt idx="0">
                  <c:v>7800</c:v>
                </c:pt>
                <c:pt idx="1">
                  <c:v>7500</c:v>
                </c:pt>
                <c:pt idx="2">
                  <c:v>7000</c:v>
                </c:pt>
                <c:pt idx="3">
                  <c:v>6500</c:v>
                </c:pt>
                <c:pt idx="4">
                  <c:v>6000</c:v>
                </c:pt>
                <c:pt idx="5">
                  <c:v>5500</c:v>
                </c:pt>
                <c:pt idx="6">
                  <c:v>5000</c:v>
                </c:pt>
                <c:pt idx="7">
                  <c:v>4500</c:v>
                </c:pt>
                <c:pt idx="8">
                  <c:v>4000</c:v>
                </c:pt>
                <c:pt idx="9">
                  <c:v>3500</c:v>
                </c:pt>
                <c:pt idx="10">
                  <c:v>3000</c:v>
                </c:pt>
                <c:pt idx="11">
                  <c:v>2500</c:v>
                </c:pt>
                <c:pt idx="12">
                  <c:v>2000</c:v>
                </c:pt>
                <c:pt idx="13">
                  <c:v>1500</c:v>
                </c:pt>
                <c:pt idx="14">
                  <c:v>1000</c:v>
                </c:pt>
                <c:pt idx="15">
                  <c:v>500</c:v>
                </c:pt>
                <c:pt idx="16">
                  <c:v>0</c:v>
                </c:pt>
              </c:numCache>
            </c:numRef>
          </c:xVal>
          <c:yVal>
            <c:numRef>
              <c:f>'Budget impact analysis (5 yr)'!$G$29:$G$45</c:f>
              <c:numCache>
                <c:formatCode>General</c:formatCode>
                <c:ptCount val="17"/>
                <c:pt idx="0">
                  <c:v>-184182565090.30496</c:v>
                </c:pt>
                <c:pt idx="1">
                  <c:v>-184187694530.91516</c:v>
                </c:pt>
                <c:pt idx="2">
                  <c:v>-184196243598.59851</c:v>
                </c:pt>
                <c:pt idx="3">
                  <c:v>-184204792666.28204</c:v>
                </c:pt>
                <c:pt idx="4">
                  <c:v>-184213341733.96545</c:v>
                </c:pt>
                <c:pt idx="5">
                  <c:v>-184221890801.64893</c:v>
                </c:pt>
                <c:pt idx="6">
                  <c:v>-184230439869.33234</c:v>
                </c:pt>
                <c:pt idx="7">
                  <c:v>-184238988937.01581</c:v>
                </c:pt>
                <c:pt idx="8">
                  <c:v>-184247538004.69922</c:v>
                </c:pt>
                <c:pt idx="9">
                  <c:v>-184256087072.38269</c:v>
                </c:pt>
                <c:pt idx="10">
                  <c:v>-184264636140.06622</c:v>
                </c:pt>
                <c:pt idx="11">
                  <c:v>-184273185207.74963</c:v>
                </c:pt>
                <c:pt idx="12">
                  <c:v>-184281734275.43304</c:v>
                </c:pt>
                <c:pt idx="13">
                  <c:v>-184290283343.11646</c:v>
                </c:pt>
                <c:pt idx="14">
                  <c:v>-184298832410.79999</c:v>
                </c:pt>
                <c:pt idx="15">
                  <c:v>-184307381478.4834</c:v>
                </c:pt>
                <c:pt idx="16">
                  <c:v>-184315930546.16687</c:v>
                </c:pt>
              </c:numCache>
            </c:numRef>
          </c:yVal>
          <c:smooth val="1"/>
          <c:extLst>
            <c:ext xmlns:c16="http://schemas.microsoft.com/office/drawing/2014/chart" uri="{C3380CC4-5D6E-409C-BE32-E72D297353CC}">
              <c16:uniqueId val="{00000000-C575-6746-B238-06EAB56DA57F}"/>
            </c:ext>
          </c:extLst>
        </c:ser>
        <c:dLbls>
          <c:showLegendKey val="0"/>
          <c:showVal val="0"/>
          <c:showCatName val="0"/>
          <c:showSerName val="0"/>
          <c:showPercent val="0"/>
          <c:showBubbleSize val="0"/>
        </c:dLbls>
        <c:axId val="1002789712"/>
        <c:axId val="969672768"/>
      </c:scatterChart>
      <c:valAx>
        <c:axId val="1002789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672768"/>
        <c:crosses val="autoZero"/>
        <c:crossBetween val="midCat"/>
      </c:valAx>
      <c:valAx>
        <c:axId val="96967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2789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'Budget impact analysis (10 yr)'!$AK$31</c:f>
              <c:strCache>
                <c:ptCount val="1"/>
                <c:pt idx="0">
                  <c:v>Budget Impact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'Budget impact analysis (10 yr)'!$AJ$32:$AJ$41</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'Budget impact analysis (10 yr)'!$AK$32:$AK$41</c:f>
              <c:numCache>
                <c:formatCode>[$THB]\ #,##0</c:formatCode>
                <c:ptCount val="10"/>
                <c:pt idx="0">
                  <c:v>-6279738911.7941399</c:v>
                </c:pt>
                <c:pt idx="1">
                  <c:v>-6269011424.428051</c:v>
                </c:pt>
                <c:pt idx="2">
                  <c:v>-6258324398.5880432</c:v>
                </c:pt>
                <c:pt idx="3">
                  <c:v>-6239859681.777256</c:v>
                </c:pt>
                <c:pt idx="4">
                  <c:v>-6279022461.8950539</c:v>
                </c:pt>
                <c:pt idx="5">
                  <c:v>979576932.68611145</c:v>
                </c:pt>
                <c:pt idx="6">
                  <c:v>13771267938.158516</c:v>
                </c:pt>
                <c:pt idx="7">
                  <c:v>29574895774.602127</c:v>
                </c:pt>
                <c:pt idx="8">
                  <c:v>46141936922.702667</c:v>
                </c:pt>
                <c:pt idx="9">
                  <c:v>61994349902.106445</c:v>
                </c:pt>
              </c:numCache>
            </c:numRef>
          </c:yVal>
          <c:smooth val="1"/>
          <c:extLst>
            <c:ext xmlns:c16="http://schemas.microsoft.com/office/drawing/2014/chart" uri="{C3380CC4-5D6E-409C-BE32-E72D297353CC}">
              <c16:uniqueId val="{00000000-9CB9-BD44-92DD-4FC24BA764A1}"/>
            </c:ext>
          </c:extLst>
        </c:ser>
        <c:dLbls>
          <c:showLegendKey val="0"/>
          <c:showVal val="0"/>
          <c:showCatName val="0"/>
          <c:showSerName val="0"/>
          <c:showPercent val="0"/>
          <c:showBubbleSize val="0"/>
        </c:dLbls>
        <c:axId val="1004000032"/>
        <c:axId val="1004065408"/>
      </c:scatterChart>
      <c:valAx>
        <c:axId val="100400003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065408"/>
        <c:crosses val="autoZero"/>
        <c:crossBetween val="midCat"/>
      </c:valAx>
      <c:valAx>
        <c:axId val="1004065408"/>
        <c:scaling>
          <c:orientation val="minMax"/>
        </c:scaling>
        <c:delete val="0"/>
        <c:axPos val="l"/>
        <c:majorGridlines>
          <c:spPr>
            <a:ln w="9525" cap="flat" cmpd="sng" algn="ctr">
              <a:solidFill>
                <a:schemeClr val="tx1">
                  <a:lumMod val="15000"/>
                  <a:lumOff val="85000"/>
                </a:schemeClr>
              </a:solidFill>
              <a:round/>
            </a:ln>
            <a:effectLst/>
          </c:spPr>
        </c:majorGridlines>
        <c:numFmt formatCode="[$THB]\ #,##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0000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1">
  <a:schemeClr val="accent1"/>
</cs:colorStyle>
</file>

<file path=xl/charts/colors14.xml><?xml version="1.0" encoding="utf-8"?>
<cs:colorStyle xmlns:cs="http://schemas.microsoft.com/office/drawing/2012/chartStyle" xmlns:a="http://schemas.openxmlformats.org/drawingml/2006/main" meth="withinLinearReversed" id="21">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Reversed" id="21">
  <a:schemeClr val="accent1"/>
</cs:colorStyle>
</file>

<file path=xl/charts/colors17.xml><?xml version="1.0" encoding="utf-8"?>
<cs:colorStyle xmlns:cs="http://schemas.microsoft.com/office/drawing/2012/chartStyle" xmlns:a="http://schemas.openxmlformats.org/drawingml/2006/main" meth="withinLinearReversed" id="21">
  <a:schemeClr val="accent1"/>
</cs:colorStyle>
</file>

<file path=xl/charts/colors18.xml><?xml version="1.0" encoding="utf-8"?>
<cs:colorStyle xmlns:cs="http://schemas.microsoft.com/office/drawing/2012/chartStyle" xmlns:a="http://schemas.openxmlformats.org/drawingml/2006/main" meth="withinLinearReversed" id="21">
  <a:schemeClr val="accent1"/>
</cs:colorStyle>
</file>

<file path=xl/charts/colors19.xml><?xml version="1.0" encoding="utf-8"?>
<cs:colorStyle xmlns:cs="http://schemas.microsoft.com/office/drawing/2012/chartStyle" xmlns:a="http://schemas.openxmlformats.org/drawingml/2006/main" meth="withinLinearReversed" id="21">
  <a:schemeClr val="accent1"/>
</cs:colorStyle>
</file>

<file path=xl/charts/colors20.xml><?xml version="1.0" encoding="utf-8"?>
<cs:colorStyle xmlns:cs="http://schemas.microsoft.com/office/drawing/2012/chartStyle" xmlns:a="http://schemas.openxmlformats.org/drawingml/2006/main" meth="withinLinearReversed" id="21">
  <a:schemeClr val="accent1"/>
</cs:colorStyle>
</file>

<file path=xl/charts/colors21.xml><?xml version="1.0" encoding="utf-8"?>
<cs:colorStyle xmlns:cs="http://schemas.microsoft.com/office/drawing/2012/chartStyle" xmlns:a="http://schemas.openxmlformats.org/drawingml/2006/main" meth="withinLinearReversed" id="21">
  <a:schemeClr val="accent1"/>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9E8D2BC-15F4-0648-87F8-794546B04B1F}">
  <sheetPr codeName="Chart13"/>
  <sheetViews>
    <sheetView zoomScale="98"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2AEAD33-1007-074B-8FB2-09D2163D929E}">
  <sheetPr codeName="Chart1"/>
  <sheetViews>
    <sheetView zoomScale="112"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88960A8-4F51-8049-80BA-0BC23B6C68C9}">
  <sheetPr codeName="Chart4"/>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EF260A0-793E-C349-A455-5DE34FC58CD3}">
  <sheetPr codeName="Chart2"/>
  <sheetViews>
    <sheetView zoomScale="85"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8136AFE-7D6E-E248-B9FF-7C51B54BAE95}">
  <sheetPr codeName="Chart3"/>
  <sheetViews>
    <sheetView zoomScale="126"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12" Type="http://schemas.openxmlformats.org/officeDocument/2006/relationships/chart" Target="../charts/chart21.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20.xml"/><Relationship Id="rId5" Type="http://schemas.openxmlformats.org/officeDocument/2006/relationships/chart" Target="../charts/chart14.xml"/><Relationship Id="rId10" Type="http://schemas.openxmlformats.org/officeDocument/2006/relationships/chart" Target="../charts/chart19.xml"/><Relationship Id="rId4" Type="http://schemas.openxmlformats.org/officeDocument/2006/relationships/chart" Target="../charts/chart13.xml"/><Relationship Id="rId9" Type="http://schemas.openxmlformats.org/officeDocument/2006/relationships/chart" Target="../charts/chart1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0</xdr:col>
      <xdr:colOff>477520</xdr:colOff>
      <xdr:row>15</xdr:row>
      <xdr:rowOff>143509</xdr:rowOff>
    </xdr:from>
    <xdr:to>
      <xdr:col>7</xdr:col>
      <xdr:colOff>202777</xdr:colOff>
      <xdr:row>40</xdr:row>
      <xdr:rowOff>79586</xdr:rowOff>
    </xdr:to>
    <xdr:grpSp>
      <xdr:nvGrpSpPr>
        <xdr:cNvPr id="17" name="Group 16">
          <a:extLst>
            <a:ext uri="{FF2B5EF4-FFF2-40B4-BE49-F238E27FC236}">
              <a16:creationId xmlns:a16="http://schemas.microsoft.com/office/drawing/2014/main" id="{6ADA7740-DCB1-6674-F5FF-C0EDD9435EEE}"/>
            </a:ext>
          </a:extLst>
        </xdr:cNvPr>
        <xdr:cNvGrpSpPr/>
      </xdr:nvGrpSpPr>
      <xdr:grpSpPr>
        <a:xfrm>
          <a:off x="477520" y="3143884"/>
          <a:ext cx="5592657" cy="4936702"/>
          <a:chOff x="731520" y="467360"/>
          <a:chExt cx="5626100" cy="5013960"/>
        </a:xfrm>
      </xdr:grpSpPr>
      <xdr:pic>
        <xdr:nvPicPr>
          <xdr:cNvPr id="2" name="image1.png">
            <a:extLst>
              <a:ext uri="{FF2B5EF4-FFF2-40B4-BE49-F238E27FC236}">
                <a16:creationId xmlns:a16="http://schemas.microsoft.com/office/drawing/2014/main" id="{38EF0019-2A89-125F-7C89-3561B2F861E0}"/>
              </a:ext>
            </a:extLst>
          </xdr:cNvPr>
          <xdr:cNvPicPr/>
        </xdr:nvPicPr>
        <xdr:blipFill>
          <a:blip xmlns:r="http://schemas.openxmlformats.org/officeDocument/2006/relationships" r:embed="rId1"/>
          <a:srcRect/>
          <a:stretch>
            <a:fillRect/>
          </a:stretch>
        </xdr:blipFill>
        <xdr:spPr>
          <a:xfrm>
            <a:off x="891540" y="655320"/>
            <a:ext cx="5466080" cy="4826000"/>
          </a:xfrm>
          <a:prstGeom prst="rect">
            <a:avLst/>
          </a:prstGeom>
          <a:ln/>
        </xdr:spPr>
      </xdr:pic>
      <xdr:sp macro="" textlink="">
        <xdr:nvSpPr>
          <xdr:cNvPr id="3" name="TextBox 2">
            <a:extLst>
              <a:ext uri="{FF2B5EF4-FFF2-40B4-BE49-F238E27FC236}">
                <a16:creationId xmlns:a16="http://schemas.microsoft.com/office/drawing/2014/main" id="{0E9732DB-4EBD-1BC4-0CEF-73E7712896B2}"/>
              </a:ext>
            </a:extLst>
          </xdr:cNvPr>
          <xdr:cNvSpPr txBox="1"/>
        </xdr:nvSpPr>
        <xdr:spPr>
          <a:xfrm>
            <a:off x="4541520" y="46736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p3a/3a</a:t>
            </a:r>
          </a:p>
        </xdr:txBody>
      </xdr:sp>
      <xdr:sp macro="" textlink="">
        <xdr:nvSpPr>
          <xdr:cNvPr id="4" name="TextBox 3">
            <a:extLst>
              <a:ext uri="{FF2B5EF4-FFF2-40B4-BE49-F238E27FC236}">
                <a16:creationId xmlns:a16="http://schemas.microsoft.com/office/drawing/2014/main" id="{59A75467-B4EA-2448-B847-073DDBF84657}"/>
              </a:ext>
            </a:extLst>
          </xdr:cNvPr>
          <xdr:cNvSpPr txBox="1"/>
        </xdr:nvSpPr>
        <xdr:spPr>
          <a:xfrm rot="1645480">
            <a:off x="4480559" y="90424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p3a/3b</a:t>
            </a:r>
          </a:p>
        </xdr:txBody>
      </xdr:sp>
      <xdr:sp macro="" textlink="">
        <xdr:nvSpPr>
          <xdr:cNvPr id="5" name="TextBox 4">
            <a:extLst>
              <a:ext uri="{FF2B5EF4-FFF2-40B4-BE49-F238E27FC236}">
                <a16:creationId xmlns:a16="http://schemas.microsoft.com/office/drawing/2014/main" id="{45909C85-2F8E-BA42-96EF-2C33535B6C3F}"/>
              </a:ext>
            </a:extLst>
          </xdr:cNvPr>
          <xdr:cNvSpPr txBox="1"/>
        </xdr:nvSpPr>
        <xdr:spPr>
          <a:xfrm>
            <a:off x="5405120" y="3058160"/>
            <a:ext cx="8331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p3a/Death</a:t>
            </a:r>
          </a:p>
        </xdr:txBody>
      </xdr:sp>
      <xdr:sp macro="" textlink="">
        <xdr:nvSpPr>
          <xdr:cNvPr id="6" name="TextBox 5">
            <a:extLst>
              <a:ext uri="{FF2B5EF4-FFF2-40B4-BE49-F238E27FC236}">
                <a16:creationId xmlns:a16="http://schemas.microsoft.com/office/drawing/2014/main" id="{AED442E3-FE14-8F42-BF13-C80095C9BCAF}"/>
              </a:ext>
            </a:extLst>
          </xdr:cNvPr>
          <xdr:cNvSpPr txBox="1"/>
        </xdr:nvSpPr>
        <xdr:spPr>
          <a:xfrm>
            <a:off x="4765040" y="2428240"/>
            <a:ext cx="8331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p3b/Death</a:t>
            </a:r>
          </a:p>
        </xdr:txBody>
      </xdr:sp>
      <xdr:sp macro="" textlink="">
        <xdr:nvSpPr>
          <xdr:cNvPr id="7" name="TextBox 6">
            <a:extLst>
              <a:ext uri="{FF2B5EF4-FFF2-40B4-BE49-F238E27FC236}">
                <a16:creationId xmlns:a16="http://schemas.microsoft.com/office/drawing/2014/main" id="{73436134-D97C-254E-8B13-AD43C30B70E0}"/>
              </a:ext>
            </a:extLst>
          </xdr:cNvPr>
          <xdr:cNvSpPr txBox="1"/>
        </xdr:nvSpPr>
        <xdr:spPr>
          <a:xfrm>
            <a:off x="731520" y="2438400"/>
            <a:ext cx="8331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p4/Death</a:t>
            </a:r>
          </a:p>
        </xdr:txBody>
      </xdr:sp>
      <xdr:sp macro="" textlink="">
        <xdr:nvSpPr>
          <xdr:cNvPr id="8" name="TextBox 7">
            <a:extLst>
              <a:ext uri="{FF2B5EF4-FFF2-40B4-BE49-F238E27FC236}">
                <a16:creationId xmlns:a16="http://schemas.microsoft.com/office/drawing/2014/main" id="{8F74B203-53DC-8142-9554-C91EA519A224}"/>
              </a:ext>
            </a:extLst>
          </xdr:cNvPr>
          <xdr:cNvSpPr txBox="1"/>
        </xdr:nvSpPr>
        <xdr:spPr>
          <a:xfrm>
            <a:off x="1381760" y="4196080"/>
            <a:ext cx="8331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p5/Death</a:t>
            </a:r>
          </a:p>
        </xdr:txBody>
      </xdr:sp>
      <xdr:sp macro="" textlink="">
        <xdr:nvSpPr>
          <xdr:cNvPr id="9" name="TextBox 8">
            <a:extLst>
              <a:ext uri="{FF2B5EF4-FFF2-40B4-BE49-F238E27FC236}">
                <a16:creationId xmlns:a16="http://schemas.microsoft.com/office/drawing/2014/main" id="{814F9B9A-D74F-E642-A0A1-7E3E7387EC22}"/>
              </a:ext>
            </a:extLst>
          </xdr:cNvPr>
          <xdr:cNvSpPr txBox="1"/>
        </xdr:nvSpPr>
        <xdr:spPr>
          <a:xfrm>
            <a:off x="2854960" y="4104640"/>
            <a:ext cx="115824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pDialysis/Death</a:t>
            </a:r>
          </a:p>
        </xdr:txBody>
      </xdr:sp>
      <xdr:sp macro="" textlink="">
        <xdr:nvSpPr>
          <xdr:cNvPr id="10" name="TextBox 9">
            <a:extLst>
              <a:ext uri="{FF2B5EF4-FFF2-40B4-BE49-F238E27FC236}">
                <a16:creationId xmlns:a16="http://schemas.microsoft.com/office/drawing/2014/main" id="{70B4907B-7917-0248-8A45-EE28B55F0610}"/>
              </a:ext>
            </a:extLst>
          </xdr:cNvPr>
          <xdr:cNvSpPr txBox="1"/>
        </xdr:nvSpPr>
        <xdr:spPr>
          <a:xfrm>
            <a:off x="3108960" y="91440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p3b/3b</a:t>
            </a:r>
          </a:p>
        </xdr:txBody>
      </xdr:sp>
      <xdr:sp macro="" textlink="">
        <xdr:nvSpPr>
          <xdr:cNvPr id="11" name="TextBox 10">
            <a:extLst>
              <a:ext uri="{FF2B5EF4-FFF2-40B4-BE49-F238E27FC236}">
                <a16:creationId xmlns:a16="http://schemas.microsoft.com/office/drawing/2014/main" id="{40A320AD-14AF-A94D-8C55-B0817EF68560}"/>
              </a:ext>
            </a:extLst>
          </xdr:cNvPr>
          <xdr:cNvSpPr txBox="1"/>
        </xdr:nvSpPr>
        <xdr:spPr>
          <a:xfrm>
            <a:off x="1737360" y="158496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p4/4</a:t>
            </a:r>
          </a:p>
        </xdr:txBody>
      </xdr:sp>
      <xdr:sp macro="" textlink="">
        <xdr:nvSpPr>
          <xdr:cNvPr id="12" name="TextBox 11">
            <a:extLst>
              <a:ext uri="{FF2B5EF4-FFF2-40B4-BE49-F238E27FC236}">
                <a16:creationId xmlns:a16="http://schemas.microsoft.com/office/drawing/2014/main" id="{A7BA55BA-A510-4D40-B41B-189CE726B364}"/>
              </a:ext>
            </a:extLst>
          </xdr:cNvPr>
          <xdr:cNvSpPr txBox="1"/>
        </xdr:nvSpPr>
        <xdr:spPr>
          <a:xfrm>
            <a:off x="1239520" y="275336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p5/5</a:t>
            </a:r>
          </a:p>
        </xdr:txBody>
      </xdr:sp>
      <xdr:sp macro="" textlink="">
        <xdr:nvSpPr>
          <xdr:cNvPr id="13" name="TextBox 12">
            <a:extLst>
              <a:ext uri="{FF2B5EF4-FFF2-40B4-BE49-F238E27FC236}">
                <a16:creationId xmlns:a16="http://schemas.microsoft.com/office/drawing/2014/main" id="{E4FD2DE7-0F55-484E-8536-B0317AF173FC}"/>
              </a:ext>
            </a:extLst>
          </xdr:cNvPr>
          <xdr:cNvSpPr txBox="1"/>
        </xdr:nvSpPr>
        <xdr:spPr>
          <a:xfrm>
            <a:off x="3606800" y="2529840"/>
            <a:ext cx="117856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pDialysis/Dialysis</a:t>
            </a:r>
          </a:p>
        </xdr:txBody>
      </xdr:sp>
      <xdr:sp macro="" textlink="">
        <xdr:nvSpPr>
          <xdr:cNvPr id="14" name="TextBox 13">
            <a:extLst>
              <a:ext uri="{FF2B5EF4-FFF2-40B4-BE49-F238E27FC236}">
                <a16:creationId xmlns:a16="http://schemas.microsoft.com/office/drawing/2014/main" id="{9BF532FB-EBB9-974A-A603-80A782C6B16C}"/>
              </a:ext>
            </a:extLst>
          </xdr:cNvPr>
          <xdr:cNvSpPr txBox="1"/>
        </xdr:nvSpPr>
        <xdr:spPr>
          <a:xfrm rot="1630749">
            <a:off x="3139440" y="148336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p3b/4</a:t>
            </a:r>
          </a:p>
        </xdr:txBody>
      </xdr:sp>
      <xdr:sp macro="" textlink="">
        <xdr:nvSpPr>
          <xdr:cNvPr id="15" name="TextBox 14">
            <a:extLst>
              <a:ext uri="{FF2B5EF4-FFF2-40B4-BE49-F238E27FC236}">
                <a16:creationId xmlns:a16="http://schemas.microsoft.com/office/drawing/2014/main" id="{DD31CC25-36B3-7541-8ACB-6B0D08E0C540}"/>
              </a:ext>
            </a:extLst>
          </xdr:cNvPr>
          <xdr:cNvSpPr txBox="1"/>
        </xdr:nvSpPr>
        <xdr:spPr>
          <a:xfrm rot="1641970">
            <a:off x="1879599" y="2560319"/>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p4/5</a:t>
            </a:r>
          </a:p>
        </xdr:txBody>
      </xdr:sp>
      <xdr:sp macro="" textlink="">
        <xdr:nvSpPr>
          <xdr:cNvPr id="16" name="TextBox 15">
            <a:extLst>
              <a:ext uri="{FF2B5EF4-FFF2-40B4-BE49-F238E27FC236}">
                <a16:creationId xmlns:a16="http://schemas.microsoft.com/office/drawing/2014/main" id="{B2BDA132-87F1-164F-8B13-9E43A6D8604B}"/>
              </a:ext>
            </a:extLst>
          </xdr:cNvPr>
          <xdr:cNvSpPr txBox="1"/>
        </xdr:nvSpPr>
        <xdr:spPr>
          <a:xfrm rot="1636318">
            <a:off x="2540000" y="3159760"/>
            <a:ext cx="84328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p5/Dialysis</a:t>
            </a:r>
          </a:p>
        </xdr:txBody>
      </xdr:sp>
    </xdr:grpSp>
    <xdr:clientData/>
  </xdr:twoCellAnchor>
  <xdr:twoCellAnchor>
    <xdr:from>
      <xdr:col>4</xdr:col>
      <xdr:colOff>829442</xdr:colOff>
      <xdr:row>17</xdr:row>
      <xdr:rowOff>21709</xdr:rowOff>
    </xdr:from>
    <xdr:to>
      <xdr:col>5</xdr:col>
      <xdr:colOff>595991</xdr:colOff>
      <xdr:row>18</xdr:row>
      <xdr:rowOff>113273</xdr:rowOff>
    </xdr:to>
    <xdr:sp macro="" textlink="">
      <xdr:nvSpPr>
        <xdr:cNvPr id="18" name="TextBox 17">
          <a:extLst>
            <a:ext uri="{FF2B5EF4-FFF2-40B4-BE49-F238E27FC236}">
              <a16:creationId xmlns:a16="http://schemas.microsoft.com/office/drawing/2014/main" id="{54BFE5F3-21FF-6144-A08D-76752CEFAC9B}"/>
            </a:ext>
          </a:extLst>
        </xdr:cNvPr>
        <xdr:cNvSpPr txBox="1"/>
      </xdr:nvSpPr>
      <xdr:spPr>
        <a:xfrm rot="1645480">
          <a:off x="4182242" y="3476109"/>
          <a:ext cx="604749" cy="29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6"/>
              </a:solidFill>
            </a:rPr>
            <a:t>RR3a</a:t>
          </a:r>
        </a:p>
      </xdr:txBody>
    </xdr:sp>
    <xdr:clientData/>
  </xdr:twoCellAnchor>
  <xdr:twoCellAnchor>
    <xdr:from>
      <xdr:col>3</xdr:col>
      <xdr:colOff>326015</xdr:colOff>
      <xdr:row>19</xdr:row>
      <xdr:rowOff>194674</xdr:rowOff>
    </xdr:from>
    <xdr:to>
      <xdr:col>4</xdr:col>
      <xdr:colOff>92564</xdr:colOff>
      <xdr:row>21</xdr:row>
      <xdr:rowOff>83038</xdr:rowOff>
    </xdr:to>
    <xdr:sp macro="" textlink="">
      <xdr:nvSpPr>
        <xdr:cNvPr id="19" name="TextBox 18">
          <a:extLst>
            <a:ext uri="{FF2B5EF4-FFF2-40B4-BE49-F238E27FC236}">
              <a16:creationId xmlns:a16="http://schemas.microsoft.com/office/drawing/2014/main" id="{EA8CF9F0-891D-0748-A868-746923A225F2}"/>
            </a:ext>
          </a:extLst>
        </xdr:cNvPr>
        <xdr:cNvSpPr txBox="1"/>
      </xdr:nvSpPr>
      <xdr:spPr>
        <a:xfrm rot="1645480">
          <a:off x="2840615" y="4055474"/>
          <a:ext cx="604749" cy="29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6"/>
              </a:solidFill>
            </a:rPr>
            <a:t>RR3b</a:t>
          </a:r>
        </a:p>
      </xdr:txBody>
    </xdr:sp>
    <xdr:clientData/>
  </xdr:twoCellAnchor>
  <xdr:twoCellAnchor>
    <xdr:from>
      <xdr:col>1</xdr:col>
      <xdr:colOff>757343</xdr:colOff>
      <xdr:row>25</xdr:row>
      <xdr:rowOff>63054</xdr:rowOff>
    </xdr:from>
    <xdr:to>
      <xdr:col>2</xdr:col>
      <xdr:colOff>528974</xdr:colOff>
      <xdr:row>26</xdr:row>
      <xdr:rowOff>154618</xdr:rowOff>
    </xdr:to>
    <xdr:sp macro="" textlink="">
      <xdr:nvSpPr>
        <xdr:cNvPr id="20" name="TextBox 19">
          <a:extLst>
            <a:ext uri="{FF2B5EF4-FFF2-40B4-BE49-F238E27FC236}">
              <a16:creationId xmlns:a16="http://schemas.microsoft.com/office/drawing/2014/main" id="{119D9648-D61A-0442-9C0B-CEA133232648}"/>
            </a:ext>
          </a:extLst>
        </xdr:cNvPr>
        <xdr:cNvSpPr txBox="1"/>
      </xdr:nvSpPr>
      <xdr:spPr>
        <a:xfrm rot="1645480">
          <a:off x="1595543" y="5143054"/>
          <a:ext cx="609831" cy="29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6"/>
              </a:solidFill>
            </a:rPr>
            <a:t>RR4</a:t>
          </a:r>
        </a:p>
      </xdr:txBody>
    </xdr:sp>
    <xdr:clientData/>
  </xdr:twoCellAnchor>
  <xdr:twoCellAnchor>
    <xdr:from>
      <xdr:col>0</xdr:col>
      <xdr:colOff>127000</xdr:colOff>
      <xdr:row>0</xdr:row>
      <xdr:rowOff>101600</xdr:rowOff>
    </xdr:from>
    <xdr:to>
      <xdr:col>7</xdr:col>
      <xdr:colOff>800100</xdr:colOff>
      <xdr:row>15</xdr:row>
      <xdr:rowOff>50800</xdr:rowOff>
    </xdr:to>
    <xdr:sp macro="" textlink="">
      <xdr:nvSpPr>
        <xdr:cNvPr id="23" name="TextBox 22">
          <a:extLst>
            <a:ext uri="{FF2B5EF4-FFF2-40B4-BE49-F238E27FC236}">
              <a16:creationId xmlns:a16="http://schemas.microsoft.com/office/drawing/2014/main" id="{1CF53E78-5CA6-D52D-ADD9-09AF92BDE0AD}"/>
            </a:ext>
          </a:extLst>
        </xdr:cNvPr>
        <xdr:cNvSpPr txBox="1"/>
      </xdr:nvSpPr>
      <xdr:spPr>
        <a:xfrm>
          <a:off x="127000" y="101600"/>
          <a:ext cx="6540500" cy="299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u="sng"/>
            <a:t>An economic evaluation</a:t>
          </a:r>
          <a:r>
            <a:rPr lang="en-GB" sz="1200" b="1" u="sng" baseline="0"/>
            <a:t> of an integrated care to delay the progression of chronic kidney disease in rural Thai populations: Brief</a:t>
          </a:r>
        </a:p>
        <a:p>
          <a:endParaRPr lang="en-GB" sz="1200" b="0" u="none" baseline="0"/>
        </a:p>
        <a:p>
          <a:r>
            <a:rPr lang="en-GB" sz="1200" b="0" u="none" baseline="0"/>
            <a:t>An integrated CKD program (ICP) run by a multidisciplinary care team (MDCT) has been found to be clinically effective at delaying the progression of chronic kidney disease (CKD) in patients found to be in CKD stages 3-4 (REFS). Delaying the progression of this disease is imperative, especially in rural communities where access to secondary care and nephrologists is limited, to not only allow patients to maintain a better quality of life for longer but to also prevent the demand for expensive treatments for end-stage-renal-failure (ESRD) and kidney failure (ie. dialysis and transplantion). However, there is limited evidence surrounding the cost-effectiveness of this intervention.</a:t>
          </a:r>
        </a:p>
        <a:p>
          <a:endParaRPr lang="en-GB" sz="1200" b="0" u="none" baseline="0"/>
        </a:p>
        <a:p>
          <a:r>
            <a:rPr lang="en-GB" sz="1200" b="0" u="none" baseline="0"/>
            <a:t>This Markov model seeks to examine under which conditions the ICP run by the MDCT is cost-effective, as well as clinically effective, from a societal perspective - in order to be able to inform whether the intervention should be considered for adoption into the benefits package provided by the Universal Health Scheme (UHS) under Thailand's Universal healthcare coverage (UHC) scheme.</a:t>
          </a:r>
          <a:endParaRPr lang="en-GB" sz="1200" b="0" u="none"/>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23</xdr:col>
      <xdr:colOff>292100</xdr:colOff>
      <xdr:row>2</xdr:row>
      <xdr:rowOff>0</xdr:rowOff>
    </xdr:from>
    <xdr:to>
      <xdr:col>33</xdr:col>
      <xdr:colOff>292100</xdr:colOff>
      <xdr:row>25</xdr:row>
      <xdr:rowOff>165100</xdr:rowOff>
    </xdr:to>
    <xdr:graphicFrame macro="">
      <xdr:nvGraphicFramePr>
        <xdr:cNvPr id="3" name="Chart 2">
          <a:extLst>
            <a:ext uri="{FF2B5EF4-FFF2-40B4-BE49-F238E27FC236}">
              <a16:creationId xmlns:a16="http://schemas.microsoft.com/office/drawing/2014/main" id="{3EFDFD6C-C426-B046-A254-E44473C69F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406400</xdr:colOff>
      <xdr:row>29</xdr:row>
      <xdr:rowOff>0</xdr:rowOff>
    </xdr:from>
    <xdr:to>
      <xdr:col>14</xdr:col>
      <xdr:colOff>12700</xdr:colOff>
      <xdr:row>52</xdr:row>
      <xdr:rowOff>12700</xdr:rowOff>
    </xdr:to>
    <xdr:graphicFrame macro="">
      <xdr:nvGraphicFramePr>
        <xdr:cNvPr id="2" name="Chart 1">
          <a:extLst>
            <a:ext uri="{FF2B5EF4-FFF2-40B4-BE49-F238E27FC236}">
              <a16:creationId xmlns:a16="http://schemas.microsoft.com/office/drawing/2014/main" id="{AC4E5D29-AF91-E446-9BE5-B6334282B6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6350</xdr:colOff>
      <xdr:row>29</xdr:row>
      <xdr:rowOff>0</xdr:rowOff>
    </xdr:from>
    <xdr:to>
      <xdr:col>20</xdr:col>
      <xdr:colOff>393700</xdr:colOff>
      <xdr:row>52</xdr:row>
      <xdr:rowOff>12700</xdr:rowOff>
    </xdr:to>
    <xdr:graphicFrame macro="">
      <xdr:nvGraphicFramePr>
        <xdr:cNvPr id="4" name="Chart 3">
          <a:extLst>
            <a:ext uri="{FF2B5EF4-FFF2-40B4-BE49-F238E27FC236}">
              <a16:creationId xmlns:a16="http://schemas.microsoft.com/office/drawing/2014/main" id="{CF8F0283-F6C8-F848-AFFE-8AD5FCF4DC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400050</xdr:colOff>
      <xdr:row>52</xdr:row>
      <xdr:rowOff>19050</xdr:rowOff>
    </xdr:from>
    <xdr:to>
      <xdr:col>14</xdr:col>
      <xdr:colOff>12700</xdr:colOff>
      <xdr:row>68</xdr:row>
      <xdr:rowOff>12700</xdr:rowOff>
    </xdr:to>
    <xdr:graphicFrame macro="">
      <xdr:nvGraphicFramePr>
        <xdr:cNvPr id="5" name="Chart 4">
          <a:extLst>
            <a:ext uri="{FF2B5EF4-FFF2-40B4-BE49-F238E27FC236}">
              <a16:creationId xmlns:a16="http://schemas.microsoft.com/office/drawing/2014/main" id="{5C9009FC-9014-B24C-877A-C3F70C4A04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6350</xdr:colOff>
      <xdr:row>52</xdr:row>
      <xdr:rowOff>19050</xdr:rowOff>
    </xdr:from>
    <xdr:to>
      <xdr:col>20</xdr:col>
      <xdr:colOff>393700</xdr:colOff>
      <xdr:row>68</xdr:row>
      <xdr:rowOff>12700</xdr:rowOff>
    </xdr:to>
    <xdr:graphicFrame macro="">
      <xdr:nvGraphicFramePr>
        <xdr:cNvPr id="6" name="Chart 5">
          <a:extLst>
            <a:ext uri="{FF2B5EF4-FFF2-40B4-BE49-F238E27FC236}">
              <a16:creationId xmlns:a16="http://schemas.microsoft.com/office/drawing/2014/main" id="{63AA1DD0-5EC3-BC49-9F97-4FD0FDDCC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21</xdr:row>
      <xdr:rowOff>0</xdr:rowOff>
    </xdr:from>
    <xdr:to>
      <xdr:col>17</xdr:col>
      <xdr:colOff>0</xdr:colOff>
      <xdr:row>45</xdr:row>
      <xdr:rowOff>0</xdr:rowOff>
    </xdr:to>
    <xdr:graphicFrame macro="">
      <xdr:nvGraphicFramePr>
        <xdr:cNvPr id="6" name="Chart 5">
          <a:extLst>
            <a:ext uri="{FF2B5EF4-FFF2-40B4-BE49-F238E27FC236}">
              <a16:creationId xmlns:a16="http://schemas.microsoft.com/office/drawing/2014/main" id="{F761B0BA-334D-68A8-6132-ED2D7F6788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876300</xdr:colOff>
      <xdr:row>18</xdr:row>
      <xdr:rowOff>25400</xdr:rowOff>
    </xdr:from>
    <xdr:to>
      <xdr:col>13</xdr:col>
      <xdr:colOff>558800</xdr:colOff>
      <xdr:row>44</xdr:row>
      <xdr:rowOff>88900</xdr:rowOff>
    </xdr:to>
    <xdr:graphicFrame macro="">
      <xdr:nvGraphicFramePr>
        <xdr:cNvPr id="3" name="Chart 2">
          <a:extLst>
            <a:ext uri="{FF2B5EF4-FFF2-40B4-BE49-F238E27FC236}">
              <a16:creationId xmlns:a16="http://schemas.microsoft.com/office/drawing/2014/main" id="{DDA02B36-FF4A-8D5B-425E-F6D156884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477520</xdr:colOff>
      <xdr:row>3</xdr:row>
      <xdr:rowOff>124460</xdr:rowOff>
    </xdr:from>
    <xdr:to>
      <xdr:col>5</xdr:col>
      <xdr:colOff>33020</xdr:colOff>
      <xdr:row>29</xdr:row>
      <xdr:rowOff>48260</xdr:rowOff>
    </xdr:to>
    <xdr:graphicFrame macro="">
      <xdr:nvGraphicFramePr>
        <xdr:cNvPr id="4" name="Chart 3">
          <a:extLst>
            <a:ext uri="{FF2B5EF4-FFF2-40B4-BE49-F238E27FC236}">
              <a16:creationId xmlns:a16="http://schemas.microsoft.com/office/drawing/2014/main" id="{34BDF0A0-A514-697E-E993-6221AA0D8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0.50991</cdr:x>
      <cdr:y>0.02676</cdr:y>
    </cdr:from>
    <cdr:to>
      <cdr:x>0.50991</cdr:x>
      <cdr:y>0.93431</cdr:y>
    </cdr:to>
    <cdr:cxnSp macro="">
      <cdr:nvCxnSpPr>
        <cdr:cNvPr id="3" name="Straight Connector 2">
          <a:extLst xmlns:a="http://schemas.openxmlformats.org/drawingml/2006/main">
            <a:ext uri="{FF2B5EF4-FFF2-40B4-BE49-F238E27FC236}">
              <a16:creationId xmlns:a16="http://schemas.microsoft.com/office/drawing/2014/main" id="{C0142DA0-6D9B-EB52-3F1F-E5C47C99E019}"/>
            </a:ext>
          </a:extLst>
        </cdr:cNvPr>
        <cdr:cNvCxnSpPr/>
      </cdr:nvCxnSpPr>
      <cdr:spPr>
        <a:xfrm xmlns:a="http://schemas.openxmlformats.org/drawingml/2006/main">
          <a:off x="4902200" y="139700"/>
          <a:ext cx="0" cy="4737100"/>
        </a:xfrm>
        <a:prstGeom xmlns:a="http://schemas.openxmlformats.org/drawingml/2006/main" prst="line">
          <a:avLst/>
        </a:prstGeom>
        <a:ln xmlns:a="http://schemas.openxmlformats.org/drawingml/2006/main">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0.37781</cdr:x>
      <cdr:y>0.0219</cdr:y>
    </cdr:from>
    <cdr:to>
      <cdr:x>0.53104</cdr:x>
      <cdr:y>0.10706</cdr:y>
    </cdr:to>
    <cdr:sp macro="" textlink="">
      <cdr:nvSpPr>
        <cdr:cNvPr id="4" name="TextBox 3">
          <a:extLst xmlns:a="http://schemas.openxmlformats.org/drawingml/2006/main">
            <a:ext uri="{FF2B5EF4-FFF2-40B4-BE49-F238E27FC236}">
              <a16:creationId xmlns:a16="http://schemas.microsoft.com/office/drawing/2014/main" id="{AAFFF913-6917-74E0-5239-096E720BAF09}"/>
            </a:ext>
          </a:extLst>
        </cdr:cNvPr>
        <cdr:cNvSpPr txBox="1"/>
      </cdr:nvSpPr>
      <cdr:spPr>
        <a:xfrm xmlns:a="http://schemas.openxmlformats.org/drawingml/2006/main">
          <a:off x="3632200" y="114300"/>
          <a:ext cx="1473200" cy="444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000">
              <a:solidFill>
                <a:srgbClr val="FF0000"/>
              </a:solidFill>
            </a:rPr>
            <a:t>265,900</a:t>
          </a:r>
          <a:r>
            <a:rPr lang="en-GB" sz="1000" baseline="0">
              <a:solidFill>
                <a:srgbClr val="FF0000"/>
              </a:solidFill>
            </a:rPr>
            <a:t> THB Per QALY</a:t>
          </a:r>
          <a:endParaRPr lang="en-GB" sz="1000">
            <a:solidFill>
              <a:srgbClr val="FF0000"/>
            </a:solidFil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6</xdr:col>
      <xdr:colOff>165100</xdr:colOff>
      <xdr:row>122</xdr:row>
      <xdr:rowOff>0</xdr:rowOff>
    </xdr:from>
    <xdr:to>
      <xdr:col>14</xdr:col>
      <xdr:colOff>812800</xdr:colOff>
      <xdr:row>150</xdr:row>
      <xdr:rowOff>114300</xdr:rowOff>
    </xdr:to>
    <xdr:graphicFrame macro="">
      <xdr:nvGraphicFramePr>
        <xdr:cNvPr id="4" name="Chart 3">
          <a:extLst>
            <a:ext uri="{FF2B5EF4-FFF2-40B4-BE49-F238E27FC236}">
              <a16:creationId xmlns:a16="http://schemas.microsoft.com/office/drawing/2014/main" id="{C9A97FBA-B949-5D5F-41E3-B2C07DAAC6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22</xdr:col>
      <xdr:colOff>812800</xdr:colOff>
      <xdr:row>25</xdr:row>
      <xdr:rowOff>177800</xdr:rowOff>
    </xdr:from>
    <xdr:to>
      <xdr:col>31</xdr:col>
      <xdr:colOff>819150</xdr:colOff>
      <xdr:row>49</xdr:row>
      <xdr:rowOff>190500</xdr:rowOff>
    </xdr:to>
    <xdr:graphicFrame macro="">
      <xdr:nvGraphicFramePr>
        <xdr:cNvPr id="2" name="Chart 2">
          <a:extLst>
            <a:ext uri="{FF2B5EF4-FFF2-40B4-BE49-F238E27FC236}">
              <a16:creationId xmlns:a16="http://schemas.microsoft.com/office/drawing/2014/main" id="{B9C490E3-CF58-92B2-9572-08C6636981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812800</xdr:colOff>
      <xdr:row>1</xdr:row>
      <xdr:rowOff>0</xdr:rowOff>
    </xdr:from>
    <xdr:to>
      <xdr:col>31</xdr:col>
      <xdr:colOff>812800</xdr:colOff>
      <xdr:row>26</xdr:row>
      <xdr:rowOff>0</xdr:rowOff>
    </xdr:to>
    <xdr:graphicFrame macro="">
      <xdr:nvGraphicFramePr>
        <xdr:cNvPr id="3" name="Chart 3">
          <a:extLst>
            <a:ext uri="{FF2B5EF4-FFF2-40B4-BE49-F238E27FC236}">
              <a16:creationId xmlns:a16="http://schemas.microsoft.com/office/drawing/2014/main" id="{2D3F6099-831A-FDAB-6C62-54EDEA1F72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1</xdr:row>
      <xdr:rowOff>0</xdr:rowOff>
    </xdr:from>
    <xdr:to>
      <xdr:col>14</xdr:col>
      <xdr:colOff>0</xdr:colOff>
      <xdr:row>26</xdr:row>
      <xdr:rowOff>12700</xdr:rowOff>
    </xdr:to>
    <xdr:graphicFrame macro="">
      <xdr:nvGraphicFramePr>
        <xdr:cNvPr id="4" name="Chart 3">
          <a:extLst>
            <a:ext uri="{FF2B5EF4-FFF2-40B4-BE49-F238E27FC236}">
              <a16:creationId xmlns:a16="http://schemas.microsoft.com/office/drawing/2014/main" id="{466AF02B-B8C9-BECF-F758-EC22D026E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819150</xdr:colOff>
      <xdr:row>1</xdr:row>
      <xdr:rowOff>0</xdr:rowOff>
    </xdr:from>
    <xdr:to>
      <xdr:col>22</xdr:col>
      <xdr:colOff>812800</xdr:colOff>
      <xdr:row>26</xdr:row>
      <xdr:rowOff>0</xdr:rowOff>
    </xdr:to>
    <xdr:graphicFrame macro="">
      <xdr:nvGraphicFramePr>
        <xdr:cNvPr id="5" name="Chart 4">
          <a:extLst>
            <a:ext uri="{FF2B5EF4-FFF2-40B4-BE49-F238E27FC236}">
              <a16:creationId xmlns:a16="http://schemas.microsoft.com/office/drawing/2014/main" id="{4DE1C642-D3BD-C7FC-4F55-05FBF83979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0</xdr:colOff>
      <xdr:row>25</xdr:row>
      <xdr:rowOff>196850</xdr:rowOff>
    </xdr:from>
    <xdr:to>
      <xdr:col>22</xdr:col>
      <xdr:colOff>819150</xdr:colOff>
      <xdr:row>49</xdr:row>
      <xdr:rowOff>190500</xdr:rowOff>
    </xdr:to>
    <xdr:graphicFrame macro="">
      <xdr:nvGraphicFramePr>
        <xdr:cNvPr id="6" name="Chart 5">
          <a:extLst>
            <a:ext uri="{FF2B5EF4-FFF2-40B4-BE49-F238E27FC236}">
              <a16:creationId xmlns:a16="http://schemas.microsoft.com/office/drawing/2014/main" id="{D7756602-5990-0FFA-3FA6-5EA986267C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25</xdr:row>
      <xdr:rowOff>196850</xdr:rowOff>
    </xdr:from>
    <xdr:to>
      <xdr:col>14</xdr:col>
      <xdr:colOff>6350</xdr:colOff>
      <xdr:row>50</xdr:row>
      <xdr:rowOff>0</xdr:rowOff>
    </xdr:to>
    <xdr:graphicFrame macro="">
      <xdr:nvGraphicFramePr>
        <xdr:cNvPr id="8" name="Chart 7">
          <a:extLst>
            <a:ext uri="{FF2B5EF4-FFF2-40B4-BE49-F238E27FC236}">
              <a16:creationId xmlns:a16="http://schemas.microsoft.com/office/drawing/2014/main" id="{8EF26F03-57DA-2036-E8BD-4F38946603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336550</xdr:colOff>
      <xdr:row>51</xdr:row>
      <xdr:rowOff>146050</xdr:rowOff>
    </xdr:from>
    <xdr:to>
      <xdr:col>10</xdr:col>
      <xdr:colOff>781050</xdr:colOff>
      <xdr:row>65</xdr:row>
      <xdr:rowOff>44450</xdr:rowOff>
    </xdr:to>
    <xdr:graphicFrame macro="">
      <xdr:nvGraphicFramePr>
        <xdr:cNvPr id="7" name="Chart 6">
          <a:extLst>
            <a:ext uri="{FF2B5EF4-FFF2-40B4-BE49-F238E27FC236}">
              <a16:creationId xmlns:a16="http://schemas.microsoft.com/office/drawing/2014/main" id="{CCA9B656-DD30-DEB3-1619-578117A043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787400</xdr:colOff>
      <xdr:row>51</xdr:row>
      <xdr:rowOff>133350</xdr:rowOff>
    </xdr:from>
    <xdr:to>
      <xdr:col>16</xdr:col>
      <xdr:colOff>406400</xdr:colOff>
      <xdr:row>65</xdr:row>
      <xdr:rowOff>31750</xdr:rowOff>
    </xdr:to>
    <xdr:graphicFrame macro="">
      <xdr:nvGraphicFramePr>
        <xdr:cNvPr id="9" name="Chart 8">
          <a:extLst>
            <a:ext uri="{FF2B5EF4-FFF2-40B4-BE49-F238E27FC236}">
              <a16:creationId xmlns:a16="http://schemas.microsoft.com/office/drawing/2014/main" id="{E1E6F81C-6D22-473C-E6C8-5A8D6701CC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311150</xdr:colOff>
      <xdr:row>68</xdr:row>
      <xdr:rowOff>6350</xdr:rowOff>
    </xdr:from>
    <xdr:to>
      <xdr:col>10</xdr:col>
      <xdr:colOff>755650</xdr:colOff>
      <xdr:row>81</xdr:row>
      <xdr:rowOff>107950</xdr:rowOff>
    </xdr:to>
    <xdr:graphicFrame macro="">
      <xdr:nvGraphicFramePr>
        <xdr:cNvPr id="10" name="Chart 9">
          <a:extLst>
            <a:ext uri="{FF2B5EF4-FFF2-40B4-BE49-F238E27FC236}">
              <a16:creationId xmlns:a16="http://schemas.microsoft.com/office/drawing/2014/main" id="{C922253E-40B1-FAD9-53FA-F871FA8480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755650</xdr:colOff>
      <xdr:row>68</xdr:row>
      <xdr:rowOff>6350</xdr:rowOff>
    </xdr:from>
    <xdr:to>
      <xdr:col>16</xdr:col>
      <xdr:colOff>374650</xdr:colOff>
      <xdr:row>81</xdr:row>
      <xdr:rowOff>107950</xdr:rowOff>
    </xdr:to>
    <xdr:graphicFrame macro="">
      <xdr:nvGraphicFramePr>
        <xdr:cNvPr id="11" name="Chart 10">
          <a:extLst>
            <a:ext uri="{FF2B5EF4-FFF2-40B4-BE49-F238E27FC236}">
              <a16:creationId xmlns:a16="http://schemas.microsoft.com/office/drawing/2014/main" id="{45E45721-1992-DE0D-5787-606F53A8BA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234950</xdr:colOff>
      <xdr:row>84</xdr:row>
      <xdr:rowOff>196850</xdr:rowOff>
    </xdr:from>
    <xdr:to>
      <xdr:col>10</xdr:col>
      <xdr:colOff>679450</xdr:colOff>
      <xdr:row>98</xdr:row>
      <xdr:rowOff>95250</xdr:rowOff>
    </xdr:to>
    <xdr:graphicFrame macro="">
      <xdr:nvGraphicFramePr>
        <xdr:cNvPr id="13" name="Chart 12">
          <a:extLst>
            <a:ext uri="{FF2B5EF4-FFF2-40B4-BE49-F238E27FC236}">
              <a16:creationId xmlns:a16="http://schemas.microsoft.com/office/drawing/2014/main" id="{2FEF2432-7E68-9F10-CF8F-5752748A89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196850</xdr:colOff>
      <xdr:row>85</xdr:row>
      <xdr:rowOff>19050</xdr:rowOff>
    </xdr:from>
    <xdr:to>
      <xdr:col>16</xdr:col>
      <xdr:colOff>641350</xdr:colOff>
      <xdr:row>98</xdr:row>
      <xdr:rowOff>120650</xdr:rowOff>
    </xdr:to>
    <xdr:graphicFrame macro="">
      <xdr:nvGraphicFramePr>
        <xdr:cNvPr id="14" name="Chart 13">
          <a:extLst>
            <a:ext uri="{FF2B5EF4-FFF2-40B4-BE49-F238E27FC236}">
              <a16:creationId xmlns:a16="http://schemas.microsoft.com/office/drawing/2014/main" id="{8B8B0CBF-8877-007A-9CA6-C30F72DC34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336550</xdr:colOff>
      <xdr:row>0</xdr:row>
      <xdr:rowOff>0</xdr:rowOff>
    </xdr:from>
    <xdr:to>
      <xdr:col>15</xdr:col>
      <xdr:colOff>698500</xdr:colOff>
      <xdr:row>32</xdr:row>
      <xdr:rowOff>139700</xdr:rowOff>
    </xdr:to>
    <xdr:graphicFrame macro="">
      <xdr:nvGraphicFramePr>
        <xdr:cNvPr id="6" name="Chart 5">
          <a:extLst>
            <a:ext uri="{FF2B5EF4-FFF2-40B4-BE49-F238E27FC236}">
              <a16:creationId xmlns:a16="http://schemas.microsoft.com/office/drawing/2014/main" id="{FCDDC1ED-048D-DDEC-8630-B07D329A8D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698500</xdr:colOff>
      <xdr:row>0</xdr:row>
      <xdr:rowOff>0</xdr:rowOff>
    </xdr:from>
    <xdr:to>
      <xdr:col>26</xdr:col>
      <xdr:colOff>234950</xdr:colOff>
      <xdr:row>32</xdr:row>
      <xdr:rowOff>139700</xdr:rowOff>
    </xdr:to>
    <xdr:graphicFrame macro="">
      <xdr:nvGraphicFramePr>
        <xdr:cNvPr id="7" name="Chart 6">
          <a:extLst>
            <a:ext uri="{FF2B5EF4-FFF2-40B4-BE49-F238E27FC236}">
              <a16:creationId xmlns:a16="http://schemas.microsoft.com/office/drawing/2014/main" id="{7F008737-6998-D24F-81BE-A2796AA9C0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336550</xdr:colOff>
      <xdr:row>33</xdr:row>
      <xdr:rowOff>82550</xdr:rowOff>
    </xdr:from>
    <xdr:to>
      <xdr:col>15</xdr:col>
      <xdr:colOff>723900</xdr:colOff>
      <xdr:row>56</xdr:row>
      <xdr:rowOff>0</xdr:rowOff>
    </xdr:to>
    <xdr:graphicFrame macro="">
      <xdr:nvGraphicFramePr>
        <xdr:cNvPr id="2" name="Chart 1">
          <a:extLst>
            <a:ext uri="{FF2B5EF4-FFF2-40B4-BE49-F238E27FC236}">
              <a16:creationId xmlns:a16="http://schemas.microsoft.com/office/drawing/2014/main" id="{F4EA987C-4933-05AD-77D4-AB80CB83D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278280</xdr:colOff>
      <xdr:row>3</xdr:row>
      <xdr:rowOff>2989</xdr:rowOff>
    </xdr:from>
    <xdr:to>
      <xdr:col>5</xdr:col>
      <xdr:colOff>499035</xdr:colOff>
      <xdr:row>36</xdr:row>
      <xdr:rowOff>188259</xdr:rowOff>
    </xdr:to>
    <xdr:graphicFrame macro="">
      <xdr:nvGraphicFramePr>
        <xdr:cNvPr id="3" name="Chart 2">
          <a:extLst>
            <a:ext uri="{FF2B5EF4-FFF2-40B4-BE49-F238E27FC236}">
              <a16:creationId xmlns:a16="http://schemas.microsoft.com/office/drawing/2014/main" id="{5BA9AC50-E746-5E35-B670-AED7CA880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64</xdr:col>
      <xdr:colOff>139700</xdr:colOff>
      <xdr:row>4</xdr:row>
      <xdr:rowOff>50800</xdr:rowOff>
    </xdr:from>
    <xdr:to>
      <xdr:col>65</xdr:col>
      <xdr:colOff>520700</xdr:colOff>
      <xdr:row>5</xdr:row>
      <xdr:rowOff>136652</xdr:rowOff>
    </xdr:to>
    <xdr:sp macro="[0]!ACurves" textlink="">
      <xdr:nvSpPr>
        <xdr:cNvPr id="3" name="Bevel 2">
          <a:extLst>
            <a:ext uri="{FF2B5EF4-FFF2-40B4-BE49-F238E27FC236}">
              <a16:creationId xmlns:a16="http://schemas.microsoft.com/office/drawing/2014/main" id="{BBBD3B9C-09B7-2D5B-F3A9-55D0CB8BEFFA}"/>
            </a:ext>
          </a:extLst>
        </xdr:cNvPr>
        <xdr:cNvSpPr/>
      </xdr:nvSpPr>
      <xdr:spPr>
        <a:xfrm>
          <a:off x="53721000" y="800100"/>
          <a:ext cx="1968500" cy="301752"/>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Run</a:t>
          </a:r>
          <a:r>
            <a:rPr lang="en-GB" sz="1100" b="1" baseline="0"/>
            <a:t> Acceptibility Curves</a:t>
          </a:r>
          <a:endParaRPr lang="en-GB" sz="1100" b="1"/>
        </a:p>
      </xdr:txBody>
    </xdr:sp>
    <xdr:clientData/>
  </xdr:twoCellAnchor>
  <xdr:twoCellAnchor>
    <xdr:from>
      <xdr:col>72</xdr:col>
      <xdr:colOff>622300</xdr:colOff>
      <xdr:row>4</xdr:row>
      <xdr:rowOff>50800</xdr:rowOff>
    </xdr:from>
    <xdr:to>
      <xdr:col>73</xdr:col>
      <xdr:colOff>1168400</xdr:colOff>
      <xdr:row>5</xdr:row>
      <xdr:rowOff>136652</xdr:rowOff>
    </xdr:to>
    <xdr:sp macro="[0]!Population_EVPI" textlink="">
      <xdr:nvSpPr>
        <xdr:cNvPr id="2" name="Bevel 1">
          <a:extLst>
            <a:ext uri="{FF2B5EF4-FFF2-40B4-BE49-F238E27FC236}">
              <a16:creationId xmlns:a16="http://schemas.microsoft.com/office/drawing/2014/main" id="{7DCD8211-1FD5-584E-8F63-3675CDB043F2}"/>
            </a:ext>
          </a:extLst>
        </xdr:cNvPr>
        <xdr:cNvSpPr/>
      </xdr:nvSpPr>
      <xdr:spPr>
        <a:xfrm>
          <a:off x="63004700" y="800100"/>
          <a:ext cx="1968500" cy="301752"/>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Run</a:t>
          </a:r>
          <a:r>
            <a:rPr lang="en-GB" sz="1100" b="1" baseline="0"/>
            <a:t> Population EPVI</a:t>
          </a:r>
          <a:endParaRPr lang="en-GB" sz="1100" b="1"/>
        </a:p>
      </xdr:txBody>
    </xdr:sp>
    <xdr:clientData/>
  </xdr:twoCellAnchor>
  <xdr:twoCellAnchor>
    <xdr:from>
      <xdr:col>79</xdr:col>
      <xdr:colOff>241300</xdr:colOff>
      <xdr:row>4</xdr:row>
      <xdr:rowOff>50800</xdr:rowOff>
    </xdr:from>
    <xdr:to>
      <xdr:col>80</xdr:col>
      <xdr:colOff>1358900</xdr:colOff>
      <xdr:row>5</xdr:row>
      <xdr:rowOff>136652</xdr:rowOff>
    </xdr:to>
    <xdr:sp macro="[0]!Partial_EVPI_mother" textlink="">
      <xdr:nvSpPr>
        <xdr:cNvPr id="5" name="Bevel 4">
          <a:extLst>
            <a:ext uri="{FF2B5EF4-FFF2-40B4-BE49-F238E27FC236}">
              <a16:creationId xmlns:a16="http://schemas.microsoft.com/office/drawing/2014/main" id="{DC92F322-43EB-F24F-852F-D7F60AB4DABD}"/>
            </a:ext>
          </a:extLst>
        </xdr:cNvPr>
        <xdr:cNvSpPr/>
      </xdr:nvSpPr>
      <xdr:spPr>
        <a:xfrm>
          <a:off x="69964300" y="800100"/>
          <a:ext cx="1968500" cy="301752"/>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Run</a:t>
          </a:r>
          <a:r>
            <a:rPr lang="en-GB" sz="1100" b="1" baseline="0"/>
            <a:t> Mother Partial EVPI</a:t>
          </a:r>
          <a:endParaRPr lang="en-GB" sz="1100" b="1"/>
        </a:p>
      </xdr:txBody>
    </xdr:sp>
    <xdr:clientData/>
  </xdr:twoCellAnchor>
  <xdr:twoCellAnchor>
    <xdr:from>
      <xdr:col>4</xdr:col>
      <xdr:colOff>190498</xdr:colOff>
      <xdr:row>0</xdr:row>
      <xdr:rowOff>202404</xdr:rowOff>
    </xdr:from>
    <xdr:to>
      <xdr:col>8</xdr:col>
      <xdr:colOff>809624</xdr:colOff>
      <xdr:row>2</xdr:row>
      <xdr:rowOff>202404</xdr:rowOff>
    </xdr:to>
    <xdr:sp macro="[0]!Macro1" textlink="">
      <xdr:nvSpPr>
        <xdr:cNvPr id="4" name="Rectangle: Beveled 3">
          <a:extLst>
            <a:ext uri="{FF2B5EF4-FFF2-40B4-BE49-F238E27FC236}">
              <a16:creationId xmlns:a16="http://schemas.microsoft.com/office/drawing/2014/main" id="{54F46BDB-B556-D432-677B-C2C8FDF25CF7}"/>
            </a:ext>
          </a:extLst>
        </xdr:cNvPr>
        <xdr:cNvSpPr/>
      </xdr:nvSpPr>
      <xdr:spPr>
        <a:xfrm>
          <a:off x="2809873" y="202404"/>
          <a:ext cx="4000501" cy="309563"/>
        </a:xfrm>
        <a:prstGeom prst="bevel">
          <a:avLst/>
        </a:prstGeom>
        <a:solidFill>
          <a:srgbClr val="FF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Run Uncertainty</a:t>
          </a:r>
          <a:r>
            <a:rPr lang="en-US" sz="1100" b="1" baseline="0"/>
            <a:t> and Evaluation of Perfect Information Analysis</a:t>
          </a:r>
          <a:endParaRPr lang="en-US" sz="1100" b="1"/>
        </a:p>
      </xdr:txBody>
    </xdr:sp>
    <xdr:clientData/>
  </xdr:twoCellAnchor>
  <xdr:twoCellAnchor>
    <xdr:from>
      <xdr:col>9</xdr:col>
      <xdr:colOff>479777</xdr:colOff>
      <xdr:row>1</xdr:row>
      <xdr:rowOff>2</xdr:rowOff>
    </xdr:from>
    <xdr:to>
      <xdr:col>10</xdr:col>
      <xdr:colOff>804332</xdr:colOff>
      <xdr:row>2</xdr:row>
      <xdr:rowOff>197558</xdr:rowOff>
    </xdr:to>
    <xdr:sp macro="[0]!Simulation" textlink="">
      <xdr:nvSpPr>
        <xdr:cNvPr id="11" name="Bevel 10">
          <a:extLst>
            <a:ext uri="{FF2B5EF4-FFF2-40B4-BE49-F238E27FC236}">
              <a16:creationId xmlns:a16="http://schemas.microsoft.com/office/drawing/2014/main" id="{39DCD46F-2609-038F-8769-23CD15A2F115}"/>
            </a:ext>
          </a:extLst>
        </xdr:cNvPr>
        <xdr:cNvSpPr/>
      </xdr:nvSpPr>
      <xdr:spPr>
        <a:xfrm>
          <a:off x="7351888" y="211669"/>
          <a:ext cx="1171222" cy="29633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Run Simulation</a:t>
          </a:r>
        </a:p>
      </xdr:txBody>
    </xdr:sp>
    <xdr:clientData/>
  </xdr:twoCellAnchor>
</xdr:wsDr>
</file>

<file path=xl/drawings/drawing11.xml><?xml version="1.0" encoding="utf-8"?>
<xdr:wsDr xmlns:xdr="http://schemas.openxmlformats.org/drawingml/2006/spreadsheetDrawing" xmlns:a="http://schemas.openxmlformats.org/drawingml/2006/main">
  <xdr:absoluteAnchor>
    <xdr:pos x="0" y="0"/>
    <xdr:ext cx="9291735" cy="6064898"/>
    <xdr:graphicFrame macro="">
      <xdr:nvGraphicFramePr>
        <xdr:cNvPr id="2" name="Chart 1">
          <a:extLst>
            <a:ext uri="{FF2B5EF4-FFF2-40B4-BE49-F238E27FC236}">
              <a16:creationId xmlns:a16="http://schemas.microsoft.com/office/drawing/2014/main" id="{3AE8F5D8-8D1F-C084-CD12-34C46C47E1C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0.03555</cdr:x>
      <cdr:y>0.45599</cdr:y>
    </cdr:from>
    <cdr:to>
      <cdr:x>0.97248</cdr:x>
      <cdr:y>0.5669</cdr:y>
    </cdr:to>
    <cdr:cxnSp macro="">
      <cdr:nvCxnSpPr>
        <cdr:cNvPr id="5" name="Straight Connector 4">
          <a:extLst xmlns:a="http://schemas.openxmlformats.org/drawingml/2006/main">
            <a:ext uri="{FF2B5EF4-FFF2-40B4-BE49-F238E27FC236}">
              <a16:creationId xmlns:a16="http://schemas.microsoft.com/office/drawing/2014/main" id="{B4398CC9-7406-6F97-6EAD-3D15BC8788DB}"/>
            </a:ext>
          </a:extLst>
        </cdr:cNvPr>
        <cdr:cNvCxnSpPr/>
      </cdr:nvCxnSpPr>
      <cdr:spPr>
        <a:xfrm xmlns:a="http://schemas.openxmlformats.org/drawingml/2006/main" flipV="1">
          <a:off x="330840" y="2764118"/>
          <a:ext cx="8719244" cy="672353"/>
        </a:xfrm>
        <a:prstGeom xmlns:a="http://schemas.openxmlformats.org/drawingml/2006/main" prst="line">
          <a:avLst/>
        </a:prstGeom>
        <a:ln xmlns:a="http://schemas.openxmlformats.org/drawingml/2006/main">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0.49803</cdr:x>
      <cdr:y>0.50101</cdr:y>
    </cdr:from>
    <cdr:to>
      <cdr:x>0.51245</cdr:x>
      <cdr:y>0.52113</cdr:y>
    </cdr:to>
    <cdr:sp macro="" textlink="">
      <cdr:nvSpPr>
        <cdr:cNvPr id="2" name="Oval 1">
          <a:extLst xmlns:a="http://schemas.openxmlformats.org/drawingml/2006/main">
            <a:ext uri="{FF2B5EF4-FFF2-40B4-BE49-F238E27FC236}">
              <a16:creationId xmlns:a16="http://schemas.microsoft.com/office/drawing/2014/main" id="{A64CD48D-4E4E-2B7C-C9AF-03D0667EA02A}"/>
            </a:ext>
          </a:extLst>
        </cdr:cNvPr>
        <cdr:cNvSpPr/>
      </cdr:nvSpPr>
      <cdr:spPr>
        <a:xfrm xmlns:a="http://schemas.openxmlformats.org/drawingml/2006/main">
          <a:off x="4640385" y="3040673"/>
          <a:ext cx="134327" cy="122115"/>
        </a:xfrm>
        <a:prstGeom xmlns:a="http://schemas.openxmlformats.org/drawingml/2006/main" prst="ellipse">
          <a:avLst/>
        </a:prstGeom>
        <a:solidFill xmlns:a="http://schemas.openxmlformats.org/drawingml/2006/main">
          <a:schemeClr val="accent2"/>
        </a:solidFill>
        <a:ln xmlns:a="http://schemas.openxmlformats.org/drawingml/2006/main">
          <a:solidFill>
            <a:schemeClr val="accent2"/>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0.49607</cdr:x>
      <cdr:y>0.44919</cdr:y>
    </cdr:from>
    <cdr:to>
      <cdr:x>0.59436</cdr:x>
      <cdr:y>0.49748</cdr:y>
    </cdr:to>
    <cdr:sp macro="" textlink="">
      <cdr:nvSpPr>
        <cdr:cNvPr id="3" name="TextBox 2">
          <a:extLst xmlns:a="http://schemas.openxmlformats.org/drawingml/2006/main">
            <a:ext uri="{FF2B5EF4-FFF2-40B4-BE49-F238E27FC236}">
              <a16:creationId xmlns:a16="http://schemas.microsoft.com/office/drawing/2014/main" id="{8A82D560-FE90-B09E-356B-6070B0BD8FCB}"/>
            </a:ext>
          </a:extLst>
        </cdr:cNvPr>
        <cdr:cNvSpPr txBox="1"/>
      </cdr:nvSpPr>
      <cdr:spPr>
        <a:xfrm xmlns:a="http://schemas.openxmlformats.org/drawingml/2006/main">
          <a:off x="4616562" y="2722948"/>
          <a:ext cx="914708" cy="2927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a:solidFill>
                <a:srgbClr val="FF0000"/>
              </a:solidFill>
            </a:rPr>
            <a:t>Comparator</a:t>
          </a:r>
        </a:p>
      </cdr:txBody>
    </cdr:sp>
  </cdr:relSizeAnchor>
  <cdr:relSizeAnchor xmlns:cdr="http://schemas.openxmlformats.org/drawingml/2006/chartDrawing">
    <cdr:from>
      <cdr:x>0.77998</cdr:x>
      <cdr:y>0.29754</cdr:y>
    </cdr:from>
    <cdr:to>
      <cdr:x>0.95429</cdr:x>
      <cdr:y>0.37802</cdr:y>
    </cdr:to>
    <cdr:sp macro="" textlink="">
      <cdr:nvSpPr>
        <cdr:cNvPr id="12" name="TextBox 11">
          <a:extLst xmlns:a="http://schemas.openxmlformats.org/drawingml/2006/main">
            <a:ext uri="{FF2B5EF4-FFF2-40B4-BE49-F238E27FC236}">
              <a16:creationId xmlns:a16="http://schemas.microsoft.com/office/drawing/2014/main" id="{9C62DCE3-4A2E-7516-2A31-AF982C822309}"/>
            </a:ext>
          </a:extLst>
        </cdr:cNvPr>
        <cdr:cNvSpPr txBox="1"/>
      </cdr:nvSpPr>
      <cdr:spPr>
        <a:xfrm xmlns:a="http://schemas.openxmlformats.org/drawingml/2006/main">
          <a:off x="7258694" y="1803615"/>
          <a:ext cx="1622167" cy="48785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a:solidFill>
                <a:srgbClr val="FF0000"/>
              </a:solidFill>
            </a:rPr>
            <a:t>Threshold </a:t>
          </a:r>
        </a:p>
        <a:p xmlns:a="http://schemas.openxmlformats.org/drawingml/2006/main">
          <a:r>
            <a:rPr lang="en-GB" sz="1100">
              <a:solidFill>
                <a:srgbClr val="FF0000"/>
              </a:solidFill>
            </a:rPr>
            <a:t>= 160000 THB per QALY</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657545" cy="6284799"/>
    <xdr:graphicFrame macro="">
      <xdr:nvGraphicFramePr>
        <xdr:cNvPr id="2" name="Chart 1">
          <a:extLst>
            <a:ext uri="{FF2B5EF4-FFF2-40B4-BE49-F238E27FC236}">
              <a16:creationId xmlns:a16="http://schemas.microsoft.com/office/drawing/2014/main" id="{BAE630AA-3FDB-3B56-9336-3E3BB85B88A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54143" cy="6272893"/>
    <xdr:graphicFrame macro="">
      <xdr:nvGraphicFramePr>
        <xdr:cNvPr id="2" name="Chart 1">
          <a:extLst>
            <a:ext uri="{FF2B5EF4-FFF2-40B4-BE49-F238E27FC236}">
              <a16:creationId xmlns:a16="http://schemas.microsoft.com/office/drawing/2014/main" id="{31C6EF4A-B783-DF80-5CBC-771175CFB9B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0.78326</cdr:x>
      <cdr:y>0.00924</cdr:y>
    </cdr:from>
    <cdr:to>
      <cdr:x>0.78331</cdr:x>
      <cdr:y>0.8662</cdr:y>
    </cdr:to>
    <cdr:cxnSp macro="">
      <cdr:nvCxnSpPr>
        <cdr:cNvPr id="3" name="Straight Connector 2">
          <a:extLst xmlns:a="http://schemas.openxmlformats.org/drawingml/2006/main">
            <a:ext uri="{FF2B5EF4-FFF2-40B4-BE49-F238E27FC236}">
              <a16:creationId xmlns:a16="http://schemas.microsoft.com/office/drawing/2014/main" id="{2061EBA4-EE41-6768-4C6D-A51DD207CC5F}"/>
            </a:ext>
          </a:extLst>
        </cdr:cNvPr>
        <cdr:cNvCxnSpPr/>
      </cdr:nvCxnSpPr>
      <cdr:spPr>
        <a:xfrm xmlns:a="http://schemas.openxmlformats.org/drawingml/2006/main" flipV="1">
          <a:off x="7289160" y="56016"/>
          <a:ext cx="503" cy="5194740"/>
        </a:xfrm>
        <a:prstGeom xmlns:a="http://schemas.openxmlformats.org/drawingml/2006/main" prst="line">
          <a:avLst/>
        </a:prstGeom>
        <a:ln xmlns:a="http://schemas.openxmlformats.org/drawingml/2006/main">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0.71216</cdr:x>
      <cdr:y>0.89375</cdr:y>
    </cdr:from>
    <cdr:to>
      <cdr:x>0.86468</cdr:x>
      <cdr:y>0.97887</cdr:y>
    </cdr:to>
    <cdr:sp macro="" textlink="">
      <cdr:nvSpPr>
        <cdr:cNvPr id="4" name="TextBox 3">
          <a:extLst xmlns:a="http://schemas.openxmlformats.org/drawingml/2006/main">
            <a:ext uri="{FF2B5EF4-FFF2-40B4-BE49-F238E27FC236}">
              <a16:creationId xmlns:a16="http://schemas.microsoft.com/office/drawing/2014/main" id="{5C63A462-4AE5-5A5D-63C0-9AFA468DE3AA}"/>
            </a:ext>
          </a:extLst>
        </cdr:cNvPr>
        <cdr:cNvSpPr txBox="1"/>
      </cdr:nvSpPr>
      <cdr:spPr>
        <a:xfrm xmlns:a="http://schemas.openxmlformats.org/drawingml/2006/main">
          <a:off x="6627479" y="5417802"/>
          <a:ext cx="1419411" cy="51598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r>
            <a:rPr lang="en-GB" sz="1000">
              <a:solidFill>
                <a:srgbClr val="FF0000"/>
              </a:solidFill>
            </a:rPr>
            <a:t>Cost-effectivness</a:t>
          </a:r>
          <a:r>
            <a:rPr lang="en-GB" sz="1000" baseline="0">
              <a:solidFill>
                <a:srgbClr val="FF0000"/>
              </a:solidFill>
            </a:rPr>
            <a:t> threshold = 160,00 THB</a:t>
          </a:r>
          <a:endParaRPr lang="en-GB" sz="1000">
            <a:solidFill>
              <a:srgbClr val="FF0000"/>
            </a:solidFill>
          </a:endParaRP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73353" cy="6297706"/>
    <xdr:graphicFrame macro="">
      <xdr:nvGraphicFramePr>
        <xdr:cNvPr id="2" name="Chart 1">
          <a:extLst>
            <a:ext uri="{FF2B5EF4-FFF2-40B4-BE49-F238E27FC236}">
              <a16:creationId xmlns:a16="http://schemas.microsoft.com/office/drawing/2014/main" id="{967C1293-1067-379E-23F1-4F0D5612833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8657545" cy="6284799"/>
    <xdr:graphicFrame macro="">
      <xdr:nvGraphicFramePr>
        <xdr:cNvPr id="2" name="Chart 1">
          <a:extLst>
            <a:ext uri="{FF2B5EF4-FFF2-40B4-BE49-F238E27FC236}">
              <a16:creationId xmlns:a16="http://schemas.microsoft.com/office/drawing/2014/main" id="{FF61449A-8A5B-63FB-635D-703CC334CD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twoCellAnchor>
    <xdr:from>
      <xdr:col>32</xdr:col>
      <xdr:colOff>645583</xdr:colOff>
      <xdr:row>10</xdr:row>
      <xdr:rowOff>10583</xdr:rowOff>
    </xdr:from>
    <xdr:to>
      <xdr:col>32</xdr:col>
      <xdr:colOff>645583</xdr:colOff>
      <xdr:row>11</xdr:row>
      <xdr:rowOff>10584</xdr:rowOff>
    </xdr:to>
    <xdr:cxnSp macro="">
      <xdr:nvCxnSpPr>
        <xdr:cNvPr id="12" name="Straight Connector 11">
          <a:extLst>
            <a:ext uri="{FF2B5EF4-FFF2-40B4-BE49-F238E27FC236}">
              <a16:creationId xmlns:a16="http://schemas.microsoft.com/office/drawing/2014/main" id="{449F9E11-6791-2171-C259-C6A604C22C36}"/>
            </a:ext>
          </a:extLst>
        </xdr:cNvPr>
        <xdr:cNvCxnSpPr/>
      </xdr:nvCxnSpPr>
      <xdr:spPr>
        <a:xfrm>
          <a:off x="32935333" y="2095500"/>
          <a:ext cx="0" cy="211667"/>
        </a:xfrm>
        <a:prstGeom prst="line">
          <a:avLst/>
        </a:prstGeom>
        <a:ln w="2857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645583</xdr:colOff>
      <xdr:row>11</xdr:row>
      <xdr:rowOff>21167</xdr:rowOff>
    </xdr:from>
    <xdr:to>
      <xdr:col>34</xdr:col>
      <xdr:colOff>127000</xdr:colOff>
      <xdr:row>12</xdr:row>
      <xdr:rowOff>95250</xdr:rowOff>
    </xdr:to>
    <xdr:cxnSp macro="">
      <xdr:nvCxnSpPr>
        <xdr:cNvPr id="14" name="Elbow Connector 13">
          <a:extLst>
            <a:ext uri="{FF2B5EF4-FFF2-40B4-BE49-F238E27FC236}">
              <a16:creationId xmlns:a16="http://schemas.microsoft.com/office/drawing/2014/main" id="{85567B25-DD20-61A8-34C6-B8A11DFA0DF4}"/>
            </a:ext>
          </a:extLst>
        </xdr:cNvPr>
        <xdr:cNvCxnSpPr/>
      </xdr:nvCxnSpPr>
      <xdr:spPr>
        <a:xfrm>
          <a:off x="32935333" y="2317750"/>
          <a:ext cx="1651000" cy="285750"/>
        </a:xfrm>
        <a:prstGeom prst="bentConnector3">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12701</xdr:colOff>
      <xdr:row>11</xdr:row>
      <xdr:rowOff>25398</xdr:rowOff>
    </xdr:from>
    <xdr:to>
      <xdr:col>32</xdr:col>
      <xdr:colOff>649818</xdr:colOff>
      <xdr:row>12</xdr:row>
      <xdr:rowOff>114299</xdr:rowOff>
    </xdr:to>
    <xdr:cxnSp macro="">
      <xdr:nvCxnSpPr>
        <xdr:cNvPr id="15" name="Elbow Connector 14">
          <a:extLst>
            <a:ext uri="{FF2B5EF4-FFF2-40B4-BE49-F238E27FC236}">
              <a16:creationId xmlns:a16="http://schemas.microsoft.com/office/drawing/2014/main" id="{D250A519-CE7F-9742-ACEF-7086A46F62E1}"/>
            </a:ext>
          </a:extLst>
        </xdr:cNvPr>
        <xdr:cNvCxnSpPr/>
      </xdr:nvCxnSpPr>
      <xdr:spPr>
        <a:xfrm rot="10800000" flipV="1">
          <a:off x="30645101" y="2362198"/>
          <a:ext cx="1602317" cy="304801"/>
        </a:xfrm>
        <a:prstGeom prst="bentConnector3">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402166</xdr:colOff>
      <xdr:row>13</xdr:row>
      <xdr:rowOff>0</xdr:rowOff>
    </xdr:from>
    <xdr:to>
      <xdr:col>28</xdr:col>
      <xdr:colOff>402166</xdr:colOff>
      <xdr:row>14</xdr:row>
      <xdr:rowOff>190501</xdr:rowOff>
    </xdr:to>
    <xdr:cxnSp macro="">
      <xdr:nvCxnSpPr>
        <xdr:cNvPr id="18" name="Straight Arrow Connector 17">
          <a:extLst>
            <a:ext uri="{FF2B5EF4-FFF2-40B4-BE49-F238E27FC236}">
              <a16:creationId xmlns:a16="http://schemas.microsoft.com/office/drawing/2014/main" id="{0DD48525-EBB8-B235-1B0C-D56C1C0CE1E5}"/>
            </a:ext>
          </a:extLst>
        </xdr:cNvPr>
        <xdr:cNvCxnSpPr/>
      </xdr:nvCxnSpPr>
      <xdr:spPr>
        <a:xfrm>
          <a:off x="30077833" y="2719917"/>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406399</xdr:colOff>
      <xdr:row>18</xdr:row>
      <xdr:rowOff>25399</xdr:rowOff>
    </xdr:from>
    <xdr:to>
      <xdr:col>28</xdr:col>
      <xdr:colOff>406399</xdr:colOff>
      <xdr:row>19</xdr:row>
      <xdr:rowOff>205317</xdr:rowOff>
    </xdr:to>
    <xdr:cxnSp macro="">
      <xdr:nvCxnSpPr>
        <xdr:cNvPr id="19" name="Straight Arrow Connector 18">
          <a:extLst>
            <a:ext uri="{FF2B5EF4-FFF2-40B4-BE49-F238E27FC236}">
              <a16:creationId xmlns:a16="http://schemas.microsoft.com/office/drawing/2014/main" id="{EA34B832-8665-454C-B69F-3C9291AB414A}"/>
            </a:ext>
          </a:extLst>
        </xdr:cNvPr>
        <xdr:cNvCxnSpPr/>
      </xdr:nvCxnSpPr>
      <xdr:spPr>
        <a:xfrm>
          <a:off x="30082066" y="3793066"/>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400049</xdr:colOff>
      <xdr:row>21</xdr:row>
      <xdr:rowOff>19050</xdr:rowOff>
    </xdr:from>
    <xdr:to>
      <xdr:col>28</xdr:col>
      <xdr:colOff>400049</xdr:colOff>
      <xdr:row>22</xdr:row>
      <xdr:rowOff>198968</xdr:rowOff>
    </xdr:to>
    <xdr:cxnSp macro="">
      <xdr:nvCxnSpPr>
        <xdr:cNvPr id="20" name="Straight Arrow Connector 19">
          <a:extLst>
            <a:ext uri="{FF2B5EF4-FFF2-40B4-BE49-F238E27FC236}">
              <a16:creationId xmlns:a16="http://schemas.microsoft.com/office/drawing/2014/main" id="{460C197C-FC40-D348-B17F-02CDA831928D}"/>
            </a:ext>
          </a:extLst>
        </xdr:cNvPr>
        <xdr:cNvCxnSpPr/>
      </xdr:nvCxnSpPr>
      <xdr:spPr>
        <a:xfrm>
          <a:off x="30075716" y="4421717"/>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404283</xdr:colOff>
      <xdr:row>27</xdr:row>
      <xdr:rowOff>23283</xdr:rowOff>
    </xdr:from>
    <xdr:to>
      <xdr:col>28</xdr:col>
      <xdr:colOff>404283</xdr:colOff>
      <xdr:row>29</xdr:row>
      <xdr:rowOff>2117</xdr:rowOff>
    </xdr:to>
    <xdr:cxnSp macro="">
      <xdr:nvCxnSpPr>
        <xdr:cNvPr id="21" name="Straight Arrow Connector 20">
          <a:extLst>
            <a:ext uri="{FF2B5EF4-FFF2-40B4-BE49-F238E27FC236}">
              <a16:creationId xmlns:a16="http://schemas.microsoft.com/office/drawing/2014/main" id="{E06EBD66-A9A9-FB4B-B5FC-683FC9EB8ACA}"/>
            </a:ext>
          </a:extLst>
        </xdr:cNvPr>
        <xdr:cNvCxnSpPr/>
      </xdr:nvCxnSpPr>
      <xdr:spPr>
        <a:xfrm>
          <a:off x="30079950" y="5685366"/>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397933</xdr:colOff>
      <xdr:row>30</xdr:row>
      <xdr:rowOff>16934</xdr:rowOff>
    </xdr:from>
    <xdr:to>
      <xdr:col>28</xdr:col>
      <xdr:colOff>397933</xdr:colOff>
      <xdr:row>31</xdr:row>
      <xdr:rowOff>207435</xdr:rowOff>
    </xdr:to>
    <xdr:cxnSp macro="">
      <xdr:nvCxnSpPr>
        <xdr:cNvPr id="22" name="Straight Arrow Connector 21">
          <a:extLst>
            <a:ext uri="{FF2B5EF4-FFF2-40B4-BE49-F238E27FC236}">
              <a16:creationId xmlns:a16="http://schemas.microsoft.com/office/drawing/2014/main" id="{89A15405-7943-B247-8626-3D72F9431E8E}"/>
            </a:ext>
          </a:extLst>
        </xdr:cNvPr>
        <xdr:cNvCxnSpPr/>
      </xdr:nvCxnSpPr>
      <xdr:spPr>
        <a:xfrm>
          <a:off x="30073600" y="6303434"/>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402165</xdr:colOff>
      <xdr:row>37</xdr:row>
      <xdr:rowOff>21166</xdr:rowOff>
    </xdr:from>
    <xdr:to>
      <xdr:col>28</xdr:col>
      <xdr:colOff>402165</xdr:colOff>
      <xdr:row>39</xdr:row>
      <xdr:rowOff>0</xdr:rowOff>
    </xdr:to>
    <xdr:cxnSp macro="">
      <xdr:nvCxnSpPr>
        <xdr:cNvPr id="23" name="Straight Arrow Connector 22">
          <a:extLst>
            <a:ext uri="{FF2B5EF4-FFF2-40B4-BE49-F238E27FC236}">
              <a16:creationId xmlns:a16="http://schemas.microsoft.com/office/drawing/2014/main" id="{E5FDB947-CB18-5448-BF0B-D7BB949F3803}"/>
            </a:ext>
          </a:extLst>
        </xdr:cNvPr>
        <xdr:cNvCxnSpPr/>
      </xdr:nvCxnSpPr>
      <xdr:spPr>
        <a:xfrm>
          <a:off x="30077832" y="7746999"/>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406400</xdr:colOff>
      <xdr:row>40</xdr:row>
      <xdr:rowOff>25400</xdr:rowOff>
    </xdr:from>
    <xdr:to>
      <xdr:col>28</xdr:col>
      <xdr:colOff>406400</xdr:colOff>
      <xdr:row>42</xdr:row>
      <xdr:rowOff>4234</xdr:rowOff>
    </xdr:to>
    <xdr:cxnSp macro="">
      <xdr:nvCxnSpPr>
        <xdr:cNvPr id="24" name="Straight Arrow Connector 23">
          <a:extLst>
            <a:ext uri="{FF2B5EF4-FFF2-40B4-BE49-F238E27FC236}">
              <a16:creationId xmlns:a16="http://schemas.microsoft.com/office/drawing/2014/main" id="{BA5B8FF9-D449-3143-B425-F00B2CF48D7F}"/>
            </a:ext>
          </a:extLst>
        </xdr:cNvPr>
        <xdr:cNvCxnSpPr/>
      </xdr:nvCxnSpPr>
      <xdr:spPr>
        <a:xfrm>
          <a:off x="30082067" y="8375650"/>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400049</xdr:colOff>
      <xdr:row>48</xdr:row>
      <xdr:rowOff>19049</xdr:rowOff>
    </xdr:from>
    <xdr:to>
      <xdr:col>28</xdr:col>
      <xdr:colOff>400049</xdr:colOff>
      <xdr:row>49</xdr:row>
      <xdr:rowOff>209550</xdr:rowOff>
    </xdr:to>
    <xdr:cxnSp macro="">
      <xdr:nvCxnSpPr>
        <xdr:cNvPr id="25" name="Straight Arrow Connector 24">
          <a:extLst>
            <a:ext uri="{FF2B5EF4-FFF2-40B4-BE49-F238E27FC236}">
              <a16:creationId xmlns:a16="http://schemas.microsoft.com/office/drawing/2014/main" id="{8B911CA6-D026-8146-9E51-563ACD415D2C}"/>
            </a:ext>
          </a:extLst>
        </xdr:cNvPr>
        <xdr:cNvCxnSpPr/>
      </xdr:nvCxnSpPr>
      <xdr:spPr>
        <a:xfrm>
          <a:off x="30075716" y="10009716"/>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404283</xdr:colOff>
      <xdr:row>51</xdr:row>
      <xdr:rowOff>12700</xdr:rowOff>
    </xdr:from>
    <xdr:to>
      <xdr:col>28</xdr:col>
      <xdr:colOff>404283</xdr:colOff>
      <xdr:row>52</xdr:row>
      <xdr:rowOff>203200</xdr:rowOff>
    </xdr:to>
    <xdr:cxnSp macro="">
      <xdr:nvCxnSpPr>
        <xdr:cNvPr id="26" name="Straight Arrow Connector 25">
          <a:extLst>
            <a:ext uri="{FF2B5EF4-FFF2-40B4-BE49-F238E27FC236}">
              <a16:creationId xmlns:a16="http://schemas.microsoft.com/office/drawing/2014/main" id="{F7CA88D4-5449-364C-868C-41607FDEDFAA}"/>
            </a:ext>
          </a:extLst>
        </xdr:cNvPr>
        <xdr:cNvCxnSpPr/>
      </xdr:nvCxnSpPr>
      <xdr:spPr>
        <a:xfrm>
          <a:off x="30079950" y="10627783"/>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416982</xdr:colOff>
      <xdr:row>12</xdr:row>
      <xdr:rowOff>205317</xdr:rowOff>
    </xdr:from>
    <xdr:to>
      <xdr:col>36</xdr:col>
      <xdr:colOff>416982</xdr:colOff>
      <xdr:row>14</xdr:row>
      <xdr:rowOff>184151</xdr:rowOff>
    </xdr:to>
    <xdr:cxnSp macro="">
      <xdr:nvCxnSpPr>
        <xdr:cNvPr id="30" name="Straight Arrow Connector 29">
          <a:extLst>
            <a:ext uri="{FF2B5EF4-FFF2-40B4-BE49-F238E27FC236}">
              <a16:creationId xmlns:a16="http://schemas.microsoft.com/office/drawing/2014/main" id="{6B6375B5-44A3-C04F-8725-53E1CC6B1D44}"/>
            </a:ext>
          </a:extLst>
        </xdr:cNvPr>
        <xdr:cNvCxnSpPr/>
      </xdr:nvCxnSpPr>
      <xdr:spPr>
        <a:xfrm>
          <a:off x="35839399" y="2713567"/>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421215</xdr:colOff>
      <xdr:row>18</xdr:row>
      <xdr:rowOff>19049</xdr:rowOff>
    </xdr:from>
    <xdr:to>
      <xdr:col>36</xdr:col>
      <xdr:colOff>421215</xdr:colOff>
      <xdr:row>19</xdr:row>
      <xdr:rowOff>198967</xdr:rowOff>
    </xdr:to>
    <xdr:cxnSp macro="">
      <xdr:nvCxnSpPr>
        <xdr:cNvPr id="31" name="Straight Arrow Connector 30">
          <a:extLst>
            <a:ext uri="{FF2B5EF4-FFF2-40B4-BE49-F238E27FC236}">
              <a16:creationId xmlns:a16="http://schemas.microsoft.com/office/drawing/2014/main" id="{8B350D6C-A7E9-BE40-8AD6-21C62C9E046F}"/>
            </a:ext>
          </a:extLst>
        </xdr:cNvPr>
        <xdr:cNvCxnSpPr/>
      </xdr:nvCxnSpPr>
      <xdr:spPr>
        <a:xfrm>
          <a:off x="35843632" y="3786716"/>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414865</xdr:colOff>
      <xdr:row>21</xdr:row>
      <xdr:rowOff>12700</xdr:rowOff>
    </xdr:from>
    <xdr:to>
      <xdr:col>36</xdr:col>
      <xdr:colOff>414865</xdr:colOff>
      <xdr:row>22</xdr:row>
      <xdr:rowOff>192618</xdr:rowOff>
    </xdr:to>
    <xdr:cxnSp macro="">
      <xdr:nvCxnSpPr>
        <xdr:cNvPr id="32" name="Straight Arrow Connector 31">
          <a:extLst>
            <a:ext uri="{FF2B5EF4-FFF2-40B4-BE49-F238E27FC236}">
              <a16:creationId xmlns:a16="http://schemas.microsoft.com/office/drawing/2014/main" id="{3B7894FD-35D4-2140-AF77-4927E5DBD259}"/>
            </a:ext>
          </a:extLst>
        </xdr:cNvPr>
        <xdr:cNvCxnSpPr/>
      </xdr:nvCxnSpPr>
      <xdr:spPr>
        <a:xfrm>
          <a:off x="35837282" y="4415367"/>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419099</xdr:colOff>
      <xdr:row>27</xdr:row>
      <xdr:rowOff>16933</xdr:rowOff>
    </xdr:from>
    <xdr:to>
      <xdr:col>36</xdr:col>
      <xdr:colOff>419099</xdr:colOff>
      <xdr:row>28</xdr:row>
      <xdr:rowOff>207433</xdr:rowOff>
    </xdr:to>
    <xdr:cxnSp macro="">
      <xdr:nvCxnSpPr>
        <xdr:cNvPr id="33" name="Straight Arrow Connector 32">
          <a:extLst>
            <a:ext uri="{FF2B5EF4-FFF2-40B4-BE49-F238E27FC236}">
              <a16:creationId xmlns:a16="http://schemas.microsoft.com/office/drawing/2014/main" id="{CE32D409-E3F6-FF43-BAB7-2F86F9771D49}"/>
            </a:ext>
          </a:extLst>
        </xdr:cNvPr>
        <xdr:cNvCxnSpPr/>
      </xdr:nvCxnSpPr>
      <xdr:spPr>
        <a:xfrm>
          <a:off x="35841516" y="5679016"/>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412749</xdr:colOff>
      <xdr:row>30</xdr:row>
      <xdr:rowOff>10584</xdr:rowOff>
    </xdr:from>
    <xdr:to>
      <xdr:col>36</xdr:col>
      <xdr:colOff>412749</xdr:colOff>
      <xdr:row>31</xdr:row>
      <xdr:rowOff>201085</xdr:rowOff>
    </xdr:to>
    <xdr:cxnSp macro="">
      <xdr:nvCxnSpPr>
        <xdr:cNvPr id="34" name="Straight Arrow Connector 33">
          <a:extLst>
            <a:ext uri="{FF2B5EF4-FFF2-40B4-BE49-F238E27FC236}">
              <a16:creationId xmlns:a16="http://schemas.microsoft.com/office/drawing/2014/main" id="{80437EE3-1CBC-7C45-B0E8-3F1EB5F9BA60}"/>
            </a:ext>
          </a:extLst>
        </xdr:cNvPr>
        <xdr:cNvCxnSpPr/>
      </xdr:nvCxnSpPr>
      <xdr:spPr>
        <a:xfrm>
          <a:off x="35835166" y="6297084"/>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416981</xdr:colOff>
      <xdr:row>37</xdr:row>
      <xdr:rowOff>14816</xdr:rowOff>
    </xdr:from>
    <xdr:to>
      <xdr:col>36</xdr:col>
      <xdr:colOff>416981</xdr:colOff>
      <xdr:row>38</xdr:row>
      <xdr:rowOff>205316</xdr:rowOff>
    </xdr:to>
    <xdr:cxnSp macro="">
      <xdr:nvCxnSpPr>
        <xdr:cNvPr id="35" name="Straight Arrow Connector 34">
          <a:extLst>
            <a:ext uri="{FF2B5EF4-FFF2-40B4-BE49-F238E27FC236}">
              <a16:creationId xmlns:a16="http://schemas.microsoft.com/office/drawing/2014/main" id="{C6D88E3B-6905-1E4C-9C57-A35F0014A93E}"/>
            </a:ext>
          </a:extLst>
        </xdr:cNvPr>
        <xdr:cNvCxnSpPr/>
      </xdr:nvCxnSpPr>
      <xdr:spPr>
        <a:xfrm>
          <a:off x="35839398" y="7740649"/>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421216</xdr:colOff>
      <xdr:row>40</xdr:row>
      <xdr:rowOff>19050</xdr:rowOff>
    </xdr:from>
    <xdr:to>
      <xdr:col>36</xdr:col>
      <xdr:colOff>421216</xdr:colOff>
      <xdr:row>41</xdr:row>
      <xdr:rowOff>209551</xdr:rowOff>
    </xdr:to>
    <xdr:cxnSp macro="">
      <xdr:nvCxnSpPr>
        <xdr:cNvPr id="36" name="Straight Arrow Connector 35">
          <a:extLst>
            <a:ext uri="{FF2B5EF4-FFF2-40B4-BE49-F238E27FC236}">
              <a16:creationId xmlns:a16="http://schemas.microsoft.com/office/drawing/2014/main" id="{AA17DDDC-707A-9D49-93AA-235185DC4A89}"/>
            </a:ext>
          </a:extLst>
        </xdr:cNvPr>
        <xdr:cNvCxnSpPr/>
      </xdr:nvCxnSpPr>
      <xdr:spPr>
        <a:xfrm>
          <a:off x="35843633" y="8369300"/>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414865</xdr:colOff>
      <xdr:row>48</xdr:row>
      <xdr:rowOff>12699</xdr:rowOff>
    </xdr:from>
    <xdr:to>
      <xdr:col>36</xdr:col>
      <xdr:colOff>414865</xdr:colOff>
      <xdr:row>49</xdr:row>
      <xdr:rowOff>203200</xdr:rowOff>
    </xdr:to>
    <xdr:cxnSp macro="">
      <xdr:nvCxnSpPr>
        <xdr:cNvPr id="37" name="Straight Arrow Connector 36">
          <a:extLst>
            <a:ext uri="{FF2B5EF4-FFF2-40B4-BE49-F238E27FC236}">
              <a16:creationId xmlns:a16="http://schemas.microsoft.com/office/drawing/2014/main" id="{2098AF04-0FFE-EE43-89FD-B9E83005A8C8}"/>
            </a:ext>
          </a:extLst>
        </xdr:cNvPr>
        <xdr:cNvCxnSpPr/>
      </xdr:nvCxnSpPr>
      <xdr:spPr>
        <a:xfrm>
          <a:off x="35837282" y="10003366"/>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419099</xdr:colOff>
      <xdr:row>51</xdr:row>
      <xdr:rowOff>6350</xdr:rowOff>
    </xdr:from>
    <xdr:to>
      <xdr:col>36</xdr:col>
      <xdr:colOff>419099</xdr:colOff>
      <xdr:row>52</xdr:row>
      <xdr:rowOff>196850</xdr:rowOff>
    </xdr:to>
    <xdr:cxnSp macro="">
      <xdr:nvCxnSpPr>
        <xdr:cNvPr id="38" name="Straight Arrow Connector 37">
          <a:extLst>
            <a:ext uri="{FF2B5EF4-FFF2-40B4-BE49-F238E27FC236}">
              <a16:creationId xmlns:a16="http://schemas.microsoft.com/office/drawing/2014/main" id="{CBE62D37-9862-AE48-B4A9-DBE642A3B549}"/>
            </a:ext>
          </a:extLst>
        </xdr:cNvPr>
        <xdr:cNvCxnSpPr/>
      </xdr:nvCxnSpPr>
      <xdr:spPr>
        <a:xfrm>
          <a:off x="35841516" y="10621433"/>
          <a:ext cx="0" cy="39158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222250</xdr:colOff>
      <xdr:row>27</xdr:row>
      <xdr:rowOff>196850</xdr:rowOff>
    </xdr:from>
    <xdr:to>
      <xdr:col>12</xdr:col>
      <xdr:colOff>520700</xdr:colOff>
      <xdr:row>45</xdr:row>
      <xdr:rowOff>12700</xdr:rowOff>
    </xdr:to>
    <xdr:graphicFrame macro="">
      <xdr:nvGraphicFramePr>
        <xdr:cNvPr id="2" name="Chart 1">
          <a:extLst>
            <a:ext uri="{FF2B5EF4-FFF2-40B4-BE49-F238E27FC236}">
              <a16:creationId xmlns:a16="http://schemas.microsoft.com/office/drawing/2014/main" id="{78498923-6B66-B77B-9E70-BD1F1FEB48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47</xdr:col>
      <xdr:colOff>645583</xdr:colOff>
      <xdr:row>15</xdr:row>
      <xdr:rowOff>10583</xdr:rowOff>
    </xdr:from>
    <xdr:to>
      <xdr:col>47</xdr:col>
      <xdr:colOff>645583</xdr:colOff>
      <xdr:row>16</xdr:row>
      <xdr:rowOff>10584</xdr:rowOff>
    </xdr:to>
    <xdr:cxnSp macro="">
      <xdr:nvCxnSpPr>
        <xdr:cNvPr id="2" name="Straight Connector 1">
          <a:extLst>
            <a:ext uri="{FF2B5EF4-FFF2-40B4-BE49-F238E27FC236}">
              <a16:creationId xmlns:a16="http://schemas.microsoft.com/office/drawing/2014/main" id="{47457B55-316D-0A4B-B29B-3939372507C3}"/>
            </a:ext>
          </a:extLst>
        </xdr:cNvPr>
        <xdr:cNvCxnSpPr/>
      </xdr:nvCxnSpPr>
      <xdr:spPr>
        <a:xfrm>
          <a:off x="32306683" y="2131483"/>
          <a:ext cx="0" cy="215901"/>
        </a:xfrm>
        <a:prstGeom prst="line">
          <a:avLst/>
        </a:prstGeom>
        <a:ln w="28575">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645583</xdr:colOff>
      <xdr:row>16</xdr:row>
      <xdr:rowOff>21167</xdr:rowOff>
    </xdr:from>
    <xdr:to>
      <xdr:col>49</xdr:col>
      <xdr:colOff>127000</xdr:colOff>
      <xdr:row>17</xdr:row>
      <xdr:rowOff>95250</xdr:rowOff>
    </xdr:to>
    <xdr:cxnSp macro="">
      <xdr:nvCxnSpPr>
        <xdr:cNvPr id="3" name="Elbow Connector 2">
          <a:extLst>
            <a:ext uri="{FF2B5EF4-FFF2-40B4-BE49-F238E27FC236}">
              <a16:creationId xmlns:a16="http://schemas.microsoft.com/office/drawing/2014/main" id="{BB5CD159-25F1-B145-BB99-BBDA56C64FEF}"/>
            </a:ext>
          </a:extLst>
        </xdr:cNvPr>
        <xdr:cNvCxnSpPr/>
      </xdr:nvCxnSpPr>
      <xdr:spPr>
        <a:xfrm>
          <a:off x="32306683" y="2357967"/>
          <a:ext cx="1653117" cy="289983"/>
        </a:xfrm>
        <a:prstGeom prst="bentConnector3">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12701</xdr:colOff>
      <xdr:row>16</xdr:row>
      <xdr:rowOff>25398</xdr:rowOff>
    </xdr:from>
    <xdr:to>
      <xdr:col>47</xdr:col>
      <xdr:colOff>649818</xdr:colOff>
      <xdr:row>17</xdr:row>
      <xdr:rowOff>114299</xdr:rowOff>
    </xdr:to>
    <xdr:cxnSp macro="">
      <xdr:nvCxnSpPr>
        <xdr:cNvPr id="4" name="Elbow Connector 3">
          <a:extLst>
            <a:ext uri="{FF2B5EF4-FFF2-40B4-BE49-F238E27FC236}">
              <a16:creationId xmlns:a16="http://schemas.microsoft.com/office/drawing/2014/main" id="{C1D080F8-A410-8945-8187-34A07DCE87AD}"/>
            </a:ext>
          </a:extLst>
        </xdr:cNvPr>
        <xdr:cNvCxnSpPr/>
      </xdr:nvCxnSpPr>
      <xdr:spPr>
        <a:xfrm rot="10800000" flipV="1">
          <a:off x="30708601" y="2362198"/>
          <a:ext cx="1602317" cy="304801"/>
        </a:xfrm>
        <a:prstGeom prst="bentConnector3">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402166</xdr:colOff>
      <xdr:row>18</xdr:row>
      <xdr:rowOff>0</xdr:rowOff>
    </xdr:from>
    <xdr:to>
      <xdr:col>43</xdr:col>
      <xdr:colOff>402166</xdr:colOff>
      <xdr:row>19</xdr:row>
      <xdr:rowOff>190501</xdr:rowOff>
    </xdr:to>
    <xdr:cxnSp macro="">
      <xdr:nvCxnSpPr>
        <xdr:cNvPr id="5" name="Straight Arrow Connector 4">
          <a:extLst>
            <a:ext uri="{FF2B5EF4-FFF2-40B4-BE49-F238E27FC236}">
              <a16:creationId xmlns:a16="http://schemas.microsoft.com/office/drawing/2014/main" id="{567FAE25-5893-F04B-8E16-28850CEBA514}"/>
            </a:ext>
          </a:extLst>
        </xdr:cNvPr>
        <xdr:cNvCxnSpPr/>
      </xdr:nvCxnSpPr>
      <xdr:spPr>
        <a:xfrm>
          <a:off x="29447066" y="2768600"/>
          <a:ext cx="0" cy="393701"/>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406399</xdr:colOff>
      <xdr:row>28</xdr:row>
      <xdr:rowOff>25399</xdr:rowOff>
    </xdr:from>
    <xdr:to>
      <xdr:col>43</xdr:col>
      <xdr:colOff>406399</xdr:colOff>
      <xdr:row>29</xdr:row>
      <xdr:rowOff>205317</xdr:rowOff>
    </xdr:to>
    <xdr:cxnSp macro="">
      <xdr:nvCxnSpPr>
        <xdr:cNvPr id="6" name="Straight Arrow Connector 5">
          <a:extLst>
            <a:ext uri="{FF2B5EF4-FFF2-40B4-BE49-F238E27FC236}">
              <a16:creationId xmlns:a16="http://schemas.microsoft.com/office/drawing/2014/main" id="{42C76111-D95F-6E4A-9A37-1D989F43F4C5}"/>
            </a:ext>
          </a:extLst>
        </xdr:cNvPr>
        <xdr:cNvCxnSpPr/>
      </xdr:nvCxnSpPr>
      <xdr:spPr>
        <a:xfrm>
          <a:off x="29451299" y="3860799"/>
          <a:ext cx="0" cy="395818"/>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400049</xdr:colOff>
      <xdr:row>31</xdr:row>
      <xdr:rowOff>19050</xdr:rowOff>
    </xdr:from>
    <xdr:to>
      <xdr:col>43</xdr:col>
      <xdr:colOff>400049</xdr:colOff>
      <xdr:row>32</xdr:row>
      <xdr:rowOff>198968</xdr:rowOff>
    </xdr:to>
    <xdr:cxnSp macro="">
      <xdr:nvCxnSpPr>
        <xdr:cNvPr id="7" name="Straight Arrow Connector 6">
          <a:extLst>
            <a:ext uri="{FF2B5EF4-FFF2-40B4-BE49-F238E27FC236}">
              <a16:creationId xmlns:a16="http://schemas.microsoft.com/office/drawing/2014/main" id="{CAC76EB0-DB10-B74A-9FB4-8E21C8B0D64F}"/>
            </a:ext>
          </a:extLst>
        </xdr:cNvPr>
        <xdr:cNvCxnSpPr/>
      </xdr:nvCxnSpPr>
      <xdr:spPr>
        <a:xfrm>
          <a:off x="29444949" y="4502150"/>
          <a:ext cx="0" cy="395818"/>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404283</xdr:colOff>
      <xdr:row>37</xdr:row>
      <xdr:rowOff>23283</xdr:rowOff>
    </xdr:from>
    <xdr:to>
      <xdr:col>43</xdr:col>
      <xdr:colOff>404283</xdr:colOff>
      <xdr:row>39</xdr:row>
      <xdr:rowOff>2117</xdr:rowOff>
    </xdr:to>
    <xdr:cxnSp macro="">
      <xdr:nvCxnSpPr>
        <xdr:cNvPr id="8" name="Straight Arrow Connector 7">
          <a:extLst>
            <a:ext uri="{FF2B5EF4-FFF2-40B4-BE49-F238E27FC236}">
              <a16:creationId xmlns:a16="http://schemas.microsoft.com/office/drawing/2014/main" id="{E4E5CBFC-B14C-DB49-8A92-13C4EFB61A62}"/>
            </a:ext>
          </a:extLst>
        </xdr:cNvPr>
        <xdr:cNvCxnSpPr/>
      </xdr:nvCxnSpPr>
      <xdr:spPr>
        <a:xfrm>
          <a:off x="29449183" y="5789083"/>
          <a:ext cx="0" cy="39793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397933</xdr:colOff>
      <xdr:row>40</xdr:row>
      <xdr:rowOff>16934</xdr:rowOff>
    </xdr:from>
    <xdr:to>
      <xdr:col>43</xdr:col>
      <xdr:colOff>397933</xdr:colOff>
      <xdr:row>41</xdr:row>
      <xdr:rowOff>207435</xdr:rowOff>
    </xdr:to>
    <xdr:cxnSp macro="">
      <xdr:nvCxnSpPr>
        <xdr:cNvPr id="9" name="Straight Arrow Connector 8">
          <a:extLst>
            <a:ext uri="{FF2B5EF4-FFF2-40B4-BE49-F238E27FC236}">
              <a16:creationId xmlns:a16="http://schemas.microsoft.com/office/drawing/2014/main" id="{1F195160-0A02-D542-8A8C-4089AFB6A656}"/>
            </a:ext>
          </a:extLst>
        </xdr:cNvPr>
        <xdr:cNvCxnSpPr/>
      </xdr:nvCxnSpPr>
      <xdr:spPr>
        <a:xfrm>
          <a:off x="29442833" y="6417734"/>
          <a:ext cx="0" cy="393701"/>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402165</xdr:colOff>
      <xdr:row>47</xdr:row>
      <xdr:rowOff>21166</xdr:rowOff>
    </xdr:from>
    <xdr:to>
      <xdr:col>43</xdr:col>
      <xdr:colOff>402165</xdr:colOff>
      <xdr:row>49</xdr:row>
      <xdr:rowOff>0</xdr:rowOff>
    </xdr:to>
    <xdr:cxnSp macro="">
      <xdr:nvCxnSpPr>
        <xdr:cNvPr id="10" name="Straight Arrow Connector 9">
          <a:extLst>
            <a:ext uri="{FF2B5EF4-FFF2-40B4-BE49-F238E27FC236}">
              <a16:creationId xmlns:a16="http://schemas.microsoft.com/office/drawing/2014/main" id="{09393F15-B2F9-7F42-B50B-CB7293CDE35D}"/>
            </a:ext>
          </a:extLst>
        </xdr:cNvPr>
        <xdr:cNvCxnSpPr/>
      </xdr:nvCxnSpPr>
      <xdr:spPr>
        <a:xfrm>
          <a:off x="29447065" y="7882466"/>
          <a:ext cx="0" cy="39793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406400</xdr:colOff>
      <xdr:row>50</xdr:row>
      <xdr:rowOff>25400</xdr:rowOff>
    </xdr:from>
    <xdr:to>
      <xdr:col>43</xdr:col>
      <xdr:colOff>406400</xdr:colOff>
      <xdr:row>52</xdr:row>
      <xdr:rowOff>4234</xdr:rowOff>
    </xdr:to>
    <xdr:cxnSp macro="">
      <xdr:nvCxnSpPr>
        <xdr:cNvPr id="11" name="Straight Arrow Connector 10">
          <a:extLst>
            <a:ext uri="{FF2B5EF4-FFF2-40B4-BE49-F238E27FC236}">
              <a16:creationId xmlns:a16="http://schemas.microsoft.com/office/drawing/2014/main" id="{59A3EE5E-CE52-6045-90A6-E9A9F5B9A279}"/>
            </a:ext>
          </a:extLst>
        </xdr:cNvPr>
        <xdr:cNvCxnSpPr/>
      </xdr:nvCxnSpPr>
      <xdr:spPr>
        <a:xfrm>
          <a:off x="29451300" y="8521700"/>
          <a:ext cx="0" cy="39793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400049</xdr:colOff>
      <xdr:row>58</xdr:row>
      <xdr:rowOff>19049</xdr:rowOff>
    </xdr:from>
    <xdr:to>
      <xdr:col>43</xdr:col>
      <xdr:colOff>400049</xdr:colOff>
      <xdr:row>59</xdr:row>
      <xdr:rowOff>209550</xdr:rowOff>
    </xdr:to>
    <xdr:cxnSp macro="">
      <xdr:nvCxnSpPr>
        <xdr:cNvPr id="12" name="Straight Arrow Connector 11">
          <a:extLst>
            <a:ext uri="{FF2B5EF4-FFF2-40B4-BE49-F238E27FC236}">
              <a16:creationId xmlns:a16="http://schemas.microsoft.com/office/drawing/2014/main" id="{38817979-0E75-954E-A2C6-24FE7D756FFA}"/>
            </a:ext>
          </a:extLst>
        </xdr:cNvPr>
        <xdr:cNvCxnSpPr/>
      </xdr:nvCxnSpPr>
      <xdr:spPr>
        <a:xfrm>
          <a:off x="29444949" y="10179049"/>
          <a:ext cx="0" cy="393701"/>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404283</xdr:colOff>
      <xdr:row>61</xdr:row>
      <xdr:rowOff>12700</xdr:rowOff>
    </xdr:from>
    <xdr:to>
      <xdr:col>43</xdr:col>
      <xdr:colOff>404283</xdr:colOff>
      <xdr:row>62</xdr:row>
      <xdr:rowOff>203200</xdr:rowOff>
    </xdr:to>
    <xdr:cxnSp macro="">
      <xdr:nvCxnSpPr>
        <xdr:cNvPr id="13" name="Straight Arrow Connector 12">
          <a:extLst>
            <a:ext uri="{FF2B5EF4-FFF2-40B4-BE49-F238E27FC236}">
              <a16:creationId xmlns:a16="http://schemas.microsoft.com/office/drawing/2014/main" id="{60E9C1E8-204B-294C-BF0B-ACE5505069C8}"/>
            </a:ext>
          </a:extLst>
        </xdr:cNvPr>
        <xdr:cNvCxnSpPr/>
      </xdr:nvCxnSpPr>
      <xdr:spPr>
        <a:xfrm>
          <a:off x="29449183" y="10807700"/>
          <a:ext cx="0" cy="393700"/>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416982</xdr:colOff>
      <xdr:row>17</xdr:row>
      <xdr:rowOff>205317</xdr:rowOff>
    </xdr:from>
    <xdr:to>
      <xdr:col>51</xdr:col>
      <xdr:colOff>416982</xdr:colOff>
      <xdr:row>19</xdr:row>
      <xdr:rowOff>184151</xdr:rowOff>
    </xdr:to>
    <xdr:cxnSp macro="">
      <xdr:nvCxnSpPr>
        <xdr:cNvPr id="14" name="Straight Arrow Connector 13">
          <a:extLst>
            <a:ext uri="{FF2B5EF4-FFF2-40B4-BE49-F238E27FC236}">
              <a16:creationId xmlns:a16="http://schemas.microsoft.com/office/drawing/2014/main" id="{F8799904-0B81-C040-81A4-923D43C9358C}"/>
            </a:ext>
          </a:extLst>
        </xdr:cNvPr>
        <xdr:cNvCxnSpPr/>
      </xdr:nvCxnSpPr>
      <xdr:spPr>
        <a:xfrm>
          <a:off x="35214982" y="2758017"/>
          <a:ext cx="0" cy="397934"/>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421215</xdr:colOff>
      <xdr:row>28</xdr:row>
      <xdr:rowOff>19049</xdr:rowOff>
    </xdr:from>
    <xdr:to>
      <xdr:col>51</xdr:col>
      <xdr:colOff>421215</xdr:colOff>
      <xdr:row>29</xdr:row>
      <xdr:rowOff>198967</xdr:rowOff>
    </xdr:to>
    <xdr:cxnSp macro="">
      <xdr:nvCxnSpPr>
        <xdr:cNvPr id="15" name="Straight Arrow Connector 14">
          <a:extLst>
            <a:ext uri="{FF2B5EF4-FFF2-40B4-BE49-F238E27FC236}">
              <a16:creationId xmlns:a16="http://schemas.microsoft.com/office/drawing/2014/main" id="{0F85CDF2-D47C-F444-BFFD-5911AC17F482}"/>
            </a:ext>
          </a:extLst>
        </xdr:cNvPr>
        <xdr:cNvCxnSpPr/>
      </xdr:nvCxnSpPr>
      <xdr:spPr>
        <a:xfrm>
          <a:off x="35219215" y="3854449"/>
          <a:ext cx="0" cy="395818"/>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414865</xdr:colOff>
      <xdr:row>31</xdr:row>
      <xdr:rowOff>12700</xdr:rowOff>
    </xdr:from>
    <xdr:to>
      <xdr:col>51</xdr:col>
      <xdr:colOff>414865</xdr:colOff>
      <xdr:row>32</xdr:row>
      <xdr:rowOff>192618</xdr:rowOff>
    </xdr:to>
    <xdr:cxnSp macro="">
      <xdr:nvCxnSpPr>
        <xdr:cNvPr id="16" name="Straight Arrow Connector 15">
          <a:extLst>
            <a:ext uri="{FF2B5EF4-FFF2-40B4-BE49-F238E27FC236}">
              <a16:creationId xmlns:a16="http://schemas.microsoft.com/office/drawing/2014/main" id="{B325A397-9543-8746-A253-293D8AECD4E6}"/>
            </a:ext>
          </a:extLst>
        </xdr:cNvPr>
        <xdr:cNvCxnSpPr/>
      </xdr:nvCxnSpPr>
      <xdr:spPr>
        <a:xfrm>
          <a:off x="35212865" y="4495800"/>
          <a:ext cx="0" cy="395818"/>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419099</xdr:colOff>
      <xdr:row>37</xdr:row>
      <xdr:rowOff>16933</xdr:rowOff>
    </xdr:from>
    <xdr:to>
      <xdr:col>51</xdr:col>
      <xdr:colOff>419099</xdr:colOff>
      <xdr:row>38</xdr:row>
      <xdr:rowOff>207433</xdr:rowOff>
    </xdr:to>
    <xdr:cxnSp macro="">
      <xdr:nvCxnSpPr>
        <xdr:cNvPr id="17" name="Straight Arrow Connector 16">
          <a:extLst>
            <a:ext uri="{FF2B5EF4-FFF2-40B4-BE49-F238E27FC236}">
              <a16:creationId xmlns:a16="http://schemas.microsoft.com/office/drawing/2014/main" id="{F857BD0C-DEAB-3146-9620-D4BBC2720210}"/>
            </a:ext>
          </a:extLst>
        </xdr:cNvPr>
        <xdr:cNvCxnSpPr/>
      </xdr:nvCxnSpPr>
      <xdr:spPr>
        <a:xfrm>
          <a:off x="35217099" y="5782733"/>
          <a:ext cx="0" cy="393700"/>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412749</xdr:colOff>
      <xdr:row>40</xdr:row>
      <xdr:rowOff>10584</xdr:rowOff>
    </xdr:from>
    <xdr:to>
      <xdr:col>51</xdr:col>
      <xdr:colOff>412749</xdr:colOff>
      <xdr:row>41</xdr:row>
      <xdr:rowOff>201085</xdr:rowOff>
    </xdr:to>
    <xdr:cxnSp macro="">
      <xdr:nvCxnSpPr>
        <xdr:cNvPr id="18" name="Straight Arrow Connector 17">
          <a:extLst>
            <a:ext uri="{FF2B5EF4-FFF2-40B4-BE49-F238E27FC236}">
              <a16:creationId xmlns:a16="http://schemas.microsoft.com/office/drawing/2014/main" id="{88DB7AA3-8683-6445-8255-92E40E3598D0}"/>
            </a:ext>
          </a:extLst>
        </xdr:cNvPr>
        <xdr:cNvCxnSpPr/>
      </xdr:nvCxnSpPr>
      <xdr:spPr>
        <a:xfrm>
          <a:off x="35210749" y="6411384"/>
          <a:ext cx="0" cy="393701"/>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416981</xdr:colOff>
      <xdr:row>47</xdr:row>
      <xdr:rowOff>14816</xdr:rowOff>
    </xdr:from>
    <xdr:to>
      <xdr:col>51</xdr:col>
      <xdr:colOff>416981</xdr:colOff>
      <xdr:row>48</xdr:row>
      <xdr:rowOff>205316</xdr:rowOff>
    </xdr:to>
    <xdr:cxnSp macro="">
      <xdr:nvCxnSpPr>
        <xdr:cNvPr id="19" name="Straight Arrow Connector 18">
          <a:extLst>
            <a:ext uri="{FF2B5EF4-FFF2-40B4-BE49-F238E27FC236}">
              <a16:creationId xmlns:a16="http://schemas.microsoft.com/office/drawing/2014/main" id="{C587131E-7CCB-E840-A4D4-7DB977BFE9EF}"/>
            </a:ext>
          </a:extLst>
        </xdr:cNvPr>
        <xdr:cNvCxnSpPr/>
      </xdr:nvCxnSpPr>
      <xdr:spPr>
        <a:xfrm>
          <a:off x="35214981" y="7876116"/>
          <a:ext cx="0" cy="393700"/>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421216</xdr:colOff>
      <xdr:row>50</xdr:row>
      <xdr:rowOff>19050</xdr:rowOff>
    </xdr:from>
    <xdr:to>
      <xdr:col>51</xdr:col>
      <xdr:colOff>421216</xdr:colOff>
      <xdr:row>51</xdr:row>
      <xdr:rowOff>209551</xdr:rowOff>
    </xdr:to>
    <xdr:cxnSp macro="">
      <xdr:nvCxnSpPr>
        <xdr:cNvPr id="20" name="Straight Arrow Connector 19">
          <a:extLst>
            <a:ext uri="{FF2B5EF4-FFF2-40B4-BE49-F238E27FC236}">
              <a16:creationId xmlns:a16="http://schemas.microsoft.com/office/drawing/2014/main" id="{CD02B33C-2760-0A41-8E4D-93E3CB326291}"/>
            </a:ext>
          </a:extLst>
        </xdr:cNvPr>
        <xdr:cNvCxnSpPr/>
      </xdr:nvCxnSpPr>
      <xdr:spPr>
        <a:xfrm>
          <a:off x="35219216" y="8515350"/>
          <a:ext cx="0" cy="393701"/>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414865</xdr:colOff>
      <xdr:row>58</xdr:row>
      <xdr:rowOff>12699</xdr:rowOff>
    </xdr:from>
    <xdr:to>
      <xdr:col>51</xdr:col>
      <xdr:colOff>414865</xdr:colOff>
      <xdr:row>59</xdr:row>
      <xdr:rowOff>203200</xdr:rowOff>
    </xdr:to>
    <xdr:cxnSp macro="">
      <xdr:nvCxnSpPr>
        <xdr:cNvPr id="21" name="Straight Arrow Connector 20">
          <a:extLst>
            <a:ext uri="{FF2B5EF4-FFF2-40B4-BE49-F238E27FC236}">
              <a16:creationId xmlns:a16="http://schemas.microsoft.com/office/drawing/2014/main" id="{208653A1-E099-FA40-91D0-A13C9A698547}"/>
            </a:ext>
          </a:extLst>
        </xdr:cNvPr>
        <xdr:cNvCxnSpPr/>
      </xdr:nvCxnSpPr>
      <xdr:spPr>
        <a:xfrm>
          <a:off x="35212865" y="10172699"/>
          <a:ext cx="0" cy="393701"/>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419099</xdr:colOff>
      <xdr:row>61</xdr:row>
      <xdr:rowOff>6350</xdr:rowOff>
    </xdr:from>
    <xdr:to>
      <xdr:col>51</xdr:col>
      <xdr:colOff>419099</xdr:colOff>
      <xdr:row>62</xdr:row>
      <xdr:rowOff>196850</xdr:rowOff>
    </xdr:to>
    <xdr:cxnSp macro="">
      <xdr:nvCxnSpPr>
        <xdr:cNvPr id="22" name="Straight Arrow Connector 21">
          <a:extLst>
            <a:ext uri="{FF2B5EF4-FFF2-40B4-BE49-F238E27FC236}">
              <a16:creationId xmlns:a16="http://schemas.microsoft.com/office/drawing/2014/main" id="{B4F24C97-B9B8-C248-B343-3A9CAA2D5BA3}"/>
            </a:ext>
          </a:extLst>
        </xdr:cNvPr>
        <xdr:cNvCxnSpPr/>
      </xdr:nvCxnSpPr>
      <xdr:spPr>
        <a:xfrm>
          <a:off x="35217099" y="10801350"/>
          <a:ext cx="0" cy="393700"/>
        </a:xfrm>
        <a:prstGeom prst="straightConnector1">
          <a:avLst/>
        </a:prstGeom>
        <a:ln w="28575">
          <a:solidFill>
            <a:schemeClr val="tx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825500</xdr:colOff>
      <xdr:row>29</xdr:row>
      <xdr:rowOff>171450</xdr:rowOff>
    </xdr:from>
    <xdr:to>
      <xdr:col>34</xdr:col>
      <xdr:colOff>901700</xdr:colOff>
      <xdr:row>52</xdr:row>
      <xdr:rowOff>88900</xdr:rowOff>
    </xdr:to>
    <xdr:graphicFrame macro="">
      <xdr:nvGraphicFramePr>
        <xdr:cNvPr id="23" name="Chart 22">
          <a:extLst>
            <a:ext uri="{FF2B5EF4-FFF2-40B4-BE49-F238E27FC236}">
              <a16:creationId xmlns:a16="http://schemas.microsoft.com/office/drawing/2014/main" id="{AA598416-B46A-DB00-D3E4-33C1FA738E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hula-my.sharepoint.com/Users/mollypaffett/Library/Containers/com.apple.mail/Data/Library/Mail%20Downloads/B2ECA187-7422-45C2-BE36-EAC2F5B2F173/Solution-Exercise%202.3.xls" TargetMode="External"/><Relationship Id="rId1" Type="http://schemas.openxmlformats.org/officeDocument/2006/relationships/externalLinkPath" Target="/Users/mollypaffett/Library/Containers/com.apple.mail/Data/Library/Mail%20Downloads/B2ECA187-7422-45C2-BE36-EAC2F5B2F173/Solution-Exercise%202.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hDthesis/PhD%20thesis/Data&amp;analysis/Laparoscopic%20cholecystectomy/Worksheet_LCvsOC.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hDthesis/PhD%20thesis/Data&amp;analysis/ESRD/Copy%20of%20WorksheetESRD.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orkshops/York/AME_Exercise_York04/Exercise%204b%20-%20solu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lysis"/>
      <sheetName val="Models"/>
      <sheetName val="Parameters"/>
      <sheetName val="Hazard f_n of dialysis cohort"/>
      <sheetName val="STD practice"/>
      <sheetName val="PD"/>
      <sheetName val="HD"/>
      <sheetName val="Simulation"/>
    </sheetNames>
    <sheetDataSet>
      <sheetData sheetId="0" refreshError="1">
        <row r="6">
          <cell r="C6">
            <v>50</v>
          </cell>
        </row>
      </sheetData>
      <sheetData sheetId="1" refreshError="1"/>
      <sheetData sheetId="2" refreshError="1">
        <row r="2">
          <cell r="D2">
            <v>0</v>
          </cell>
        </row>
        <row r="3">
          <cell r="B3">
            <v>1</v>
          </cell>
        </row>
        <row r="6">
          <cell r="B6">
            <v>3.5000000000000003E-2</v>
          </cell>
        </row>
        <row r="7">
          <cell r="B7">
            <v>3.5000000000000003E-2</v>
          </cell>
        </row>
        <row r="10">
          <cell r="B10">
            <v>0.33300000000000002</v>
          </cell>
        </row>
        <row r="11">
          <cell r="B11">
            <v>0.32900000000000001</v>
          </cell>
        </row>
        <row r="12">
          <cell r="B12">
            <v>0.27</v>
          </cell>
        </row>
        <row r="13">
          <cell r="B13">
            <v>6.3938618925831201E-3</v>
          </cell>
        </row>
        <row r="14">
          <cell r="B14">
            <v>2.7027027027027029E-2</v>
          </cell>
        </row>
        <row r="17">
          <cell r="B17">
            <v>-11.17709</v>
          </cell>
        </row>
        <row r="18">
          <cell r="B18">
            <v>3.4733199999999999E-2</v>
          </cell>
        </row>
        <row r="19">
          <cell r="B19">
            <v>7.9446239321790722E-5</v>
          </cell>
        </row>
        <row r="20">
          <cell r="B20">
            <v>1.074865137262125</v>
          </cell>
        </row>
        <row r="24">
          <cell r="B24">
            <v>17623</v>
          </cell>
        </row>
        <row r="26">
          <cell r="B26">
            <v>46667</v>
          </cell>
        </row>
        <row r="27">
          <cell r="B27">
            <v>163.30000000000001</v>
          </cell>
        </row>
        <row r="29">
          <cell r="B29">
            <v>28</v>
          </cell>
        </row>
        <row r="31">
          <cell r="B31">
            <v>790</v>
          </cell>
        </row>
        <row r="32">
          <cell r="B32">
            <v>1050</v>
          </cell>
        </row>
        <row r="33">
          <cell r="B33">
            <v>2</v>
          </cell>
        </row>
        <row r="35">
          <cell r="B35">
            <v>21500</v>
          </cell>
        </row>
        <row r="37">
          <cell r="B37">
            <v>2.2999999999999998</v>
          </cell>
        </row>
        <row r="39">
          <cell r="B39">
            <v>356942.09200000006</v>
          </cell>
        </row>
        <row r="40">
          <cell r="B40">
            <v>379832.95614814723</v>
          </cell>
        </row>
        <row r="41">
          <cell r="B41">
            <v>32000</v>
          </cell>
        </row>
        <row r="42">
          <cell r="B42">
            <v>10528</v>
          </cell>
        </row>
        <row r="43">
          <cell r="B43">
            <v>4028.13</v>
          </cell>
        </row>
        <row r="46">
          <cell r="B46">
            <v>14919</v>
          </cell>
        </row>
        <row r="47">
          <cell r="B47">
            <v>1658</v>
          </cell>
        </row>
        <row r="48">
          <cell r="B48">
            <v>0.98</v>
          </cell>
        </row>
        <row r="49">
          <cell r="B49">
            <v>2.13</v>
          </cell>
        </row>
        <row r="50">
          <cell r="B50">
            <v>12.85</v>
          </cell>
        </row>
        <row r="51">
          <cell r="B51">
            <v>40163.767999999996</v>
          </cell>
        </row>
        <row r="54">
          <cell r="B54">
            <v>454300.86000000004</v>
          </cell>
        </row>
        <row r="55">
          <cell r="B55">
            <v>407633.86000000004</v>
          </cell>
        </row>
        <row r="56">
          <cell r="B56">
            <v>445524.85414814722</v>
          </cell>
        </row>
        <row r="57">
          <cell r="B57">
            <v>424024.85414814722</v>
          </cell>
        </row>
        <row r="60">
          <cell r="B60">
            <v>35245</v>
          </cell>
        </row>
        <row r="61">
          <cell r="B61">
            <v>32683.348799999902</v>
          </cell>
          <cell r="O61">
            <v>100</v>
          </cell>
        </row>
        <row r="62">
          <cell r="B62">
            <v>4811.2001359999849</v>
          </cell>
        </row>
        <row r="63">
          <cell r="O63">
            <v>103.5</v>
          </cell>
        </row>
        <row r="65">
          <cell r="B65">
            <v>40950.76799999988</v>
          </cell>
        </row>
        <row r="66">
          <cell r="B66">
            <v>2717.1735999999919</v>
          </cell>
          <cell r="O66">
            <v>107.31333333333301</v>
          </cell>
        </row>
        <row r="69">
          <cell r="B69">
            <v>7528.3737359999768</v>
          </cell>
        </row>
        <row r="70">
          <cell r="B70">
            <v>73634.116799999785</v>
          </cell>
        </row>
        <row r="73">
          <cell r="B73">
            <v>0.72</v>
          </cell>
        </row>
        <row r="74">
          <cell r="B74">
            <v>0.68</v>
          </cell>
        </row>
        <row r="75">
          <cell r="B75">
            <v>0.6</v>
          </cell>
        </row>
        <row r="76">
          <cell r="B76">
            <v>0.70903333333333329</v>
          </cell>
        </row>
        <row r="77">
          <cell r="B77">
            <v>0.67100000000000004</v>
          </cell>
        </row>
      </sheetData>
      <sheetData sheetId="3"/>
      <sheetData sheetId="4" refreshError="1"/>
      <sheetData sheetId="5" refreshError="1">
        <row r="6">
          <cell r="B6">
            <v>0</v>
          </cell>
        </row>
        <row r="7">
          <cell r="B7">
            <v>1</v>
          </cell>
        </row>
        <row r="8">
          <cell r="B8">
            <v>2</v>
          </cell>
        </row>
        <row r="9">
          <cell r="B9">
            <v>3</v>
          </cell>
        </row>
        <row r="10">
          <cell r="B10">
            <v>4</v>
          </cell>
        </row>
        <row r="11">
          <cell r="B11">
            <v>5</v>
          </cell>
        </row>
        <row r="12">
          <cell r="B12">
            <v>6</v>
          </cell>
        </row>
        <row r="13">
          <cell r="B13">
            <v>7</v>
          </cell>
        </row>
        <row r="14">
          <cell r="B14">
            <v>8</v>
          </cell>
        </row>
        <row r="15">
          <cell r="B15">
            <v>9</v>
          </cell>
        </row>
        <row r="16">
          <cell r="B16">
            <v>10</v>
          </cell>
        </row>
        <row r="17">
          <cell r="B17">
            <v>11</v>
          </cell>
        </row>
        <row r="18">
          <cell r="B18">
            <v>12</v>
          </cell>
        </row>
        <row r="19">
          <cell r="B19">
            <v>13</v>
          </cell>
        </row>
        <row r="20">
          <cell r="B20">
            <v>14</v>
          </cell>
        </row>
        <row r="21">
          <cell r="B21">
            <v>15</v>
          </cell>
        </row>
        <row r="22">
          <cell r="B22">
            <v>16</v>
          </cell>
        </row>
        <row r="23">
          <cell r="B23">
            <v>17</v>
          </cell>
        </row>
        <row r="24">
          <cell r="B24">
            <v>18</v>
          </cell>
        </row>
        <row r="25">
          <cell r="B25">
            <v>19</v>
          </cell>
        </row>
        <row r="26">
          <cell r="B26">
            <v>20</v>
          </cell>
        </row>
        <row r="27">
          <cell r="B27">
            <v>21</v>
          </cell>
        </row>
        <row r="28">
          <cell r="B28">
            <v>22</v>
          </cell>
        </row>
        <row r="29">
          <cell r="B29">
            <v>23</v>
          </cell>
        </row>
        <row r="30">
          <cell r="B30">
            <v>24</v>
          </cell>
        </row>
        <row r="31">
          <cell r="B31">
            <v>25</v>
          </cell>
        </row>
        <row r="32">
          <cell r="B32">
            <v>26</v>
          </cell>
        </row>
        <row r="33">
          <cell r="B33">
            <v>27</v>
          </cell>
        </row>
        <row r="34">
          <cell r="B34">
            <v>28</v>
          </cell>
        </row>
        <row r="35">
          <cell r="B35">
            <v>29</v>
          </cell>
        </row>
        <row r="36">
          <cell r="B36">
            <v>30</v>
          </cell>
        </row>
        <row r="37">
          <cell r="B37">
            <v>31</v>
          </cell>
        </row>
        <row r="38">
          <cell r="B38">
            <v>32</v>
          </cell>
        </row>
        <row r="39">
          <cell r="B39">
            <v>33</v>
          </cell>
        </row>
        <row r="40">
          <cell r="B40">
            <v>34</v>
          </cell>
        </row>
        <row r="41">
          <cell r="B41">
            <v>35</v>
          </cell>
        </row>
        <row r="42">
          <cell r="B42">
            <v>36</v>
          </cell>
        </row>
        <row r="43">
          <cell r="B43">
            <v>37</v>
          </cell>
        </row>
        <row r="44">
          <cell r="B44">
            <v>38</v>
          </cell>
        </row>
        <row r="45">
          <cell r="B45">
            <v>39</v>
          </cell>
        </row>
        <row r="46">
          <cell r="B46">
            <v>40</v>
          </cell>
        </row>
        <row r="47">
          <cell r="B47">
            <v>41</v>
          </cell>
        </row>
        <row r="48">
          <cell r="B48">
            <v>42</v>
          </cell>
        </row>
        <row r="49">
          <cell r="B49">
            <v>43</v>
          </cell>
        </row>
        <row r="50">
          <cell r="B50">
            <v>44</v>
          </cell>
        </row>
        <row r="51">
          <cell r="B51">
            <v>45</v>
          </cell>
        </row>
        <row r="52">
          <cell r="B52">
            <v>46</v>
          </cell>
        </row>
        <row r="53">
          <cell r="B53">
            <v>47</v>
          </cell>
        </row>
        <row r="54">
          <cell r="B54">
            <v>48</v>
          </cell>
        </row>
        <row r="55">
          <cell r="B55">
            <v>49</v>
          </cell>
        </row>
        <row r="56">
          <cell r="B56">
            <v>50</v>
          </cell>
        </row>
        <row r="57">
          <cell r="B57">
            <v>51</v>
          </cell>
        </row>
        <row r="58">
          <cell r="B58">
            <v>52</v>
          </cell>
        </row>
        <row r="59">
          <cell r="B59">
            <v>53</v>
          </cell>
        </row>
        <row r="60">
          <cell r="B60">
            <v>54</v>
          </cell>
        </row>
        <row r="61">
          <cell r="B61">
            <v>55</v>
          </cell>
        </row>
        <row r="62">
          <cell r="B62">
            <v>56</v>
          </cell>
        </row>
        <row r="63">
          <cell r="B63">
            <v>57</v>
          </cell>
        </row>
        <row r="64">
          <cell r="B64">
            <v>58</v>
          </cell>
        </row>
        <row r="65">
          <cell r="B65">
            <v>59</v>
          </cell>
        </row>
        <row r="66">
          <cell r="B66">
            <v>60</v>
          </cell>
        </row>
        <row r="67">
          <cell r="B67">
            <v>61</v>
          </cell>
        </row>
        <row r="68">
          <cell r="B68">
            <v>62</v>
          </cell>
        </row>
        <row r="69">
          <cell r="B69">
            <v>63</v>
          </cell>
        </row>
        <row r="70">
          <cell r="B70">
            <v>64</v>
          </cell>
        </row>
        <row r="71">
          <cell r="B71">
            <v>65</v>
          </cell>
        </row>
        <row r="72">
          <cell r="B72">
            <v>66</v>
          </cell>
        </row>
        <row r="73">
          <cell r="B73">
            <v>67</v>
          </cell>
        </row>
        <row r="74">
          <cell r="B74">
            <v>68</v>
          </cell>
        </row>
        <row r="75">
          <cell r="B75">
            <v>69</v>
          </cell>
        </row>
        <row r="76">
          <cell r="B76">
            <v>70</v>
          </cell>
        </row>
        <row r="77">
          <cell r="B77">
            <v>71</v>
          </cell>
        </row>
        <row r="78">
          <cell r="B78">
            <v>72</v>
          </cell>
        </row>
        <row r="79">
          <cell r="B79">
            <v>73</v>
          </cell>
        </row>
        <row r="80">
          <cell r="B80">
            <v>74</v>
          </cell>
        </row>
        <row r="81">
          <cell r="B81">
            <v>75</v>
          </cell>
        </row>
        <row r="82">
          <cell r="B82">
            <v>76</v>
          </cell>
        </row>
        <row r="83">
          <cell r="B83">
            <v>77</v>
          </cell>
        </row>
        <row r="84">
          <cell r="B84">
            <v>78</v>
          </cell>
        </row>
        <row r="85">
          <cell r="B85">
            <v>79</v>
          </cell>
        </row>
        <row r="86">
          <cell r="B86">
            <v>80</v>
          </cell>
        </row>
        <row r="87">
          <cell r="B87">
            <v>81</v>
          </cell>
        </row>
        <row r="88">
          <cell r="B88">
            <v>82</v>
          </cell>
        </row>
        <row r="89">
          <cell r="B89">
            <v>83</v>
          </cell>
        </row>
        <row r="90">
          <cell r="B90">
            <v>84</v>
          </cell>
        </row>
        <row r="91">
          <cell r="B91">
            <v>85</v>
          </cell>
        </row>
        <row r="92">
          <cell r="B92">
            <v>86</v>
          </cell>
        </row>
        <row r="93">
          <cell r="B93">
            <v>87</v>
          </cell>
        </row>
        <row r="94">
          <cell r="B94">
            <v>88</v>
          </cell>
        </row>
        <row r="95">
          <cell r="B95">
            <v>89</v>
          </cell>
        </row>
        <row r="96">
          <cell r="B96">
            <v>90</v>
          </cell>
        </row>
        <row r="97">
          <cell r="B97">
            <v>91</v>
          </cell>
        </row>
        <row r="98">
          <cell r="B98">
            <v>92</v>
          </cell>
        </row>
        <row r="99">
          <cell r="B99">
            <v>93</v>
          </cell>
        </row>
        <row r="100">
          <cell r="B100">
            <v>94</v>
          </cell>
        </row>
        <row r="101">
          <cell r="B101">
            <v>95</v>
          </cell>
        </row>
        <row r="102">
          <cell r="B102">
            <v>96</v>
          </cell>
        </row>
        <row r="103">
          <cell r="B103">
            <v>97</v>
          </cell>
        </row>
        <row r="104">
          <cell r="B104">
            <v>98</v>
          </cell>
        </row>
        <row r="105">
          <cell r="B105">
            <v>99</v>
          </cell>
        </row>
      </sheetData>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Dtree1"/>
      <sheetName val="Parameters"/>
    </sheetNames>
    <sheetDataSet>
      <sheetData sheetId="0"/>
      <sheetData sheetId="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Models"/>
      <sheetName val="Parameters"/>
      <sheetName val="Simulation"/>
      <sheetName val="reviews"/>
      <sheetName val="Copy of WorksheetESRD"/>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Figure"/>
      <sheetName val="Analysis"/>
      <sheetName val="Parameters"/>
      <sheetName val="Life tables"/>
      <sheetName val="Hazard function"/>
      <sheetName val="Standard"/>
      <sheetName val="NP1"/>
      <sheetName val="Simulation"/>
      <sheetName val="EVPI"/>
      <sheetName val="partial EVPI"/>
      <sheetName val="Macros"/>
    </sheetNames>
    <sheetDataSet>
      <sheetData sheetId="0" refreshError="1"/>
      <sheetData sheetId="1" refreshError="1"/>
      <sheetData sheetId="2" refreshError="1"/>
      <sheetData sheetId="3" refreshError="1"/>
      <sheetData sheetId="4" refreshError="1"/>
      <sheetData sheetId="5" refreshError="1">
        <row r="68">
          <cell r="M68">
            <v>512.43465834364304</v>
          </cell>
          <cell r="O68">
            <v>14.653189614825321</v>
          </cell>
        </row>
      </sheetData>
      <sheetData sheetId="6" refreshError="1">
        <row r="68">
          <cell r="M68">
            <v>610.31181775758273</v>
          </cell>
          <cell r="O68">
            <v>14.697709857306155</v>
          </cell>
        </row>
      </sheetData>
      <sheetData sheetId="7" refreshError="1"/>
      <sheetData sheetId="8" refreshError="1"/>
      <sheetData sheetId="9" refreshError="1"/>
      <sheetData sheetId="10" refreshError="1"/>
    </sheetDataSet>
  </externalBook>
</externalLink>
</file>

<file path=xl/persons/person.xml><?xml version="1.0" encoding="utf-8"?>
<personList xmlns="http://schemas.microsoft.com/office/spreadsheetml/2018/threadedcomments" xmlns:x="http://schemas.openxmlformats.org/spreadsheetml/2006/main">
  <person displayName="Yot Teerawattananon" id="{38AB6F31-A29A-4B3F-925B-958F62D45AE2}" userId="S::Yot.t@hitap.net::196f0c34-a3e2-47d8-83a3-a685eb0a7783" providerId="AD"/>
  <person displayName="Molly Paffett" id="{45DBB841-896C-C14A-A06B-F94816C31B46}" userId="S::mep536@york.ac.uk::6cd8d64a-f1b4-487f-bbe2-356eb5eeded6"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4697C1-4F19-0848-A9DD-430EBCDCCB63}" name="Table1" displayName="Table1" ref="A1:F39" totalsRowShown="0">
  <autoFilter ref="A1:F39" xr:uid="{304697C1-4F19-0848-A9DD-430EBCDCCB63}"/>
  <sortState xmlns:xlrd2="http://schemas.microsoft.com/office/spreadsheetml/2017/richdata2" ref="A2:F39">
    <sortCondition descending="1" ref="F1:F39"/>
  </sortState>
  <tableColumns count="6">
    <tableColumn id="1" xr3:uid="{608DAFE9-0932-3544-AE24-B5F297E0826A}" name="Parameter" dataDxfId="20"/>
    <tableColumn id="2" xr3:uid="{3FD1F4A3-D558-154B-B08A-F950C8E309C7}" name="Lower bound 95% CI applied" dataDxfId="19"/>
    <tableColumn id="3" xr3:uid="{75435643-D836-4441-BF23-F8BB734B949E}" name="Upper bound 95% CI applied" dataDxfId="18"/>
    <tableColumn id="4" xr3:uid="{DA392E70-ECAC-694C-B111-1BFF77CF3A4D}" name="% change when lower bound 95% CI applied" dataDxfId="17">
      <calculatedColumnFormula>(B2-CUA!$C$9)/(CUA!$C$9)</calculatedColumnFormula>
    </tableColumn>
    <tableColumn id="5" xr3:uid="{72D339F1-FB00-7547-B460-D64C3456BA41}" name="% change when upper bound 95% CI applied" dataDxfId="16">
      <calculatedColumnFormula>(C2-CUA!$C$9)/(CUA!$C$9)</calculatedColumnFormula>
    </tableColumn>
    <tableColumn id="6" xr3:uid="{7B3D9238-A10A-3741-8F32-CA39BD87D5D5}" name="Diffrence" dataDxfId="15">
      <calculatedColumnFormula>(Table1[[#This Row],[Upper bound 95% CI applied]]-Table1[[#This Row],[Lower bound 95% CI applied]])^2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E902AE-6431-1D4C-9B05-EE4DDB9742A7}" name="Table3" displayName="Table3" ref="A1:H40" totalsRowShown="0">
  <autoFilter ref="A1:H40" xr:uid="{33E902AE-6431-1D4C-9B05-EE4DDB9742A7}"/>
  <sortState xmlns:xlrd2="http://schemas.microsoft.com/office/spreadsheetml/2017/richdata2" ref="A2:H40">
    <sortCondition descending="1" ref="G1:G40"/>
  </sortState>
  <tableColumns count="8">
    <tableColumn id="1" xr3:uid="{BD1DE4DC-1C17-044C-B75C-689EE6EE54FD}" name="Name" dataDxfId="10"/>
    <tableColumn id="7" xr3:uid="{D8BF7794-BE22-44C3-B47D-595AD0972DE8}" name="Column1" dataDxfId="9"/>
    <tableColumn id="2" xr3:uid="{1F472216-FE6C-CB45-8169-A68D7DE4CCD1}" name="Lower ICER"/>
    <tableColumn id="3" xr3:uid="{19CD96CA-8E34-CF49-B624-520892BE4397}" name="Upper ICER"/>
    <tableColumn id="4" xr3:uid="{36FC687B-FBE1-B94A-BEB3-E19FA5317D73}" name="% change in ICER when lower bound 95% CI applied"/>
    <tableColumn id="5" xr3:uid="{DEAAA37C-D450-5C47-A207-F45EF9147F73}" name="% change in ICER when upper bound 95% CI applied"/>
    <tableColumn id="8" xr3:uid="{C75568C1-46C0-437F-A4C9-504FFA2CA746}" name="Column2" dataDxfId="8">
      <calculatedColumnFormula>ABS(Table3[[#This Row],[% change in ICER when lower bound 95% CI applied]])+ABS(Table3[[#This Row],[% change in ICER when upper bound 95% CI applied]])</calculatedColumnFormula>
    </tableColumn>
    <tableColumn id="6" xr3:uid="{98D8F3E2-09CE-5147-A189-0A2BEC8E1C0F}" name="Difference">
      <calculatedColumnFormula>(D2-C2)^2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3" dT="2023-06-01T19:12:30.13" personId="{45DBB841-896C-C14A-A06B-F94816C31B46}" id="{C2D44FA7-15C6-4242-B0D7-D05B40998A38}">
    <text>Are these columns needed when using Dirichlet for probabilistic analysis?</text>
  </threadedComment>
  <threadedComment ref="A25" dT="2023-05-29T11:30:01.50" personId="{38AB6F31-A29A-4B3F-925B-958F62D45AE2}" id="{52F950DB-09C4-4C41-B5C5-F9D154767ED2}" done="1">
    <text>Do you consider using RR to determine treatment effect rather than using absolute prob?</text>
  </threadedComment>
  <threadedComment ref="B29" dT="2023-06-11T07:24:43.38" personId="{38AB6F31-A29A-4B3F-925B-958F62D45AE2}" id="{068A8EAC-AD19-492E-96BC-B36AF54BAA9D}" done="1">
    <text xml:space="preserve">1. Why was this parameter applied in both markov worksheets i.e. MM conventional and MDCT? 
2. We need to find good justiciation whether this RR can be applied to every step of CKD progression or only particular steps? </text>
  </threadedComment>
  <threadedComment ref="B29" dT="2023-06-12T03:37:55.10" personId="{45DBB841-896C-C14A-A06B-F94816C31B46}" id="{976AE943-1AC5-456E-A80E-76BAF5824926}" parentId="{068A8EAC-AD19-492E-96BC-B36AF54BAA9D}">
    <text>I think that the MM MDCT sheet IF function was allocated the wrong number in C1 - I have now resolved this.
I assumed that it would be applied in each stage when constructing the model, but I can adjust when we know which stages we want to apply it too.</text>
  </threadedComment>
  <threadedComment ref="I49" dT="2023-06-11T07:20:43.14" personId="{38AB6F31-A29A-4B3F-925B-958F62D45AE2}" id="{240CC355-DAC2-4336-84E6-024E69BBA6DB}" done="1">
    <text>The formulation for calculating alpha and beta of the gramma distribution are incorrect. Pls revise them accordingly!</text>
  </threadedComment>
  <threadedComment ref="I49" dT="2023-06-12T06:24:52.45" personId="{45DBB841-896C-C14A-A06B-F94816C31B46}" id="{A48E6179-C532-DC4C-93BF-61DBF321DE8E}" parentId="{240CC355-DAC2-4336-84E6-024E69BBA6DB}">
    <text>Resolved using Briggs et al 2002</text>
  </threadedComment>
</ThreadedComments>
</file>

<file path=xl/threadedComments/threadedComment2.xml><?xml version="1.0" encoding="utf-8"?>
<ThreadedComments xmlns="http://schemas.microsoft.com/office/spreadsheetml/2018/threadedcomments" xmlns:x="http://schemas.openxmlformats.org/spreadsheetml/2006/main">
  <threadedComment ref="E4" dT="2023-06-11T07:33:28.29" personId="{38AB6F31-A29A-4B3F-925B-958F62D45AE2}" id="{B30B53F4-87C0-4240-B6A3-89A8B24DCCAF}" done="1">
    <text xml:space="preserve">Pls down load Thailand's 2014 life table here http://www.gear4health.com/material-and-training/tool/detail/14
And then incorporate the baseline mortality in the B column. Please note that you need to consider the age of starting treatment. You may ask the data team to inform the average age of treatment started from ECORT1 and 2 </text>
  </threadedComment>
  <threadedComment ref="K5" dT="2023-06-20T03:20:38.86" personId="{45DBB841-896C-C14A-A06B-F94816C31B46}" id="{E43EDF50-0575-E84A-8C7F-BBC8570D2963}">
    <text>(SUM*(1-baseline mortality)*dirichlet</text>
  </threadedComment>
  <threadedComment ref="K103" dT="2023-06-19T03:47:41.57" personId="{45DBB841-896C-C14A-A06B-F94816C31B46}" id="{3C3737F9-8C9F-914C-9A70-FDBCAC53D2A8}" done="1">
    <text>Yot: Pls fix the last row!</text>
  </threadedComment>
</ThreadedComments>
</file>

<file path=xl/threadedComments/threadedComment3.xml><?xml version="1.0" encoding="utf-8"?>
<ThreadedComments xmlns="http://schemas.microsoft.com/office/spreadsheetml/2018/threadedcomments" xmlns:x="http://schemas.openxmlformats.org/spreadsheetml/2006/main">
  <threadedComment ref="E4" dT="2023-06-11T07:33:28.29" personId="{38AB6F31-A29A-4B3F-925B-958F62D45AE2}" id="{E0A108C1-1826-A34E-A190-D29B75946C1C}" done="1">
    <text xml:space="preserve">Pls down load Thailand's 2014 life table here http://www.gear4health.com/material-and-training/tool/detail/14
And then incorporate the baseline mortality in the B column. Please note that you need to consider the age of starting treatment. You may ask the data team to inform the average age of treatment started from ECORT1 and 2 </text>
  </threadedComment>
  <threadedComment ref="K5" dT="2023-06-20T03:20:38.86" personId="{45DBB841-896C-C14A-A06B-F94816C31B46}" id="{D2DDB09D-2E68-6340-B1C1-1F4783F74C02}" done="1">
    <text>(SUM*(1-baseline mortality)*dirichlet</text>
  </threadedComment>
  <threadedComment ref="K103" dT="2023-06-19T03:48:15.02" personId="{45DBB841-896C-C14A-A06B-F94816C31B46}" id="{A38EBC71-F44A-6F48-BAED-8A2A6FFA99B2}" done="1">
    <text>Yot: You need to check whether these negative figures are resulted from the use of norminv in dirichlet worksheet or not. If not, then you may need to understand why these happened and fix the problems.</text>
  </threadedComment>
  <threadedComment ref="K103" dT="2023-06-19T03:48:25.82" personId="{45DBB841-896C-C14A-A06B-F94816C31B46}" id="{44CFFC9E-7B33-7346-A0CB-F44534BE7A9D}" parentId="{A38EBC71-F44A-6F48-BAED-8A2A6FFA99B2}">
    <text>Have now corrected the use of NORMINV to GAMMAINV in the Dirichelt worksheet but the numbers have remained negative</text>
  </threadedComment>
  <threadedComment ref="K103" dT="2023-06-19T03:49:40.71" personId="{45DBB841-896C-C14A-A06B-F94816C31B46}" id="{237C4B47-81CE-E343-AFF4-147447498AD3}" parentId="{A38EBC71-F44A-6F48-BAED-8A2A6FFA99B2}">
    <text>Realised the bottom row was referencing a different spreadsheet - now resolved and no longer negative</text>
  </threadedComment>
</ThreadedComments>
</file>

<file path=xl/threadedComments/threadedComment4.xml><?xml version="1.0" encoding="utf-8"?>
<ThreadedComments xmlns="http://schemas.microsoft.com/office/spreadsheetml/2018/threadedcomments" xmlns:x="http://schemas.openxmlformats.org/spreadsheetml/2006/main">
  <threadedComment ref="BF7" dT="2023-06-23T04:52:29.54" personId="{45DBB841-896C-C14A-A06B-F94816C31B46}" id="{B565E06E-6DD5-EC48-A608-5048CE4124F2}">
    <text>Is there a way in VBA to check that these cells do not return an error, and to repeat the copy/paste process of row 5 into the respective row until they do not?</text>
  </threadedComment>
  <threadedComment ref="BF7" dT="2023-06-23T04:54:25.17" personId="{45DBB841-896C-C14A-A06B-F94816C31B46}" id="{5E6123E7-C77D-CC49-8651-C6D2FDDE56AC}" parentId="{B565E06E-6DD5-EC48-A608-5048CE4124F2}">
    <text>Namely the #DIV/0! Error</text>
  </threadedComment>
  <threadedComment ref="BF7" dT="2023-06-23T07:40:55.64" personId="{45DBB841-896C-C14A-A06B-F94816C31B46}" id="{83C392E5-9F92-2B4D-B813-5D93D193C670}" parentId="{B565E06E-6DD5-EC48-A608-5048CE4124F2}">
    <text>RESOLVED within the code, but is this okay or cheating as never allows for the possibility of the transitional probs to be equal to 0?</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 Id="rId4" Type="http://schemas.microsoft.com/office/2017/10/relationships/threadedComment" Target="../threadedComments/threadedComment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7AF40-CFEF-7B4B-A777-52120D9A5327}">
  <sheetPr codeName="Sheet1"/>
  <dimension ref="A1"/>
  <sheetViews>
    <sheetView showGridLines="0" zoomScaleNormal="100" workbookViewId="0">
      <selection activeCell="I31" sqref="I31"/>
    </sheetView>
  </sheetViews>
  <sheetFormatPr defaultColWidth="11" defaultRowHeight="15.7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6A308-48FF-2949-8A31-7ED6E2DE4DF0}">
  <sheetPr codeName="Sheet9"/>
  <dimension ref="A1:W69"/>
  <sheetViews>
    <sheetView zoomScale="34" zoomScaleNormal="100" workbookViewId="0">
      <pane ySplit="1" topLeftCell="A2" activePane="bottomLeft" state="frozen"/>
      <selection pane="bottomLeft" activeCell="D9" sqref="D9"/>
    </sheetView>
  </sheetViews>
  <sheetFormatPr defaultColWidth="11" defaultRowHeight="15.75"/>
  <cols>
    <col min="2" max="2" width="10.75" customWidth="1"/>
    <col min="19" max="19" width="10.75" style="10"/>
  </cols>
  <sheetData>
    <row r="1" spans="1:23" ht="16.5" thickBot="1">
      <c r="A1" s="712" t="s">
        <v>229</v>
      </c>
      <c r="B1" s="713"/>
      <c r="C1" s="713"/>
      <c r="D1" s="713"/>
      <c r="E1" s="713"/>
      <c r="F1" s="713"/>
      <c r="G1" s="713"/>
      <c r="H1" s="714"/>
      <c r="J1" s="718" t="s">
        <v>230</v>
      </c>
      <c r="K1" s="719"/>
      <c r="L1" s="719"/>
      <c r="M1" s="719"/>
      <c r="N1" s="719"/>
      <c r="O1" s="719"/>
      <c r="P1" s="719"/>
      <c r="Q1" s="720"/>
      <c r="S1" s="138"/>
      <c r="T1" s="709" t="s">
        <v>243</v>
      </c>
      <c r="U1" s="710"/>
      <c r="V1" s="710"/>
      <c r="W1" s="711"/>
    </row>
    <row r="2" spans="1:23" ht="9" customHeight="1" thickBot="1"/>
    <row r="3" spans="1:23">
      <c r="A3" s="715" t="s">
        <v>1</v>
      </c>
      <c r="B3" s="716"/>
      <c r="C3" s="716"/>
      <c r="D3" s="716"/>
      <c r="E3" s="716"/>
      <c r="F3" s="716"/>
      <c r="G3" s="716"/>
      <c r="H3" s="717"/>
      <c r="J3" s="721" t="s">
        <v>1</v>
      </c>
      <c r="K3" s="722"/>
      <c r="L3" s="722"/>
      <c r="M3" s="722"/>
      <c r="N3" s="722"/>
      <c r="O3" s="722"/>
      <c r="P3" s="722"/>
      <c r="Q3" s="723"/>
      <c r="T3" s="222" t="s">
        <v>219</v>
      </c>
      <c r="U3" s="223" t="s">
        <v>227</v>
      </c>
      <c r="V3" s="223" t="s">
        <v>244</v>
      </c>
      <c r="W3" s="223" t="s">
        <v>245</v>
      </c>
    </row>
    <row r="4" spans="1:23">
      <c r="A4" s="31"/>
      <c r="B4" s="320" t="s">
        <v>2</v>
      </c>
      <c r="C4" s="320" t="s">
        <v>3</v>
      </c>
      <c r="D4" s="320">
        <v>4</v>
      </c>
      <c r="E4" s="320">
        <v>5</v>
      </c>
      <c r="F4" s="74" t="s">
        <v>4</v>
      </c>
      <c r="G4" s="74" t="s">
        <v>5</v>
      </c>
      <c r="H4" s="32" t="s">
        <v>6</v>
      </c>
      <c r="J4" s="31"/>
      <c r="K4" s="320" t="s">
        <v>2</v>
      </c>
      <c r="L4" s="320" t="s">
        <v>3</v>
      </c>
      <c r="M4" s="320">
        <v>4</v>
      </c>
      <c r="N4" s="320">
        <v>5</v>
      </c>
      <c r="O4" s="74" t="s">
        <v>4</v>
      </c>
      <c r="P4" s="74" t="s">
        <v>5</v>
      </c>
      <c r="Q4" s="32" t="s">
        <v>6</v>
      </c>
      <c r="T4" s="10">
        <v>-20</v>
      </c>
      <c r="U4">
        <v>2</v>
      </c>
      <c r="W4" s="95">
        <v>55.18271</v>
      </c>
    </row>
    <row r="5" spans="1:23">
      <c r="A5" s="31" t="s">
        <v>2</v>
      </c>
      <c r="B5">
        <v>201</v>
      </c>
      <c r="C5">
        <v>201</v>
      </c>
      <c r="F5" s="321"/>
      <c r="G5" s="322"/>
      <c r="H5" s="34">
        <f>SUM(B5:G5)</f>
        <v>402</v>
      </c>
      <c r="J5" s="31" t="s">
        <v>2</v>
      </c>
      <c r="K5">
        <v>232</v>
      </c>
      <c r="L5">
        <v>232</v>
      </c>
      <c r="O5" s="321"/>
      <c r="P5" s="322"/>
      <c r="Q5" s="34">
        <f>SUM(K5:P5)</f>
        <v>464</v>
      </c>
      <c r="T5" s="10">
        <v>-10</v>
      </c>
      <c r="U5">
        <v>2</v>
      </c>
      <c r="W5" s="95">
        <v>48.3583</v>
      </c>
    </row>
    <row r="6" spans="1:23">
      <c r="A6" s="31" t="s">
        <v>3</v>
      </c>
      <c r="C6">
        <v>603</v>
      </c>
      <c r="D6">
        <v>201</v>
      </c>
      <c r="F6" s="321"/>
      <c r="G6" s="322"/>
      <c r="H6" s="34">
        <f>SUM(B6:G6)</f>
        <v>804</v>
      </c>
      <c r="J6" s="31" t="s">
        <v>3</v>
      </c>
      <c r="L6">
        <v>1856</v>
      </c>
      <c r="M6">
        <v>232</v>
      </c>
      <c r="O6" s="321"/>
      <c r="P6" s="322"/>
      <c r="Q6" s="34">
        <f>SUM(K6:P6)</f>
        <v>2088</v>
      </c>
      <c r="T6" s="10">
        <v>-5</v>
      </c>
      <c r="U6">
        <v>3</v>
      </c>
      <c r="V6">
        <v>53.564990000000002</v>
      </c>
      <c r="W6" s="95">
        <v>44.946089999999998</v>
      </c>
    </row>
    <row r="7" spans="1:23">
      <c r="A7" s="31">
        <v>4</v>
      </c>
      <c r="D7">
        <v>201</v>
      </c>
      <c r="E7">
        <v>201</v>
      </c>
      <c r="F7" s="321"/>
      <c r="G7" s="322"/>
      <c r="H7" s="34">
        <f>SUM(B7:G7)</f>
        <v>402</v>
      </c>
      <c r="J7" s="31">
        <v>4</v>
      </c>
      <c r="M7">
        <v>1160</v>
      </c>
      <c r="N7">
        <v>232</v>
      </c>
      <c r="O7" s="321"/>
      <c r="P7" s="322"/>
      <c r="Q7" s="34">
        <f>SUM(K7:P7)</f>
        <v>1392</v>
      </c>
      <c r="T7" s="10">
        <v>-3</v>
      </c>
      <c r="U7">
        <v>3</v>
      </c>
      <c r="V7">
        <v>48.752540000000003</v>
      </c>
      <c r="W7" s="95">
        <v>43.581200000000003</v>
      </c>
    </row>
    <row r="8" spans="1:23">
      <c r="A8" s="329">
        <v>5</v>
      </c>
      <c r="B8" s="253"/>
      <c r="C8" s="253"/>
      <c r="D8" s="253"/>
      <c r="E8" s="328">
        <f>100-F8-G8</f>
        <v>12.5</v>
      </c>
      <c r="F8" s="253">
        <v>50</v>
      </c>
      <c r="G8" s="328">
        <f>0.75*F8</f>
        <v>37.5</v>
      </c>
      <c r="H8" s="330">
        <f>SUM(B8:G8)</f>
        <v>100</v>
      </c>
      <c r="J8" s="329">
        <v>5</v>
      </c>
      <c r="K8" s="253"/>
      <c r="L8" s="253"/>
      <c r="M8" s="253"/>
      <c r="N8" s="253">
        <f>E8</f>
        <v>12.5</v>
      </c>
      <c r="O8" s="253">
        <f>F8</f>
        <v>50</v>
      </c>
      <c r="P8" s="328">
        <f>G8</f>
        <v>37.5</v>
      </c>
      <c r="Q8" s="330">
        <f>SUM(K8:P8)</f>
        <v>100</v>
      </c>
      <c r="T8" s="10">
        <v>-1</v>
      </c>
      <c r="U8">
        <v>3</v>
      </c>
      <c r="V8">
        <v>43.940100000000001</v>
      </c>
      <c r="W8" s="95">
        <v>42.216320000000003</v>
      </c>
    </row>
    <row r="9" spans="1:23" ht="16.5" thickBot="1">
      <c r="A9" s="331" t="s">
        <v>7</v>
      </c>
      <c r="B9" s="332"/>
      <c r="C9" s="332"/>
      <c r="D9" s="332"/>
      <c r="E9" s="332"/>
      <c r="F9" s="332">
        <f>83</f>
        <v>83</v>
      </c>
      <c r="G9" s="332">
        <f>100-F9</f>
        <v>17</v>
      </c>
      <c r="H9" s="333">
        <f>SUM(B9:G9)</f>
        <v>100</v>
      </c>
      <c r="J9" s="331" t="s">
        <v>7</v>
      </c>
      <c r="K9" s="332"/>
      <c r="L9" s="332"/>
      <c r="M9" s="332"/>
      <c r="N9" s="332"/>
      <c r="O9" s="332">
        <f>F9</f>
        <v>83</v>
      </c>
      <c r="P9" s="332">
        <f>G9</f>
        <v>17</v>
      </c>
      <c r="Q9" s="333">
        <f>SUM(K9:P9)</f>
        <v>100</v>
      </c>
      <c r="T9" s="10">
        <v>0</v>
      </c>
      <c r="U9">
        <v>3</v>
      </c>
      <c r="V9">
        <v>41.533880000000003</v>
      </c>
      <c r="W9" s="95">
        <v>41.533880000000003</v>
      </c>
    </row>
    <row r="10" spans="1:23" ht="16.5" thickBot="1">
      <c r="N10" s="123"/>
      <c r="O10" s="123"/>
      <c r="T10" s="10">
        <v>1</v>
      </c>
      <c r="U10">
        <v>3</v>
      </c>
      <c r="V10">
        <v>39.127659999999999</v>
      </c>
      <c r="W10" s="95">
        <v>40.851439999999997</v>
      </c>
    </row>
    <row r="11" spans="1:23">
      <c r="A11" s="715" t="s">
        <v>8</v>
      </c>
      <c r="B11" s="716"/>
      <c r="C11" s="716"/>
      <c r="D11" s="716"/>
      <c r="E11" s="716"/>
      <c r="F11" s="716"/>
      <c r="G11" s="716"/>
      <c r="H11" s="717"/>
      <c r="J11" s="721" t="s">
        <v>224</v>
      </c>
      <c r="K11" s="722"/>
      <c r="L11" s="722"/>
      <c r="M11" s="722"/>
      <c r="N11" s="722"/>
      <c r="O11" s="722"/>
      <c r="P11" s="722"/>
      <c r="Q11" s="723"/>
      <c r="T11" s="10">
        <v>2</v>
      </c>
      <c r="U11">
        <v>3</v>
      </c>
      <c r="V11">
        <v>36.721440000000001</v>
      </c>
      <c r="W11" s="95">
        <v>40.168990000000001</v>
      </c>
    </row>
    <row r="12" spans="1:23">
      <c r="A12" s="31"/>
      <c r="B12" s="320" t="s">
        <v>2</v>
      </c>
      <c r="C12" s="320" t="s">
        <v>3</v>
      </c>
      <c r="D12" s="320">
        <v>4</v>
      </c>
      <c r="E12" s="320">
        <v>5</v>
      </c>
      <c r="F12" s="74" t="s">
        <v>4</v>
      </c>
      <c r="G12" s="74" t="s">
        <v>5</v>
      </c>
      <c r="H12" s="32" t="s">
        <v>6</v>
      </c>
      <c r="J12" s="31"/>
      <c r="K12" s="320" t="s">
        <v>2</v>
      </c>
      <c r="L12" s="320" t="s">
        <v>3</v>
      </c>
      <c r="M12" s="320">
        <v>4</v>
      </c>
      <c r="N12" s="320">
        <v>5</v>
      </c>
      <c r="O12" s="74" t="s">
        <v>4</v>
      </c>
      <c r="P12" s="74" t="s">
        <v>5</v>
      </c>
      <c r="Q12" s="32" t="s">
        <v>6</v>
      </c>
      <c r="T12" s="10">
        <v>6</v>
      </c>
      <c r="U12">
        <v>3</v>
      </c>
      <c r="V12">
        <v>27.096540000000001</v>
      </c>
      <c r="W12" s="95">
        <v>37.439230000000002</v>
      </c>
    </row>
    <row r="13" spans="1:23">
      <c r="A13" s="31" t="s">
        <v>2</v>
      </c>
      <c r="B13" s="323">
        <f t="shared" ref="B13:G13" si="0">B$5/$H5</f>
        <v>0.5</v>
      </c>
      <c r="C13" s="323">
        <f t="shared" si="0"/>
        <v>0.5</v>
      </c>
      <c r="D13" s="323">
        <f t="shared" si="0"/>
        <v>0</v>
      </c>
      <c r="E13" s="323">
        <f t="shared" si="0"/>
        <v>0</v>
      </c>
      <c r="F13" s="324">
        <f t="shared" si="0"/>
        <v>0</v>
      </c>
      <c r="G13" s="324">
        <f t="shared" si="0"/>
        <v>0</v>
      </c>
      <c r="H13" s="14">
        <f t="shared" ref="H13:H18" si="1">SUM(B13:G13)</f>
        <v>1</v>
      </c>
      <c r="J13" s="31" t="s">
        <v>2</v>
      </c>
      <c r="K13" s="323">
        <f>K$5/$Q5</f>
        <v>0.5</v>
      </c>
      <c r="L13" s="323">
        <f t="shared" ref="L13:P13" si="2">L$5/$Q5</f>
        <v>0.5</v>
      </c>
      <c r="M13" s="323">
        <f t="shared" si="2"/>
        <v>0</v>
      </c>
      <c r="N13" s="323">
        <f t="shared" si="2"/>
        <v>0</v>
      </c>
      <c r="O13" s="324">
        <f t="shared" si="2"/>
        <v>0</v>
      </c>
      <c r="P13" s="324">
        <f t="shared" si="2"/>
        <v>0</v>
      </c>
      <c r="Q13" s="14">
        <f t="shared" ref="Q13:Q18" si="3">SUM(K13:P13)</f>
        <v>1</v>
      </c>
      <c r="T13" s="10">
        <v>10</v>
      </c>
      <c r="U13">
        <v>3</v>
      </c>
      <c r="V13">
        <v>17.47166</v>
      </c>
      <c r="W13" s="95">
        <v>34.70946</v>
      </c>
    </row>
    <row r="14" spans="1:23">
      <c r="A14" s="31" t="s">
        <v>3</v>
      </c>
      <c r="B14" s="323">
        <v>0</v>
      </c>
      <c r="C14" s="323">
        <f>C$6/$H6</f>
        <v>0.75</v>
      </c>
      <c r="D14" s="323">
        <f>D$6/$H6</f>
        <v>0.25</v>
      </c>
      <c r="E14" s="323">
        <f>E$6/$H6</f>
        <v>0</v>
      </c>
      <c r="F14" s="324">
        <f>F$6/$H6</f>
        <v>0</v>
      </c>
      <c r="G14" s="324">
        <f>G$6/$H6</f>
        <v>0</v>
      </c>
      <c r="H14" s="14">
        <f t="shared" si="1"/>
        <v>1</v>
      </c>
      <c r="J14" s="31" t="s">
        <v>3</v>
      </c>
      <c r="K14" s="323">
        <v>0</v>
      </c>
      <c r="L14" s="323">
        <f>L$6/$Q6</f>
        <v>0.88888888888888884</v>
      </c>
      <c r="M14" s="323">
        <f t="shared" ref="M14:P14" si="4">M$6/$Q6</f>
        <v>0.1111111111111111</v>
      </c>
      <c r="N14" s="323">
        <f>N$6/$Q6</f>
        <v>0</v>
      </c>
      <c r="O14" s="324">
        <f t="shared" si="4"/>
        <v>0</v>
      </c>
      <c r="P14" s="324">
        <f t="shared" si="4"/>
        <v>0</v>
      </c>
      <c r="Q14" s="14">
        <f t="shared" si="3"/>
        <v>1</v>
      </c>
      <c r="T14" s="10">
        <v>14</v>
      </c>
      <c r="U14">
        <v>3</v>
      </c>
      <c r="V14">
        <v>7.8467669999999998</v>
      </c>
      <c r="W14" s="95">
        <v>31.979700000000001</v>
      </c>
    </row>
    <row r="15" spans="1:23">
      <c r="A15" s="31">
        <v>4</v>
      </c>
      <c r="B15" s="323">
        <v>0</v>
      </c>
      <c r="C15" s="323">
        <v>0</v>
      </c>
      <c r="D15" s="323">
        <f>D$7/$H7</f>
        <v>0.5</v>
      </c>
      <c r="E15" s="323">
        <f>E$7/$H7</f>
        <v>0.5</v>
      </c>
      <c r="F15" s="324">
        <f>F$7/$H7</f>
        <v>0</v>
      </c>
      <c r="G15" s="324">
        <f>G$7/$H7</f>
        <v>0</v>
      </c>
      <c r="H15" s="14">
        <f t="shared" si="1"/>
        <v>1</v>
      </c>
      <c r="J15" s="31">
        <v>4</v>
      </c>
      <c r="K15" s="323">
        <v>0</v>
      </c>
      <c r="L15" s="323">
        <v>0</v>
      </c>
      <c r="M15" s="323">
        <f>M7/Q7</f>
        <v>0.83333333333333337</v>
      </c>
      <c r="N15" s="323">
        <f>N7/Q7</f>
        <v>0.16666666666666666</v>
      </c>
      <c r="O15" s="324">
        <f t="shared" ref="O15:P15" si="5">O$7/$Q7</f>
        <v>0</v>
      </c>
      <c r="P15" s="324">
        <f t="shared" si="5"/>
        <v>0</v>
      </c>
      <c r="Q15" s="14">
        <f t="shared" si="3"/>
        <v>1</v>
      </c>
      <c r="T15" s="10">
        <v>18</v>
      </c>
      <c r="U15">
        <v>4</v>
      </c>
      <c r="V15">
        <v>-1.7781260000000001</v>
      </c>
      <c r="W15" s="95">
        <v>29.249929999999999</v>
      </c>
    </row>
    <row r="16" spans="1:23">
      <c r="A16" s="329">
        <v>5</v>
      </c>
      <c r="B16" s="334">
        <v>0</v>
      </c>
      <c r="C16" s="334">
        <v>0</v>
      </c>
      <c r="D16" s="334">
        <v>0</v>
      </c>
      <c r="E16" s="334">
        <f>E$8/$H8</f>
        <v>0.125</v>
      </c>
      <c r="F16" s="334">
        <f>F$8/$H8</f>
        <v>0.5</v>
      </c>
      <c r="G16" s="334">
        <f>G$8/$H8</f>
        <v>0.375</v>
      </c>
      <c r="H16" s="14">
        <f t="shared" si="1"/>
        <v>1</v>
      </c>
      <c r="J16" s="329">
        <v>5</v>
      </c>
      <c r="K16" s="334">
        <v>0</v>
      </c>
      <c r="L16" s="334">
        <v>0</v>
      </c>
      <c r="M16" s="334">
        <v>0</v>
      </c>
      <c r="N16" s="334">
        <f>N$8/$Q8</f>
        <v>0.125</v>
      </c>
      <c r="O16" s="334">
        <f t="shared" ref="O16:P16" si="6">O$8/$Q8</f>
        <v>0.5</v>
      </c>
      <c r="P16" s="334">
        <f t="shared" si="6"/>
        <v>0.375</v>
      </c>
      <c r="Q16" s="14">
        <f t="shared" si="3"/>
        <v>1</v>
      </c>
      <c r="T16" s="10">
        <v>22</v>
      </c>
      <c r="U16">
        <v>4</v>
      </c>
      <c r="W16" s="95">
        <v>26.520160000000001</v>
      </c>
    </row>
    <row r="17" spans="1:23" ht="16.5" thickBot="1">
      <c r="A17" s="331" t="s">
        <v>7</v>
      </c>
      <c r="B17" s="335">
        <v>0</v>
      </c>
      <c r="C17" s="335">
        <v>0</v>
      </c>
      <c r="D17" s="335">
        <v>0</v>
      </c>
      <c r="E17" s="335">
        <v>0</v>
      </c>
      <c r="F17" s="335">
        <f>F$9/$H9</f>
        <v>0.83</v>
      </c>
      <c r="G17" s="335">
        <f>G$9/$H9</f>
        <v>0.17</v>
      </c>
      <c r="H17" s="15">
        <f t="shared" si="1"/>
        <v>1</v>
      </c>
      <c r="J17" s="331" t="s">
        <v>7</v>
      </c>
      <c r="K17" s="335">
        <v>0</v>
      </c>
      <c r="L17" s="335">
        <v>0</v>
      </c>
      <c r="M17" s="335">
        <v>0</v>
      </c>
      <c r="N17" s="335">
        <v>0</v>
      </c>
      <c r="O17" s="335">
        <f>O$9/$Q9</f>
        <v>0.83</v>
      </c>
      <c r="P17" s="335">
        <f>P$9/$Q9</f>
        <v>0.17</v>
      </c>
      <c r="Q17" s="15">
        <f t="shared" si="3"/>
        <v>1</v>
      </c>
      <c r="T17" s="10">
        <v>26</v>
      </c>
      <c r="U17">
        <v>4</v>
      </c>
      <c r="W17" s="95">
        <v>23.790400000000002</v>
      </c>
    </row>
    <row r="18" spans="1:23">
      <c r="A18" s="74" t="s">
        <v>5</v>
      </c>
      <c r="B18" s="324">
        <v>0</v>
      </c>
      <c r="C18" s="324">
        <v>0</v>
      </c>
      <c r="D18" s="324">
        <v>0</v>
      </c>
      <c r="E18" s="324">
        <v>0</v>
      </c>
      <c r="F18" s="324">
        <v>0</v>
      </c>
      <c r="G18" s="324">
        <v>1</v>
      </c>
      <c r="H18" s="324">
        <f t="shared" si="1"/>
        <v>1</v>
      </c>
      <c r="J18" s="74" t="s">
        <v>5</v>
      </c>
      <c r="K18" s="324">
        <v>0</v>
      </c>
      <c r="L18" s="324">
        <v>0</v>
      </c>
      <c r="M18" s="324">
        <v>0</v>
      </c>
      <c r="N18" s="324">
        <v>0</v>
      </c>
      <c r="O18" s="324">
        <v>0</v>
      </c>
      <c r="P18" s="324">
        <v>1</v>
      </c>
      <c r="Q18" s="324">
        <f t="shared" si="3"/>
        <v>1</v>
      </c>
      <c r="T18" s="10">
        <v>30</v>
      </c>
      <c r="U18">
        <v>4</v>
      </c>
      <c r="W18" s="95">
        <v>21.06063</v>
      </c>
    </row>
    <row r="19" spans="1:23" ht="16.5" thickBot="1">
      <c r="P19" s="234"/>
      <c r="T19" s="10">
        <v>34</v>
      </c>
      <c r="U19">
        <v>4</v>
      </c>
      <c r="W19" s="95">
        <v>18.330860000000001</v>
      </c>
    </row>
    <row r="20" spans="1:23">
      <c r="A20" s="245" t="s">
        <v>225</v>
      </c>
      <c r="B20" s="246" t="s">
        <v>473</v>
      </c>
      <c r="C20" s="247" t="s">
        <v>467</v>
      </c>
      <c r="T20" s="10">
        <v>38</v>
      </c>
      <c r="U20">
        <v>4</v>
      </c>
      <c r="W20" s="95">
        <v>15.601100000000001</v>
      </c>
    </row>
    <row r="21" spans="1:23">
      <c r="A21" s="13" t="s">
        <v>55</v>
      </c>
      <c r="B21" s="367">
        <f>LN(C13/L13)</f>
        <v>0</v>
      </c>
      <c r="C21" s="95">
        <f>(SQRT(((L5/K5)/Q5)+((C5/B5)/H5)))</f>
        <v>6.813761518315585E-2</v>
      </c>
      <c r="T21" s="10">
        <v>42</v>
      </c>
      <c r="U21">
        <v>5</v>
      </c>
      <c r="W21" s="95">
        <v>12.87133</v>
      </c>
    </row>
    <row r="22" spans="1:23">
      <c r="A22" s="13" t="s">
        <v>57</v>
      </c>
      <c r="B22" s="1">
        <f>LN(D14/M14)</f>
        <v>0.81093021621632877</v>
      </c>
      <c r="C22" s="95">
        <f>SQRT(((M6/L6)/Q6)+((D6/C6)/H6))</f>
        <v>2.1782093530212598E-2</v>
      </c>
      <c r="T22" s="10">
        <v>50</v>
      </c>
      <c r="U22">
        <v>5</v>
      </c>
      <c r="W22" s="95">
        <v>7.4117990000000002</v>
      </c>
    </row>
    <row r="23" spans="1:23">
      <c r="A23" s="13" t="s">
        <v>59</v>
      </c>
      <c r="B23" s="1">
        <f>LN(E15/N15)</f>
        <v>1.0986122886681098</v>
      </c>
      <c r="C23" s="95">
        <f>SQRT((1/D7)+(1/M7)-(1/(D7+E7))-(1/(M7+N7)))</f>
        <v>5.1295617258926389E-2</v>
      </c>
      <c r="T23" s="10">
        <v>58</v>
      </c>
      <c r="U23">
        <v>6</v>
      </c>
      <c r="W23" s="95">
        <v>1.9522679999999999</v>
      </c>
    </row>
    <row r="24" spans="1:23" ht="16.5" thickBot="1">
      <c r="A24" s="237" t="s">
        <v>61</v>
      </c>
      <c r="B24" s="238">
        <f>F16/O16</f>
        <v>1</v>
      </c>
      <c r="C24" s="244"/>
      <c r="T24" s="84">
        <v>66</v>
      </c>
      <c r="U24" s="96">
        <v>6</v>
      </c>
      <c r="V24" s="96"/>
      <c r="W24" s="225">
        <v>-3.507263</v>
      </c>
    </row>
    <row r="26" spans="1:23">
      <c r="A26" s="11"/>
    </row>
    <row r="27" spans="1:23">
      <c r="A27" s="11"/>
    </row>
    <row r="28" spans="1:23">
      <c r="K28" t="s">
        <v>406</v>
      </c>
    </row>
    <row r="29" spans="1:23" ht="16.5" thickBot="1"/>
    <row r="30" spans="1:23">
      <c r="A30" s="87" t="s">
        <v>274</v>
      </c>
      <c r="B30" s="81" t="s">
        <v>2</v>
      </c>
      <c r="C30" s="81" t="s">
        <v>3</v>
      </c>
      <c r="D30" s="81" t="s">
        <v>168</v>
      </c>
      <c r="E30" s="81" t="s">
        <v>171</v>
      </c>
      <c r="F30" s="81" t="s">
        <v>7</v>
      </c>
      <c r="G30" s="82" t="s">
        <v>175</v>
      </c>
      <c r="S30"/>
    </row>
    <row r="31" spans="1:23">
      <c r="A31" s="259">
        <v>0</v>
      </c>
      <c r="B31" s="9">
        <f>'MM Conventional'!K4</f>
        <v>1</v>
      </c>
      <c r="C31" s="1">
        <f>'MM Conventional'!N4</f>
        <v>0</v>
      </c>
      <c r="D31" s="1">
        <f>'MM Conventional'!Q4</f>
        <v>0</v>
      </c>
      <c r="E31" s="1">
        <f>'MM Conventional'!T4</f>
        <v>0</v>
      </c>
      <c r="F31" s="1">
        <f>'MM Conventional'!W4</f>
        <v>0</v>
      </c>
      <c r="G31" s="256">
        <f>'MM Conventional'!Y4</f>
        <v>0</v>
      </c>
      <c r="S31"/>
    </row>
    <row r="32" spans="1:23">
      <c r="A32" s="260">
        <v>5</v>
      </c>
      <c r="B32" s="255">
        <f>'MM Conventional'!K9</f>
        <v>0.65515211559325948</v>
      </c>
      <c r="C32" s="1">
        <f>'MM Conventional'!N9</f>
        <v>0.10727076280322349</v>
      </c>
      <c r="D32" s="1">
        <f>'MM Conventional'!Q9</f>
        <v>1.4513545866686482E-2</v>
      </c>
      <c r="E32" s="1">
        <f>'MM Conventional'!T9</f>
        <v>4.4791385448700689E-3</v>
      </c>
      <c r="F32" s="1">
        <f>'MM Conventional'!W9</f>
        <v>8.6992319624460534E-3</v>
      </c>
      <c r="G32" s="256">
        <f>'MM Conventional'!Y9</f>
        <v>2.9217245532731022E-2</v>
      </c>
      <c r="S32"/>
    </row>
    <row r="33" spans="1:19">
      <c r="A33" s="260">
        <v>10</v>
      </c>
      <c r="B33" s="9">
        <f>'MM Conventional'!K14</f>
        <v>0.42578687435626256</v>
      </c>
      <c r="C33" s="1">
        <f>'MM Conventional'!N14</f>
        <v>9.2299602007028927E-2</v>
      </c>
      <c r="D33" s="1">
        <f>'MM Conventional'!Q14</f>
        <v>1.5619576735721469E-2</v>
      </c>
      <c r="E33" s="1">
        <f>'MM Conventional'!T14</f>
        <v>6.9854815691153685E-3</v>
      </c>
      <c r="F33" s="1">
        <f>'MM Conventional'!W14</f>
        <v>0.11701663746306476</v>
      </c>
      <c r="G33" s="256">
        <f>'MM Conventional'!Y14</f>
        <v>0.16213438208053749</v>
      </c>
      <c r="S33"/>
    </row>
    <row r="34" spans="1:19">
      <c r="A34" s="260">
        <v>15</v>
      </c>
      <c r="B34" s="255">
        <f>'MM Conventional'!K19</f>
        <v>0.27336723497199034</v>
      </c>
      <c r="C34" s="1">
        <f>'MM Conventional'!N19</f>
        <v>6.2371669979552923E-2</v>
      </c>
      <c r="D34" s="1">
        <f>'MM Conventional'!Q19</f>
        <v>1.0888252206127082E-2</v>
      </c>
      <c r="E34" s="1">
        <f>'MM Conventional'!T19</f>
        <v>5.0673705935447557E-3</v>
      </c>
      <c r="F34" s="1">
        <f>'MM Conventional'!W19</f>
        <v>0.19624118351437805</v>
      </c>
      <c r="G34" s="256">
        <f>'MM Conventional'!Y19</f>
        <v>0.32260005539659609</v>
      </c>
      <c r="S34"/>
    </row>
    <row r="35" spans="1:19">
      <c r="A35" s="259">
        <v>20</v>
      </c>
      <c r="B35" s="9">
        <f>'MM Conventional'!K24</f>
        <v>0.17287372070455714</v>
      </c>
      <c r="C35" s="1">
        <f>'MM Conventional'!N24</f>
        <v>3.9865576353627571E-2</v>
      </c>
      <c r="D35" s="1">
        <f>'MM Conventional'!Q24</f>
        <v>7.0023482581156229E-3</v>
      </c>
      <c r="E35" s="1">
        <f>'MM Conventional'!T24</f>
        <v>3.2836354550497089E-3</v>
      </c>
      <c r="F35" s="1">
        <f>'MM Conventional'!W24</f>
        <v>0.21954382078455323</v>
      </c>
      <c r="G35" s="256">
        <f>'MM Conventional'!Y24</f>
        <v>0.46984555258918276</v>
      </c>
      <c r="S35"/>
    </row>
    <row r="36" spans="1:19">
      <c r="A36" s="260">
        <v>25</v>
      </c>
      <c r="B36" s="255">
        <f>'MM Conventional'!K29</f>
        <v>0.10657972227200085</v>
      </c>
      <c r="C36" s="1">
        <f>'MM Conventional'!N29</f>
        <v>2.4633766428102381E-2</v>
      </c>
      <c r="D36" s="1">
        <f>'MM Conventional'!Q29</f>
        <v>4.3325264941200571E-3</v>
      </c>
      <c r="E36" s="1">
        <f>'MM Conventional'!T29</f>
        <v>2.0348886789845109E-3</v>
      </c>
      <c r="F36" s="1">
        <f>'MM Conventional'!W29</f>
        <v>0.20513756538333824</v>
      </c>
      <c r="G36" s="256">
        <f>'MM Conventional'!Y29</f>
        <v>0.59969266572716406</v>
      </c>
      <c r="S36"/>
    </row>
    <row r="37" spans="1:19">
      <c r="A37" s="260">
        <v>30</v>
      </c>
      <c r="B37" s="9">
        <f>'MM Conventional'!K34</f>
        <v>6.2777607283341863E-2</v>
      </c>
      <c r="C37" s="1">
        <f>'MM Conventional'!N34</f>
        <v>1.4516857880596838E-2</v>
      </c>
      <c r="D37" s="1">
        <f>'MM Conventional'!Q34</f>
        <v>2.553899734019665E-3</v>
      </c>
      <c r="E37" s="1">
        <f>'MM Conventional'!T34</f>
        <v>1.1999143071999144E-3</v>
      </c>
      <c r="F37" s="1">
        <f>'MM Conventional'!W34</f>
        <v>0.1690016044108445</v>
      </c>
      <c r="G37" s="256">
        <f>'MM Conventional'!Y34</f>
        <v>0.71359439246032252</v>
      </c>
      <c r="S37"/>
    </row>
    <row r="38" spans="1:19">
      <c r="A38" s="260">
        <v>35</v>
      </c>
      <c r="B38" s="255">
        <f>'MM Conventional'!K39</f>
        <v>3.4451514160934948E-2</v>
      </c>
      <c r="C38" s="1">
        <f>'MM Conventional'!N39</f>
        <v>7.9674913298188564E-3</v>
      </c>
      <c r="D38" s="1">
        <f>'MM Conventional'!Q39</f>
        <v>1.4017763639019264E-3</v>
      </c>
      <c r="E38" s="1">
        <f>'MM Conventional'!T39</f>
        <v>6.5865294054129201E-4</v>
      </c>
      <c r="F38" s="1">
        <f>'MM Conventional'!W39</f>
        <v>0.12358221253743797</v>
      </c>
      <c r="G38" s="256">
        <f>'MM Conventional'!Y39</f>
        <v>0.81041857424545316</v>
      </c>
      <c r="S38"/>
    </row>
    <row r="39" spans="1:19">
      <c r="A39" s="259">
        <v>40</v>
      </c>
      <c r="B39" s="9">
        <f>'MM Conventional'!K44</f>
        <v>1.6896572468525418E-2</v>
      </c>
      <c r="C39" s="1">
        <f>'MM Conventional'!N44</f>
        <v>3.9077039210123491E-3</v>
      </c>
      <c r="D39" s="1">
        <f>'MM Conventional'!Q44</f>
        <v>6.8751843308745514E-4</v>
      </c>
      <c r="E39" s="1">
        <f>'MM Conventional'!T44</f>
        <v>3.2304945475749989E-4</v>
      </c>
      <c r="F39" s="1">
        <f>'MM Conventional'!W44</f>
        <v>7.8200210677538212E-2</v>
      </c>
      <c r="G39" s="256">
        <f>'MM Conventional'!Y44</f>
        <v>0.88852807177706605</v>
      </c>
      <c r="S39"/>
    </row>
    <row r="40" spans="1:19" ht="16.5" thickBot="1">
      <c r="A40" s="261">
        <v>45</v>
      </c>
      <c r="B40" s="257">
        <f>'MM Conventional'!K49</f>
        <v>0</v>
      </c>
      <c r="C40" s="235">
        <f>'MM Conventional'!N49</f>
        <v>0</v>
      </c>
      <c r="D40" s="235">
        <f>'MM Conventional'!Q49</f>
        <v>0</v>
      </c>
      <c r="E40" s="235">
        <f>'MM Conventional'!T49</f>
        <v>0</v>
      </c>
      <c r="F40" s="235">
        <f>'MM Conventional'!W49</f>
        <v>0</v>
      </c>
      <c r="G40" s="258">
        <f>'MM Conventional'!Y49</f>
        <v>1.0000000000000011</v>
      </c>
      <c r="S40"/>
    </row>
    <row r="41" spans="1:19" ht="16.5" thickBot="1">
      <c r="S41"/>
    </row>
    <row r="42" spans="1:19">
      <c r="A42" s="119" t="s">
        <v>274</v>
      </c>
      <c r="B42" s="118" t="s">
        <v>2</v>
      </c>
      <c r="C42" s="118" t="s">
        <v>3</v>
      </c>
      <c r="D42" s="118" t="s">
        <v>168</v>
      </c>
      <c r="E42" s="118" t="s">
        <v>171</v>
      </c>
      <c r="F42" s="118" t="s">
        <v>7</v>
      </c>
      <c r="G42" s="120" t="s">
        <v>175</v>
      </c>
      <c r="S42"/>
    </row>
    <row r="43" spans="1:19">
      <c r="A43" s="13">
        <v>0</v>
      </c>
      <c r="B43" s="9">
        <f>'MM ICP'!K4</f>
        <v>1</v>
      </c>
      <c r="C43" s="9">
        <f>'MM ICP'!N4</f>
        <v>0</v>
      </c>
      <c r="D43" s="9">
        <f>'MM ICP'!Q4</f>
        <v>0</v>
      </c>
      <c r="E43" s="9">
        <f>'MM ICP'!T4</f>
        <v>0</v>
      </c>
      <c r="F43" s="9">
        <f>'MM ICP'!W4</f>
        <v>0</v>
      </c>
      <c r="G43" s="256">
        <f>'MM ICP'!Y4</f>
        <v>0</v>
      </c>
      <c r="S43"/>
    </row>
    <row r="44" spans="1:19">
      <c r="A44" s="13">
        <v>5</v>
      </c>
      <c r="B44" s="255">
        <f>'MM ICP'!K9</f>
        <v>0.65515211559325948</v>
      </c>
      <c r="C44" s="1">
        <f>'MM ICP'!N9</f>
        <v>0.18207433814302726</v>
      </c>
      <c r="D44" s="1">
        <f>'MM ICP'!Q9</f>
        <v>3.4448754945127835E-2</v>
      </c>
      <c r="E44" s="1">
        <f>'MM ICP'!T9</f>
        <v>8.9137773734165643E-4</v>
      </c>
      <c r="F44" s="1">
        <f>'MM ICP'!W9</f>
        <v>1.2887751055475636E-3</v>
      </c>
      <c r="G44" s="256">
        <f>'MM ICP'!Y9</f>
        <v>2.3426287630228942E-2</v>
      </c>
      <c r="S44"/>
    </row>
    <row r="45" spans="1:19">
      <c r="A45" s="13">
        <v>10</v>
      </c>
      <c r="B45" s="255">
        <f>'MM ICP'!K14</f>
        <v>0.42578687435626256</v>
      </c>
      <c r="C45" s="1">
        <f>'MM ICP'!N14</f>
        <v>0.22451789406025216</v>
      </c>
      <c r="D45" s="1">
        <f>'MM ICP'!Q14</f>
        <v>8.8565092994320943E-2</v>
      </c>
      <c r="E45" s="1">
        <f>'MM ICP'!T14</f>
        <v>3.782604214676427E-3</v>
      </c>
      <c r="F45" s="1">
        <f>'MM ICP'!W14</f>
        <v>3.926320299379326E-2</v>
      </c>
      <c r="G45" s="256">
        <f>'MM ICP'!Y14</f>
        <v>8.7438658293808369E-2</v>
      </c>
      <c r="S45"/>
    </row>
    <row r="46" spans="1:19">
      <c r="A46" s="13">
        <v>15</v>
      </c>
      <c r="B46" s="255">
        <f>'MM ICP'!K19</f>
        <v>0.27336723497199034</v>
      </c>
      <c r="C46" s="1">
        <f>'MM ICP'!N19</f>
        <v>0.19121220187793217</v>
      </c>
      <c r="D46" s="1">
        <f>'MM ICP'!Q19</f>
        <v>9.8651699607130119E-2</v>
      </c>
      <c r="E46" s="1">
        <f>'MM ICP'!T19</f>
        <v>4.6788625857678307E-3</v>
      </c>
      <c r="F46" s="1">
        <f>'MM ICP'!W19</f>
        <v>0.10403118515932773</v>
      </c>
      <c r="G46" s="256">
        <f>'MM ICP'!Y19</f>
        <v>0.20300101669871287</v>
      </c>
      <c r="S46"/>
    </row>
    <row r="47" spans="1:19">
      <c r="A47" s="13">
        <v>20</v>
      </c>
      <c r="B47" s="255">
        <f>'MM ICP'!K24</f>
        <v>0.17287372070455714</v>
      </c>
      <c r="C47" s="1">
        <f>'MM ICP'!N24</f>
        <v>0.14146756352049075</v>
      </c>
      <c r="D47" s="1">
        <f>'MM ICP'!Q24</f>
        <v>8.342046544053329E-2</v>
      </c>
      <c r="E47" s="1">
        <f>'MM ICP'!T24</f>
        <v>4.1272724647931566E-3</v>
      </c>
      <c r="F47" s="1">
        <f>'MM ICP'!W24</f>
        <v>0.1544424932314368</v>
      </c>
      <c r="G47" s="256">
        <f>'MM ICP'!Y24</f>
        <v>0.34173882257721605</v>
      </c>
      <c r="S47"/>
    </row>
    <row r="48" spans="1:19">
      <c r="A48" s="13">
        <v>25</v>
      </c>
      <c r="B48" s="255">
        <f>'MM ICP'!K29</f>
        <v>0.10657972227200085</v>
      </c>
      <c r="C48" s="1">
        <f>'MM ICP'!N29</f>
        <v>9.5962727208621687E-2</v>
      </c>
      <c r="D48" s="1">
        <f>'MM ICP'!Q29</f>
        <v>6.0991925120126744E-2</v>
      </c>
      <c r="E48" s="1">
        <f>'MM ICP'!T29</f>
        <v>3.0824433780728016E-3</v>
      </c>
      <c r="F48" s="1">
        <f>'MM ICP'!W29</f>
        <v>0.17394058843012711</v>
      </c>
      <c r="G48" s="256">
        <f>'MM ICP'!Y29</f>
        <v>0.4843525019555181</v>
      </c>
      <c r="S48"/>
    </row>
    <row r="49" spans="1:19">
      <c r="A49" s="13">
        <v>30</v>
      </c>
      <c r="B49" s="255">
        <f>'MM ICP'!K34</f>
        <v>6.2777607283341863E-2</v>
      </c>
      <c r="C49" s="1">
        <f>'MM ICP'!N34</f>
        <v>6.0080209119732698E-2</v>
      </c>
      <c r="D49" s="1">
        <f>'MM ICP'!Q34</f>
        <v>3.9940648635301029E-2</v>
      </c>
      <c r="E49" s="1">
        <f>'MM ICP'!T34</f>
        <v>2.0428222428464779E-3</v>
      </c>
      <c r="F49" s="1">
        <f>'MM ICP'!W34</f>
        <v>0.16302970281463564</v>
      </c>
      <c r="G49" s="256">
        <f>'MM ICP'!Y34</f>
        <v>0.62137340824698617</v>
      </c>
      <c r="S49"/>
    </row>
    <row r="50" spans="1:19">
      <c r="A50" s="13">
        <v>35</v>
      </c>
      <c r="B50" s="255">
        <f>'MM ICP'!K39</f>
        <v>3.4451514160934948E-2</v>
      </c>
      <c r="C50" s="1">
        <f>'MM ICP'!N39</f>
        <v>3.4318534145877266E-2</v>
      </c>
      <c r="D50" s="1">
        <f>'MM ICP'!Q39</f>
        <v>2.3464772696504314E-2</v>
      </c>
      <c r="E50" s="1">
        <f>'MM ICP'!T39</f>
        <v>1.2087967848725262E-3</v>
      </c>
      <c r="F50" s="1">
        <f>'MM ICP'!W39</f>
        <v>0.13073454220165492</v>
      </c>
      <c r="G50" s="256">
        <f>'MM ICP'!Y39</f>
        <v>0.74453845595422641</v>
      </c>
      <c r="S50"/>
    </row>
    <row r="51" spans="1:19">
      <c r="A51" s="13">
        <v>40</v>
      </c>
      <c r="B51" s="255">
        <f>'MM ICP'!K44</f>
        <v>1.6896572468525418E-2</v>
      </c>
      <c r="C51" s="1">
        <f>'MM ICP'!N44</f>
        <v>1.7287533252150256E-2</v>
      </c>
      <c r="D51" s="1">
        <f>'MM ICP'!Q44</f>
        <v>1.2035876562387377E-2</v>
      </c>
      <c r="E51" s="1">
        <f>'MM ICP'!T44</f>
        <v>6.2283578980641143E-4</v>
      </c>
      <c r="F51" s="1">
        <f>'MM ICP'!W44</f>
        <v>8.8531583360341393E-2</v>
      </c>
      <c r="G51" s="256">
        <f>'MM ICP'!Y44</f>
        <v>0.84757878074026138</v>
      </c>
      <c r="S51"/>
    </row>
    <row r="52" spans="1:19" ht="16.5" thickBot="1">
      <c r="A52" s="134">
        <v>45</v>
      </c>
      <c r="B52" s="257">
        <f>'MM ICP'!K49</f>
        <v>0</v>
      </c>
      <c r="C52" s="235">
        <f>'MM ICP'!N49</f>
        <v>0</v>
      </c>
      <c r="D52" s="235">
        <f>'MM ICP'!Q49</f>
        <v>0</v>
      </c>
      <c r="E52" s="235">
        <f>'MM ICP'!T49</f>
        <v>0</v>
      </c>
      <c r="F52" s="235">
        <f>'MM ICP'!W49</f>
        <v>0</v>
      </c>
      <c r="G52" s="258">
        <f>'MM ICP'!Y49</f>
        <v>1.0000000000000011</v>
      </c>
      <c r="S52"/>
    </row>
    <row r="53" spans="1:19">
      <c r="S53"/>
    </row>
    <row r="54" spans="1:19">
      <c r="S54"/>
    </row>
    <row r="55" spans="1:19">
      <c r="S55"/>
    </row>
    <row r="56" spans="1:19">
      <c r="S56"/>
    </row>
    <row r="57" spans="1:19">
      <c r="S57"/>
    </row>
    <row r="58" spans="1:19">
      <c r="S58"/>
    </row>
    <row r="59" spans="1:19">
      <c r="S59"/>
    </row>
    <row r="60" spans="1:19">
      <c r="S60"/>
    </row>
    <row r="61" spans="1:19">
      <c r="S61"/>
    </row>
    <row r="62" spans="1:19">
      <c r="S62"/>
    </row>
    <row r="63" spans="1:19">
      <c r="S63"/>
    </row>
    <row r="64" spans="1:19">
      <c r="S64"/>
    </row>
    <row r="65" spans="19:19">
      <c r="S65"/>
    </row>
    <row r="66" spans="19:19">
      <c r="S66"/>
    </row>
    <row r="67" spans="19:19">
      <c r="S67"/>
    </row>
    <row r="68" spans="19:19">
      <c r="S68"/>
    </row>
    <row r="69" spans="19:19">
      <c r="S69"/>
    </row>
  </sheetData>
  <mergeCells count="7">
    <mergeCell ref="T1:W1"/>
    <mergeCell ref="A1:H1"/>
    <mergeCell ref="A3:H3"/>
    <mergeCell ref="A11:H11"/>
    <mergeCell ref="J1:Q1"/>
    <mergeCell ref="J3:Q3"/>
    <mergeCell ref="J11:Q11"/>
  </mergeCells>
  <conditionalFormatting sqref="H5:H8">
    <cfRule type="cellIs" dxfId="28" priority="3" operator="equal">
      <formula>1</formula>
    </cfRule>
  </conditionalFormatting>
  <conditionalFormatting sqref="H13:H17">
    <cfRule type="cellIs" dxfId="27" priority="4" operator="equal">
      <formula>1</formula>
    </cfRule>
  </conditionalFormatting>
  <conditionalFormatting sqref="Q5:Q9">
    <cfRule type="cellIs" dxfId="26" priority="1" operator="equal">
      <formula>1</formula>
    </cfRule>
  </conditionalFormatting>
  <conditionalFormatting sqref="Q13:Q17">
    <cfRule type="cellIs" dxfId="25" priority="2" operator="equal">
      <formula>1</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F556-531E-DC4B-9F3D-3B506297AA25}">
  <sheetPr codeName="Sheet2"/>
  <dimension ref="A1:Y35"/>
  <sheetViews>
    <sheetView zoomScaleNormal="100" workbookViewId="0">
      <pane ySplit="2" topLeftCell="A3" activePane="bottomLeft" state="frozen"/>
      <selection pane="bottomLeft" activeCell="E8" sqref="E8"/>
    </sheetView>
  </sheetViews>
  <sheetFormatPr defaultColWidth="11" defaultRowHeight="15.75"/>
  <cols>
    <col min="19" max="19" width="11" style="10"/>
    <col min="21" max="21" width="13.5" customWidth="1"/>
    <col min="22" max="22" width="17.25" customWidth="1"/>
  </cols>
  <sheetData>
    <row r="1" spans="1:25" ht="16.5" thickBot="1">
      <c r="A1" s="718" t="s">
        <v>231</v>
      </c>
      <c r="B1" s="719"/>
      <c r="C1" s="719"/>
      <c r="D1" s="719"/>
      <c r="E1" s="719"/>
      <c r="F1" s="719"/>
      <c r="G1" s="719"/>
      <c r="H1" s="720"/>
      <c r="J1" s="712" t="s">
        <v>232</v>
      </c>
      <c r="K1" s="713"/>
      <c r="L1" s="713"/>
      <c r="M1" s="713"/>
      <c r="N1" s="713"/>
      <c r="O1" s="713"/>
      <c r="P1" s="713"/>
      <c r="Q1" s="714"/>
      <c r="S1" s="138"/>
      <c r="T1" s="724" t="s">
        <v>228</v>
      </c>
      <c r="U1" s="724"/>
      <c r="V1" s="724"/>
    </row>
    <row r="2" spans="1:25" ht="7.9" customHeight="1" thickBot="1"/>
    <row r="3" spans="1:25">
      <c r="A3" s="721" t="s">
        <v>224</v>
      </c>
      <c r="B3" s="722"/>
      <c r="C3" s="722"/>
      <c r="D3" s="722"/>
      <c r="E3" s="722"/>
      <c r="F3" s="722"/>
      <c r="G3" s="722"/>
      <c r="H3" s="723"/>
      <c r="J3" s="715" t="s">
        <v>8</v>
      </c>
      <c r="K3" s="716"/>
      <c r="L3" s="716"/>
      <c r="M3" s="716"/>
      <c r="N3" s="716"/>
      <c r="O3" s="716"/>
      <c r="P3" s="716"/>
      <c r="Q3" s="717"/>
      <c r="T3" s="222" t="s">
        <v>219</v>
      </c>
      <c r="U3" s="223" t="s">
        <v>226</v>
      </c>
      <c r="V3" s="224" t="s">
        <v>227</v>
      </c>
      <c r="X3" s="222" t="s">
        <v>219</v>
      </c>
      <c r="Y3" s="224" t="s">
        <v>226</v>
      </c>
    </row>
    <row r="4" spans="1:25">
      <c r="A4" s="31"/>
      <c r="B4" s="320" t="s">
        <v>2</v>
      </c>
      <c r="C4" s="320" t="s">
        <v>3</v>
      </c>
      <c r="D4" s="320">
        <v>4</v>
      </c>
      <c r="E4" s="320">
        <v>5</v>
      </c>
      <c r="F4" s="74" t="s">
        <v>4</v>
      </c>
      <c r="G4" s="74" t="s">
        <v>5</v>
      </c>
      <c r="H4" s="32" t="s">
        <v>6</v>
      </c>
      <c r="J4" s="31"/>
      <c r="K4" s="320" t="s">
        <v>2</v>
      </c>
      <c r="L4" s="320" t="s">
        <v>3</v>
      </c>
      <c r="M4" s="320">
        <v>4</v>
      </c>
      <c r="N4" s="320">
        <v>5</v>
      </c>
      <c r="O4" s="74" t="s">
        <v>4</v>
      </c>
      <c r="P4" s="74" t="s">
        <v>5</v>
      </c>
      <c r="Q4" s="32" t="s">
        <v>6</v>
      </c>
      <c r="T4" s="10">
        <v>-20</v>
      </c>
      <c r="U4">
        <v>64.456130000000101</v>
      </c>
      <c r="V4" s="95">
        <v>1</v>
      </c>
      <c r="X4" s="10">
        <v>-20</v>
      </c>
      <c r="Y4" s="95">
        <v>64.456130000000101</v>
      </c>
    </row>
    <row r="5" spans="1:25">
      <c r="A5" s="31" t="s">
        <v>2</v>
      </c>
      <c r="B5" s="33">
        <f>1146*12</f>
        <v>13752</v>
      </c>
      <c r="C5" s="33">
        <f>1146*1</f>
        <v>1146</v>
      </c>
      <c r="D5" s="33"/>
      <c r="E5" s="33"/>
      <c r="F5" s="322"/>
      <c r="G5" s="322">
        <v>0</v>
      </c>
      <c r="H5" s="34">
        <f t="shared" ref="H5:H9" si="0">SUM(B5:G5)</f>
        <v>14898</v>
      </c>
      <c r="J5" s="31" t="s">
        <v>2</v>
      </c>
      <c r="K5" s="33">
        <f>H5-L5</f>
        <v>13752</v>
      </c>
      <c r="L5" s="325">
        <f>C5*RR_3a</f>
        <v>1146</v>
      </c>
      <c r="M5" s="33"/>
      <c r="N5" s="33"/>
      <c r="O5" s="322"/>
      <c r="P5" s="322"/>
      <c r="Q5" s="34">
        <f t="shared" ref="Q5:Q9" si="1">SUM(K5:P5)</f>
        <v>14898</v>
      </c>
      <c r="T5" s="10">
        <v>-19</v>
      </c>
      <c r="U5">
        <v>63.302750000000103</v>
      </c>
      <c r="V5" s="95">
        <v>1</v>
      </c>
      <c r="X5" s="10">
        <v>-15</v>
      </c>
      <c r="Y5" s="95">
        <v>58.689230000000101</v>
      </c>
    </row>
    <row r="6" spans="1:25">
      <c r="A6" s="31" t="s">
        <v>3</v>
      </c>
      <c r="B6" s="33"/>
      <c r="C6" s="33">
        <f>1146*6</f>
        <v>6876</v>
      </c>
      <c r="D6" s="33">
        <f>1146*1</f>
        <v>1146</v>
      </c>
      <c r="E6" s="33"/>
      <c r="F6" s="322"/>
      <c r="G6" s="322">
        <v>0</v>
      </c>
      <c r="H6" s="34">
        <f t="shared" si="0"/>
        <v>8022</v>
      </c>
      <c r="J6" s="31" t="s">
        <v>3</v>
      </c>
      <c r="K6" s="33"/>
      <c r="L6" s="33">
        <f>H6-M6</f>
        <v>5443.5</v>
      </c>
      <c r="M6" s="325">
        <f>D6*RR_3b</f>
        <v>2578.5</v>
      </c>
      <c r="N6" s="33"/>
      <c r="O6" s="322"/>
      <c r="P6" s="322"/>
      <c r="Q6" s="34">
        <f t="shared" si="1"/>
        <v>8022</v>
      </c>
      <c r="T6" s="10">
        <v>-18</v>
      </c>
      <c r="U6">
        <v>62.149370000000097</v>
      </c>
      <c r="V6" s="95">
        <v>1</v>
      </c>
      <c r="X6" s="10">
        <v>-10</v>
      </c>
      <c r="Y6" s="95">
        <v>52.922330000000102</v>
      </c>
    </row>
    <row r="7" spans="1:25">
      <c r="A7" s="31">
        <v>4</v>
      </c>
      <c r="B7" s="33"/>
      <c r="C7" s="33"/>
      <c r="D7" s="33">
        <f>1146*3</f>
        <v>3438</v>
      </c>
      <c r="E7" s="33">
        <f>1146*1</f>
        <v>1146</v>
      </c>
      <c r="F7" s="322"/>
      <c r="G7" s="322">
        <v>0</v>
      </c>
      <c r="H7" s="34">
        <f t="shared" si="0"/>
        <v>4584</v>
      </c>
      <c r="J7" s="31">
        <v>4</v>
      </c>
      <c r="K7" s="33"/>
      <c r="L7" s="33"/>
      <c r="M7" s="33">
        <f>H7-N7</f>
        <v>1145.9999999999995</v>
      </c>
      <c r="N7" s="325">
        <f>E7*RR_4</f>
        <v>3438.0000000000005</v>
      </c>
      <c r="O7" s="322"/>
      <c r="P7" s="322"/>
      <c r="Q7" s="34">
        <f t="shared" si="1"/>
        <v>4584</v>
      </c>
      <c r="T7" s="10">
        <v>-17</v>
      </c>
      <c r="U7">
        <v>60.995990000000099</v>
      </c>
      <c r="V7" s="95">
        <v>1</v>
      </c>
      <c r="X7" s="10">
        <v>-5</v>
      </c>
      <c r="Y7" s="95">
        <v>47.155430000000003</v>
      </c>
    </row>
    <row r="8" spans="1:25">
      <c r="A8" s="329">
        <v>5</v>
      </c>
      <c r="B8" s="328"/>
      <c r="C8" s="328"/>
      <c r="D8" s="328"/>
      <c r="E8" s="476">
        <f>'Relative risk (ESCORT-1)'!E8</f>
        <v>12.5</v>
      </c>
      <c r="F8" s="476">
        <f>'Relative risk (ESCORT-1)'!F8</f>
        <v>50</v>
      </c>
      <c r="G8" s="476">
        <f>'Relative risk (ESCORT-1)'!G8</f>
        <v>37.5</v>
      </c>
      <c r="H8" s="330">
        <f t="shared" si="0"/>
        <v>100</v>
      </c>
      <c r="J8" s="329">
        <v>5</v>
      </c>
      <c r="K8" s="328"/>
      <c r="L8" s="328"/>
      <c r="M8" s="328"/>
      <c r="N8" s="476">
        <f>H8-O8-P8</f>
        <v>12.5</v>
      </c>
      <c r="O8" s="476">
        <f>F8</f>
        <v>50</v>
      </c>
      <c r="P8" s="476">
        <f>G8</f>
        <v>37.5</v>
      </c>
      <c r="Q8" s="330">
        <f t="shared" si="1"/>
        <v>100</v>
      </c>
      <c r="T8" s="10">
        <v>-16</v>
      </c>
      <c r="U8">
        <v>59.8426100000001</v>
      </c>
      <c r="V8" s="95">
        <v>2</v>
      </c>
      <c r="X8" s="10">
        <v>0</v>
      </c>
      <c r="Y8" s="95">
        <v>41.388530000000003</v>
      </c>
    </row>
    <row r="9" spans="1:25" ht="16.5" thickBot="1">
      <c r="A9" s="419" t="s">
        <v>7</v>
      </c>
      <c r="B9" s="420"/>
      <c r="C9" s="420"/>
      <c r="D9" s="420"/>
      <c r="E9" s="420"/>
      <c r="F9" s="420">
        <f>'Relative risk (ESCORT-1)'!F9</f>
        <v>83</v>
      </c>
      <c r="G9" s="420">
        <f>'Relative risk (ESCORT-1)'!G9</f>
        <v>17</v>
      </c>
      <c r="H9" s="421">
        <f t="shared" si="0"/>
        <v>100</v>
      </c>
      <c r="J9" s="419" t="s">
        <v>7</v>
      </c>
      <c r="K9" s="420"/>
      <c r="L9" s="420"/>
      <c r="M9" s="420"/>
      <c r="N9" s="420"/>
      <c r="O9" s="420">
        <f>F9</f>
        <v>83</v>
      </c>
      <c r="P9" s="420">
        <f>G9</f>
        <v>17</v>
      </c>
      <c r="Q9" s="421">
        <f t="shared" si="1"/>
        <v>100</v>
      </c>
      <c r="T9" s="10">
        <v>-15</v>
      </c>
      <c r="U9">
        <v>58.689230000000101</v>
      </c>
      <c r="V9" s="95">
        <v>2</v>
      </c>
      <c r="X9" s="10">
        <v>5</v>
      </c>
      <c r="Y9" s="95">
        <v>35.621630000000003</v>
      </c>
    </row>
    <row r="10" spans="1:25">
      <c r="A10" s="327"/>
      <c r="B10" s="328"/>
      <c r="C10" s="328"/>
      <c r="D10" s="328"/>
      <c r="E10" s="328"/>
      <c r="F10" s="328"/>
      <c r="G10" s="328"/>
      <c r="H10" s="328"/>
      <c r="J10" s="74" t="s">
        <v>5</v>
      </c>
      <c r="K10" s="324"/>
      <c r="L10" s="324"/>
      <c r="M10" s="324"/>
      <c r="N10" s="324"/>
      <c r="O10" s="324"/>
      <c r="P10" s="324"/>
      <c r="Q10" s="324"/>
      <c r="T10" s="10">
        <v>-14</v>
      </c>
      <c r="U10">
        <v>57.535850000000103</v>
      </c>
      <c r="V10" s="95">
        <v>2</v>
      </c>
      <c r="X10" s="10">
        <v>10</v>
      </c>
      <c r="Y10" s="95">
        <v>29.854700000000001</v>
      </c>
    </row>
    <row r="11" spans="1:25" ht="16.5" thickBot="1">
      <c r="F11" s="123"/>
      <c r="T11" s="10">
        <v>-13</v>
      </c>
      <c r="U11">
        <v>56.382470000000097</v>
      </c>
      <c r="V11" s="95">
        <v>2</v>
      </c>
      <c r="X11" s="10">
        <v>15</v>
      </c>
      <c r="Y11" s="95">
        <v>24.087769999999999</v>
      </c>
    </row>
    <row r="12" spans="1:25">
      <c r="A12" s="721" t="s">
        <v>224</v>
      </c>
      <c r="B12" s="722"/>
      <c r="C12" s="722"/>
      <c r="D12" s="722"/>
      <c r="E12" s="722"/>
      <c r="F12" s="722"/>
      <c r="G12" s="722"/>
      <c r="H12" s="723"/>
      <c r="J12" s="715" t="s">
        <v>8</v>
      </c>
      <c r="K12" s="716"/>
      <c r="L12" s="716"/>
      <c r="M12" s="716"/>
      <c r="N12" s="716"/>
      <c r="O12" s="716"/>
      <c r="P12" s="716"/>
      <c r="Q12" s="717"/>
      <c r="T12" s="10">
        <v>-12</v>
      </c>
      <c r="U12">
        <v>55.229090000000099</v>
      </c>
      <c r="V12" s="95">
        <v>2</v>
      </c>
      <c r="X12" s="10">
        <v>20</v>
      </c>
      <c r="Y12" s="95">
        <v>18.32084</v>
      </c>
    </row>
    <row r="13" spans="1:25">
      <c r="A13" s="31"/>
      <c r="B13" s="320" t="s">
        <v>2</v>
      </c>
      <c r="C13" s="320" t="s">
        <v>3</v>
      </c>
      <c r="D13" s="320">
        <v>4</v>
      </c>
      <c r="E13" s="320">
        <v>5</v>
      </c>
      <c r="F13" s="74" t="s">
        <v>4</v>
      </c>
      <c r="G13" s="74" t="s">
        <v>5</v>
      </c>
      <c r="H13" s="32" t="s">
        <v>6</v>
      </c>
      <c r="J13" s="31"/>
      <c r="K13" s="320" t="s">
        <v>2</v>
      </c>
      <c r="L13" s="320" t="s">
        <v>3</v>
      </c>
      <c r="M13" s="320">
        <v>4</v>
      </c>
      <c r="N13" s="320">
        <v>5</v>
      </c>
      <c r="O13" s="74" t="s">
        <v>4</v>
      </c>
      <c r="P13" s="74" t="s">
        <v>5</v>
      </c>
      <c r="Q13" s="32" t="s">
        <v>6</v>
      </c>
      <c r="T13" s="10">
        <v>-11</v>
      </c>
      <c r="U13">
        <v>54.0757100000001</v>
      </c>
      <c r="V13" s="95">
        <v>2</v>
      </c>
      <c r="X13" s="10">
        <v>25</v>
      </c>
      <c r="Y13" s="95">
        <v>12.55391</v>
      </c>
    </row>
    <row r="14" spans="1:25">
      <c r="A14" s="31" t="s">
        <v>2</v>
      </c>
      <c r="B14" s="323">
        <f>B5/$H5</f>
        <v>0.92307692307692313</v>
      </c>
      <c r="C14" s="323">
        <f>C5/$H5</f>
        <v>7.6923076923076927E-2</v>
      </c>
      <c r="D14" s="323">
        <f t="shared" ref="D14:G14" si="2">D5/$H5</f>
        <v>0</v>
      </c>
      <c r="E14" s="323">
        <f t="shared" si="2"/>
        <v>0</v>
      </c>
      <c r="F14" s="324">
        <f t="shared" si="2"/>
        <v>0</v>
      </c>
      <c r="G14" s="324">
        <f t="shared" si="2"/>
        <v>0</v>
      </c>
      <c r="H14" s="14">
        <f t="shared" ref="H14:H19" si="3">SUM(B14:G14)</f>
        <v>1</v>
      </c>
      <c r="J14" s="31" t="s">
        <v>2</v>
      </c>
      <c r="K14" s="323">
        <f>1-L14</f>
        <v>0.92307692307692313</v>
      </c>
      <c r="L14" s="326">
        <f>C14*EXP('Relative risk (ESCORT-1)'!B21)</f>
        <v>7.6923076923076927E-2</v>
      </c>
      <c r="M14" s="323">
        <f>D14</f>
        <v>0</v>
      </c>
      <c r="N14" s="323">
        <f>E14</f>
        <v>0</v>
      </c>
      <c r="O14" s="324">
        <f>F14</f>
        <v>0</v>
      </c>
      <c r="P14" s="324">
        <f>G14</f>
        <v>0</v>
      </c>
      <c r="Q14" s="14">
        <f t="shared" ref="Q14:Q19" si="4">SUM(K14:P14)</f>
        <v>1</v>
      </c>
      <c r="T14" s="10">
        <v>-10</v>
      </c>
      <c r="U14">
        <v>52.922330000000102</v>
      </c>
      <c r="V14" s="95">
        <v>2</v>
      </c>
      <c r="X14" s="10">
        <v>30</v>
      </c>
      <c r="Y14" s="95">
        <v>6.7869799999999998</v>
      </c>
    </row>
    <row r="15" spans="1:25">
      <c r="A15" s="31" t="s">
        <v>3</v>
      </c>
      <c r="B15" s="323">
        <f t="shared" ref="B15:G15" si="5">B6/$H6</f>
        <v>0</v>
      </c>
      <c r="C15" s="323">
        <f t="shared" si="5"/>
        <v>0.8571428571428571</v>
      </c>
      <c r="D15" s="323">
        <f t="shared" si="5"/>
        <v>0.14285714285714285</v>
      </c>
      <c r="E15" s="323">
        <f t="shared" si="5"/>
        <v>0</v>
      </c>
      <c r="F15" s="324">
        <f t="shared" si="5"/>
        <v>0</v>
      </c>
      <c r="G15" s="324">
        <f t="shared" si="5"/>
        <v>0</v>
      </c>
      <c r="H15" s="14">
        <f t="shared" si="3"/>
        <v>1</v>
      </c>
      <c r="J15" s="31" t="s">
        <v>3</v>
      </c>
      <c r="K15" s="323">
        <v>0</v>
      </c>
      <c r="L15" s="323">
        <f>1-M15</f>
        <v>0.6785714285714286</v>
      </c>
      <c r="M15" s="326">
        <f>D15*EXP('Relative risk (ESCORT-1)'!B22)</f>
        <v>0.3214285714285714</v>
      </c>
      <c r="N15" s="323">
        <f>E15</f>
        <v>0</v>
      </c>
      <c r="O15" s="324">
        <f>F15</f>
        <v>0</v>
      </c>
      <c r="P15" s="324">
        <f>G15</f>
        <v>0</v>
      </c>
      <c r="Q15" s="14">
        <f t="shared" si="4"/>
        <v>1</v>
      </c>
      <c r="T15" s="10">
        <v>-9</v>
      </c>
      <c r="U15">
        <v>51.768950000000103</v>
      </c>
      <c r="V15" s="95">
        <v>2</v>
      </c>
      <c r="X15" s="10">
        <v>35</v>
      </c>
      <c r="Y15" s="95">
        <v>1.0200499999999999</v>
      </c>
    </row>
    <row r="16" spans="1:25" ht="16.5" thickBot="1">
      <c r="A16" s="31">
        <v>4</v>
      </c>
      <c r="B16" s="323">
        <f t="shared" ref="B16:G16" si="6">B7/$H7</f>
        <v>0</v>
      </c>
      <c r="C16" s="323">
        <f t="shared" si="6"/>
        <v>0</v>
      </c>
      <c r="D16" s="323">
        <f t="shared" si="6"/>
        <v>0.75</v>
      </c>
      <c r="E16" s="323">
        <f t="shared" si="6"/>
        <v>0.25</v>
      </c>
      <c r="F16" s="324">
        <f t="shared" si="6"/>
        <v>0</v>
      </c>
      <c r="G16" s="324">
        <f t="shared" si="6"/>
        <v>0</v>
      </c>
      <c r="H16" s="14">
        <f t="shared" si="3"/>
        <v>1</v>
      </c>
      <c r="J16" s="31">
        <v>4</v>
      </c>
      <c r="K16" s="323">
        <v>0</v>
      </c>
      <c r="L16" s="323">
        <v>0</v>
      </c>
      <c r="M16" s="323">
        <f>1-N16</f>
        <v>0.24999999999999989</v>
      </c>
      <c r="N16" s="326">
        <f>E16*EXP('Relative risk (ESCORT-1)'!B23)</f>
        <v>0.75000000000000011</v>
      </c>
      <c r="O16" s="324">
        <f t="shared" ref="O16:P18" si="7">F16</f>
        <v>0</v>
      </c>
      <c r="P16" s="324">
        <f t="shared" si="7"/>
        <v>0</v>
      </c>
      <c r="Q16" s="14">
        <f t="shared" si="4"/>
        <v>1</v>
      </c>
      <c r="T16" s="10">
        <v>-8</v>
      </c>
      <c r="U16">
        <v>50.615569999999998</v>
      </c>
      <c r="V16" s="95">
        <v>2</v>
      </c>
      <c r="X16" s="84">
        <v>40</v>
      </c>
      <c r="Y16" s="225">
        <v>0</v>
      </c>
    </row>
    <row r="17" spans="1:22">
      <c r="A17" s="329">
        <v>5</v>
      </c>
      <c r="B17" s="334">
        <f t="shared" ref="B17:D17" si="8">B8/$H8</f>
        <v>0</v>
      </c>
      <c r="C17" s="334">
        <f t="shared" si="8"/>
        <v>0</v>
      </c>
      <c r="D17" s="334">
        <f t="shared" si="8"/>
        <v>0</v>
      </c>
      <c r="E17" s="477">
        <f>E8/H8</f>
        <v>0.125</v>
      </c>
      <c r="F17" s="477">
        <f>F8/H8</f>
        <v>0.5</v>
      </c>
      <c r="G17" s="477">
        <f>G8/H8</f>
        <v>0.375</v>
      </c>
      <c r="H17" s="14">
        <f t="shared" si="3"/>
        <v>1</v>
      </c>
      <c r="J17" s="329">
        <v>5</v>
      </c>
      <c r="K17" s="334">
        <v>0</v>
      </c>
      <c r="L17" s="334">
        <v>0</v>
      </c>
      <c r="M17" s="334">
        <v>0</v>
      </c>
      <c r="N17" s="477">
        <f>1-O17-P17</f>
        <v>0.125</v>
      </c>
      <c r="O17" s="477">
        <f t="shared" si="7"/>
        <v>0.5</v>
      </c>
      <c r="P17" s="477">
        <f t="shared" si="7"/>
        <v>0.375</v>
      </c>
      <c r="Q17" s="14">
        <f t="shared" si="4"/>
        <v>1</v>
      </c>
      <c r="T17" s="10">
        <v>-7</v>
      </c>
      <c r="U17">
        <v>49.46219</v>
      </c>
      <c r="V17" s="95">
        <v>2</v>
      </c>
    </row>
    <row r="18" spans="1:22" ht="16.5" thickBot="1">
      <c r="A18" s="419" t="s">
        <v>7</v>
      </c>
      <c r="B18" s="422">
        <f t="shared" ref="B18:G18" si="9">B9/$H9</f>
        <v>0</v>
      </c>
      <c r="C18" s="422">
        <f t="shared" si="9"/>
        <v>0</v>
      </c>
      <c r="D18" s="422">
        <f t="shared" si="9"/>
        <v>0</v>
      </c>
      <c r="E18" s="422">
        <f t="shared" si="9"/>
        <v>0</v>
      </c>
      <c r="F18" s="422">
        <f t="shared" si="9"/>
        <v>0.83</v>
      </c>
      <c r="G18" s="422">
        <f t="shared" si="9"/>
        <v>0.17</v>
      </c>
      <c r="H18" s="423">
        <f t="shared" si="3"/>
        <v>1</v>
      </c>
      <c r="J18" s="419" t="s">
        <v>7</v>
      </c>
      <c r="K18" s="422">
        <v>0</v>
      </c>
      <c r="L18" s="422">
        <v>0</v>
      </c>
      <c r="M18" s="422">
        <v>0</v>
      </c>
      <c r="N18" s="422">
        <v>0</v>
      </c>
      <c r="O18" s="422">
        <f t="shared" si="7"/>
        <v>0.83</v>
      </c>
      <c r="P18" s="422">
        <f t="shared" si="7"/>
        <v>0.17</v>
      </c>
      <c r="Q18" s="423">
        <f t="shared" si="4"/>
        <v>1</v>
      </c>
      <c r="T18" s="10">
        <v>-6</v>
      </c>
      <c r="U18">
        <v>48.308810000000001</v>
      </c>
      <c r="V18" s="95">
        <v>2</v>
      </c>
    </row>
    <row r="19" spans="1:22">
      <c r="A19" s="74" t="s">
        <v>5</v>
      </c>
      <c r="B19" s="324">
        <v>0</v>
      </c>
      <c r="C19" s="324">
        <v>0</v>
      </c>
      <c r="D19" s="324">
        <v>0</v>
      </c>
      <c r="E19" s="324">
        <v>0</v>
      </c>
      <c r="F19" s="324">
        <v>0</v>
      </c>
      <c r="G19" s="324">
        <v>1</v>
      </c>
      <c r="H19" s="324">
        <f t="shared" si="3"/>
        <v>1</v>
      </c>
      <c r="J19" s="74" t="s">
        <v>5</v>
      </c>
      <c r="K19" s="324">
        <v>0</v>
      </c>
      <c r="L19" s="324">
        <v>0</v>
      </c>
      <c r="M19" s="324">
        <v>0</v>
      </c>
      <c r="N19" s="324">
        <v>0</v>
      </c>
      <c r="O19" s="324">
        <v>0</v>
      </c>
      <c r="P19" s="324">
        <v>1</v>
      </c>
      <c r="Q19" s="324">
        <f t="shared" si="4"/>
        <v>1</v>
      </c>
      <c r="T19" s="10">
        <v>-5</v>
      </c>
      <c r="U19">
        <v>47.155430000000003</v>
      </c>
      <c r="V19" s="95">
        <v>2</v>
      </c>
    </row>
    <row r="20" spans="1:22">
      <c r="T20" s="10">
        <v>-4</v>
      </c>
      <c r="U20">
        <v>46.002049999999997</v>
      </c>
      <c r="V20" s="95">
        <v>2</v>
      </c>
    </row>
    <row r="21" spans="1:22">
      <c r="A21" s="11"/>
      <c r="T21" s="10">
        <v>-3</v>
      </c>
      <c r="U21">
        <v>44.848669999999998</v>
      </c>
      <c r="V21" s="95">
        <v>3</v>
      </c>
    </row>
    <row r="22" spans="1:22">
      <c r="A22" s="11"/>
      <c r="T22" s="10">
        <v>-2</v>
      </c>
      <c r="U22">
        <v>43.69529</v>
      </c>
      <c r="V22" s="95">
        <v>3</v>
      </c>
    </row>
    <row r="23" spans="1:22">
      <c r="A23" s="291" t="s">
        <v>276</v>
      </c>
      <c r="T23" s="10">
        <v>-1</v>
      </c>
      <c r="U23">
        <v>42.541910000000001</v>
      </c>
      <c r="V23" s="95">
        <v>3</v>
      </c>
    </row>
    <row r="24" spans="1:22">
      <c r="A24" s="478" t="s">
        <v>428</v>
      </c>
      <c r="T24" s="10">
        <v>0</v>
      </c>
      <c r="U24">
        <v>41.388530000000003</v>
      </c>
      <c r="V24" s="95">
        <v>3</v>
      </c>
    </row>
    <row r="25" spans="1:22">
      <c r="T25" s="10">
        <v>1</v>
      </c>
      <c r="U25">
        <v>40.235149999999997</v>
      </c>
      <c r="V25" s="95">
        <v>3</v>
      </c>
    </row>
    <row r="26" spans="1:22">
      <c r="T26" s="10">
        <v>2</v>
      </c>
      <c r="U26">
        <v>39.081769999999999</v>
      </c>
      <c r="V26" s="95">
        <v>3</v>
      </c>
    </row>
    <row r="27" spans="1:22">
      <c r="T27" s="10">
        <v>6</v>
      </c>
      <c r="U27">
        <v>34.468240000000002</v>
      </c>
      <c r="V27" s="95">
        <v>3</v>
      </c>
    </row>
    <row r="28" spans="1:22">
      <c r="T28" s="10">
        <v>10</v>
      </c>
      <c r="U28">
        <v>29.854700000000001</v>
      </c>
      <c r="V28" s="95">
        <v>4</v>
      </c>
    </row>
    <row r="29" spans="1:22">
      <c r="T29" s="10">
        <v>14</v>
      </c>
      <c r="U29">
        <v>25.24117</v>
      </c>
      <c r="V29" s="95">
        <v>4</v>
      </c>
    </row>
    <row r="30" spans="1:22">
      <c r="T30" s="10">
        <v>18</v>
      </c>
      <c r="U30">
        <v>20.62764</v>
      </c>
      <c r="V30" s="95">
        <v>4</v>
      </c>
    </row>
    <row r="31" spans="1:22">
      <c r="T31" s="10">
        <v>22</v>
      </c>
      <c r="U31">
        <v>16.014099999999999</v>
      </c>
      <c r="V31" s="95">
        <v>4</v>
      </c>
    </row>
    <row r="32" spans="1:22">
      <c r="T32" s="10">
        <v>26</v>
      </c>
      <c r="U32">
        <v>11.40057</v>
      </c>
      <c r="V32" s="95">
        <v>5</v>
      </c>
    </row>
    <row r="33" spans="20:22">
      <c r="T33" s="10">
        <v>30</v>
      </c>
      <c r="U33">
        <v>6.7870379999999999</v>
      </c>
      <c r="V33" s="95">
        <v>5</v>
      </c>
    </row>
    <row r="34" spans="20:22">
      <c r="T34" s="10">
        <v>34</v>
      </c>
      <c r="U34">
        <v>2.173505</v>
      </c>
      <c r="V34" s="95">
        <v>6</v>
      </c>
    </row>
    <row r="35" spans="20:22" ht="16.5" thickBot="1">
      <c r="T35" s="84">
        <v>38</v>
      </c>
      <c r="U35" s="96">
        <v>-2.4400279999999999</v>
      </c>
      <c r="V35" s="225">
        <v>6</v>
      </c>
    </row>
  </sheetData>
  <mergeCells count="7">
    <mergeCell ref="T1:V1"/>
    <mergeCell ref="A1:H1"/>
    <mergeCell ref="J1:Q1"/>
    <mergeCell ref="J12:Q12"/>
    <mergeCell ref="A3:H3"/>
    <mergeCell ref="A12:H12"/>
    <mergeCell ref="J3:Q3"/>
  </mergeCells>
  <conditionalFormatting sqref="H14:H17">
    <cfRule type="cellIs" dxfId="24" priority="29" operator="equal">
      <formula>1</formula>
    </cfRule>
  </conditionalFormatting>
  <conditionalFormatting sqref="Q14:Q17">
    <cfRule type="cellIs" dxfId="23" priority="18" operator="equal">
      <formula>1</formula>
    </cfRule>
  </conditionalFormatting>
  <conditionalFormatting sqref="H5:H10">
    <cfRule type="cellIs" dxfId="22" priority="2" operator="equal">
      <formula>1</formula>
    </cfRule>
  </conditionalFormatting>
  <conditionalFormatting sqref="Q5:Q10">
    <cfRule type="cellIs" dxfId="21" priority="1" operator="equal">
      <formula>1</formula>
    </cfRule>
  </conditionalFormatting>
  <pageMargins left="0.7" right="0.7" top="0.75" bottom="0.75" header="0.3" footer="0.3"/>
  <ignoredErrors>
    <ignoredError sqref="G17 E17:F17" 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D4789-79FA-1F45-B322-D75A4A0E29E3}">
  <sheetPr codeName="Sheet13"/>
  <dimension ref="A1:M79"/>
  <sheetViews>
    <sheetView topLeftCell="A22" zoomScale="110" zoomScaleNormal="110" workbookViewId="0">
      <selection activeCell="J64" sqref="J64"/>
    </sheetView>
  </sheetViews>
  <sheetFormatPr defaultColWidth="9.25" defaultRowHeight="12.75"/>
  <cols>
    <col min="1" max="1" width="9.25" style="337"/>
    <col min="2" max="2" width="20.5" style="337" customWidth="1"/>
    <col min="3" max="3" width="10.5" style="338" customWidth="1"/>
    <col min="4" max="4" width="10.5" style="337" customWidth="1"/>
    <col min="5" max="5" width="12" style="337" bestFit="1" customWidth="1"/>
    <col min="6" max="7" width="10.5" style="337" customWidth="1"/>
    <col min="8" max="8" width="10.25" style="337" customWidth="1"/>
    <col min="9" max="9" width="9.5" style="337" bestFit="1" customWidth="1"/>
    <col min="10" max="10" width="9.25" style="337"/>
    <col min="11" max="11" width="10.75" style="337" customWidth="1"/>
    <col min="12" max="257" width="9.25" style="337"/>
    <col min="258" max="258" width="20.5" style="337" customWidth="1"/>
    <col min="259" max="260" width="10.5" style="337" customWidth="1"/>
    <col min="261" max="261" width="12" style="337" bestFit="1" customWidth="1"/>
    <col min="262" max="263" width="10.5" style="337" customWidth="1"/>
    <col min="264" max="264" width="10.25" style="337" customWidth="1"/>
    <col min="265" max="265" width="9.5" style="337" bestFit="1" customWidth="1"/>
    <col min="266" max="266" width="9.25" style="337"/>
    <col min="267" max="267" width="10.75" style="337" customWidth="1"/>
    <col min="268" max="513" width="9.25" style="337"/>
    <col min="514" max="514" width="20.5" style="337" customWidth="1"/>
    <col min="515" max="516" width="10.5" style="337" customWidth="1"/>
    <col min="517" max="517" width="12" style="337" bestFit="1" customWidth="1"/>
    <col min="518" max="519" width="10.5" style="337" customWidth="1"/>
    <col min="520" max="520" width="10.25" style="337" customWidth="1"/>
    <col min="521" max="521" width="9.5" style="337" bestFit="1" customWidth="1"/>
    <col min="522" max="522" width="9.25" style="337"/>
    <col min="523" max="523" width="10.75" style="337" customWidth="1"/>
    <col min="524" max="769" width="9.25" style="337"/>
    <col min="770" max="770" width="20.5" style="337" customWidth="1"/>
    <col min="771" max="772" width="10.5" style="337" customWidth="1"/>
    <col min="773" max="773" width="12" style="337" bestFit="1" customWidth="1"/>
    <col min="774" max="775" width="10.5" style="337" customWidth="1"/>
    <col min="776" max="776" width="10.25" style="337" customWidth="1"/>
    <col min="777" max="777" width="9.5" style="337" bestFit="1" customWidth="1"/>
    <col min="778" max="778" width="9.25" style="337"/>
    <col min="779" max="779" width="10.75" style="337" customWidth="1"/>
    <col min="780" max="1025" width="9.25" style="337"/>
    <col min="1026" max="1026" width="20.5" style="337" customWidth="1"/>
    <col min="1027" max="1028" width="10.5" style="337" customWidth="1"/>
    <col min="1029" max="1029" width="12" style="337" bestFit="1" customWidth="1"/>
    <col min="1030" max="1031" width="10.5" style="337" customWidth="1"/>
    <col min="1032" max="1032" width="10.25" style="337" customWidth="1"/>
    <col min="1033" max="1033" width="9.5" style="337" bestFit="1" customWidth="1"/>
    <col min="1034" max="1034" width="9.25" style="337"/>
    <col min="1035" max="1035" width="10.75" style="337" customWidth="1"/>
    <col min="1036" max="1281" width="9.25" style="337"/>
    <col min="1282" max="1282" width="20.5" style="337" customWidth="1"/>
    <col min="1283" max="1284" width="10.5" style="337" customWidth="1"/>
    <col min="1285" max="1285" width="12" style="337" bestFit="1" customWidth="1"/>
    <col min="1286" max="1287" width="10.5" style="337" customWidth="1"/>
    <col min="1288" max="1288" width="10.25" style="337" customWidth="1"/>
    <col min="1289" max="1289" width="9.5" style="337" bestFit="1" customWidth="1"/>
    <col min="1290" max="1290" width="9.25" style="337"/>
    <col min="1291" max="1291" width="10.75" style="337" customWidth="1"/>
    <col min="1292" max="1537" width="9.25" style="337"/>
    <col min="1538" max="1538" width="20.5" style="337" customWidth="1"/>
    <col min="1539" max="1540" width="10.5" style="337" customWidth="1"/>
    <col min="1541" max="1541" width="12" style="337" bestFit="1" customWidth="1"/>
    <col min="1542" max="1543" width="10.5" style="337" customWidth="1"/>
    <col min="1544" max="1544" width="10.25" style="337" customWidth="1"/>
    <col min="1545" max="1545" width="9.5" style="337" bestFit="1" customWidth="1"/>
    <col min="1546" max="1546" width="9.25" style="337"/>
    <col min="1547" max="1547" width="10.75" style="337" customWidth="1"/>
    <col min="1548" max="1793" width="9.25" style="337"/>
    <col min="1794" max="1794" width="20.5" style="337" customWidth="1"/>
    <col min="1795" max="1796" width="10.5" style="337" customWidth="1"/>
    <col min="1797" max="1797" width="12" style="337" bestFit="1" customWidth="1"/>
    <col min="1798" max="1799" width="10.5" style="337" customWidth="1"/>
    <col min="1800" max="1800" width="10.25" style="337" customWidth="1"/>
    <col min="1801" max="1801" width="9.5" style="337" bestFit="1" customWidth="1"/>
    <col min="1802" max="1802" width="9.25" style="337"/>
    <col min="1803" max="1803" width="10.75" style="337" customWidth="1"/>
    <col min="1804" max="2049" width="9.25" style="337"/>
    <col min="2050" max="2050" width="20.5" style="337" customWidth="1"/>
    <col min="2051" max="2052" width="10.5" style="337" customWidth="1"/>
    <col min="2053" max="2053" width="12" style="337" bestFit="1" customWidth="1"/>
    <col min="2054" max="2055" width="10.5" style="337" customWidth="1"/>
    <col min="2056" max="2056" width="10.25" style="337" customWidth="1"/>
    <col min="2057" max="2057" width="9.5" style="337" bestFit="1" customWidth="1"/>
    <col min="2058" max="2058" width="9.25" style="337"/>
    <col min="2059" max="2059" width="10.75" style="337" customWidth="1"/>
    <col min="2060" max="2305" width="9.25" style="337"/>
    <col min="2306" max="2306" width="20.5" style="337" customWidth="1"/>
    <col min="2307" max="2308" width="10.5" style="337" customWidth="1"/>
    <col min="2309" max="2309" width="12" style="337" bestFit="1" customWidth="1"/>
    <col min="2310" max="2311" width="10.5" style="337" customWidth="1"/>
    <col min="2312" max="2312" width="10.25" style="337" customWidth="1"/>
    <col min="2313" max="2313" width="9.5" style="337" bestFit="1" customWidth="1"/>
    <col min="2314" max="2314" width="9.25" style="337"/>
    <col min="2315" max="2315" width="10.75" style="337" customWidth="1"/>
    <col min="2316" max="2561" width="9.25" style="337"/>
    <col min="2562" max="2562" width="20.5" style="337" customWidth="1"/>
    <col min="2563" max="2564" width="10.5" style="337" customWidth="1"/>
    <col min="2565" max="2565" width="12" style="337" bestFit="1" customWidth="1"/>
    <col min="2566" max="2567" width="10.5" style="337" customWidth="1"/>
    <col min="2568" max="2568" width="10.25" style="337" customWidth="1"/>
    <col min="2569" max="2569" width="9.5" style="337" bestFit="1" customWidth="1"/>
    <col min="2570" max="2570" width="9.25" style="337"/>
    <col min="2571" max="2571" width="10.75" style="337" customWidth="1"/>
    <col min="2572" max="2817" width="9.25" style="337"/>
    <col min="2818" max="2818" width="20.5" style="337" customWidth="1"/>
    <col min="2819" max="2820" width="10.5" style="337" customWidth="1"/>
    <col min="2821" max="2821" width="12" style="337" bestFit="1" customWidth="1"/>
    <col min="2822" max="2823" width="10.5" style="337" customWidth="1"/>
    <col min="2824" max="2824" width="10.25" style="337" customWidth="1"/>
    <col min="2825" max="2825" width="9.5" style="337" bestFit="1" customWidth="1"/>
    <col min="2826" max="2826" width="9.25" style="337"/>
    <col min="2827" max="2827" width="10.75" style="337" customWidth="1"/>
    <col min="2828" max="3073" width="9.25" style="337"/>
    <col min="3074" max="3074" width="20.5" style="337" customWidth="1"/>
    <col min="3075" max="3076" width="10.5" style="337" customWidth="1"/>
    <col min="3077" max="3077" width="12" style="337" bestFit="1" customWidth="1"/>
    <col min="3078" max="3079" width="10.5" style="337" customWidth="1"/>
    <col min="3080" max="3080" width="10.25" style="337" customWidth="1"/>
    <col min="3081" max="3081" width="9.5" style="337" bestFit="1" customWidth="1"/>
    <col min="3082" max="3082" width="9.25" style="337"/>
    <col min="3083" max="3083" width="10.75" style="337" customWidth="1"/>
    <col min="3084" max="3329" width="9.25" style="337"/>
    <col min="3330" max="3330" width="20.5" style="337" customWidth="1"/>
    <col min="3331" max="3332" width="10.5" style="337" customWidth="1"/>
    <col min="3333" max="3333" width="12" style="337" bestFit="1" customWidth="1"/>
    <col min="3334" max="3335" width="10.5" style="337" customWidth="1"/>
    <col min="3336" max="3336" width="10.25" style="337" customWidth="1"/>
    <col min="3337" max="3337" width="9.5" style="337" bestFit="1" customWidth="1"/>
    <col min="3338" max="3338" width="9.25" style="337"/>
    <col min="3339" max="3339" width="10.75" style="337" customWidth="1"/>
    <col min="3340" max="3585" width="9.25" style="337"/>
    <col min="3586" max="3586" width="20.5" style="337" customWidth="1"/>
    <col min="3587" max="3588" width="10.5" style="337" customWidth="1"/>
    <col min="3589" max="3589" width="12" style="337" bestFit="1" customWidth="1"/>
    <col min="3590" max="3591" width="10.5" style="337" customWidth="1"/>
    <col min="3592" max="3592" width="10.25" style="337" customWidth="1"/>
    <col min="3593" max="3593" width="9.5" style="337" bestFit="1" customWidth="1"/>
    <col min="3594" max="3594" width="9.25" style="337"/>
    <col min="3595" max="3595" width="10.75" style="337" customWidth="1"/>
    <col min="3596" max="3841" width="9.25" style="337"/>
    <col min="3842" max="3842" width="20.5" style="337" customWidth="1"/>
    <col min="3843" max="3844" width="10.5" style="337" customWidth="1"/>
    <col min="3845" max="3845" width="12" style="337" bestFit="1" customWidth="1"/>
    <col min="3846" max="3847" width="10.5" style="337" customWidth="1"/>
    <col min="3848" max="3848" width="10.25" style="337" customWidth="1"/>
    <col min="3849" max="3849" width="9.5" style="337" bestFit="1" customWidth="1"/>
    <col min="3850" max="3850" width="9.25" style="337"/>
    <col min="3851" max="3851" width="10.75" style="337" customWidth="1"/>
    <col min="3852" max="4097" width="9.25" style="337"/>
    <col min="4098" max="4098" width="20.5" style="337" customWidth="1"/>
    <col min="4099" max="4100" width="10.5" style="337" customWidth="1"/>
    <col min="4101" max="4101" width="12" style="337" bestFit="1" customWidth="1"/>
    <col min="4102" max="4103" width="10.5" style="337" customWidth="1"/>
    <col min="4104" max="4104" width="10.25" style="337" customWidth="1"/>
    <col min="4105" max="4105" width="9.5" style="337" bestFit="1" customWidth="1"/>
    <col min="4106" max="4106" width="9.25" style="337"/>
    <col min="4107" max="4107" width="10.75" style="337" customWidth="1"/>
    <col min="4108" max="4353" width="9.25" style="337"/>
    <col min="4354" max="4354" width="20.5" style="337" customWidth="1"/>
    <col min="4355" max="4356" width="10.5" style="337" customWidth="1"/>
    <col min="4357" max="4357" width="12" style="337" bestFit="1" customWidth="1"/>
    <col min="4358" max="4359" width="10.5" style="337" customWidth="1"/>
    <col min="4360" max="4360" width="10.25" style="337" customWidth="1"/>
    <col min="4361" max="4361" width="9.5" style="337" bestFit="1" customWidth="1"/>
    <col min="4362" max="4362" width="9.25" style="337"/>
    <col min="4363" max="4363" width="10.75" style="337" customWidth="1"/>
    <col min="4364" max="4609" width="9.25" style="337"/>
    <col min="4610" max="4610" width="20.5" style="337" customWidth="1"/>
    <col min="4611" max="4612" width="10.5" style="337" customWidth="1"/>
    <col min="4613" max="4613" width="12" style="337" bestFit="1" customWidth="1"/>
    <col min="4614" max="4615" width="10.5" style="337" customWidth="1"/>
    <col min="4616" max="4616" width="10.25" style="337" customWidth="1"/>
    <col min="4617" max="4617" width="9.5" style="337" bestFit="1" customWidth="1"/>
    <col min="4618" max="4618" width="9.25" style="337"/>
    <col min="4619" max="4619" width="10.75" style="337" customWidth="1"/>
    <col min="4620" max="4865" width="9.25" style="337"/>
    <col min="4866" max="4866" width="20.5" style="337" customWidth="1"/>
    <col min="4867" max="4868" width="10.5" style="337" customWidth="1"/>
    <col min="4869" max="4869" width="12" style="337" bestFit="1" customWidth="1"/>
    <col min="4870" max="4871" width="10.5" style="337" customWidth="1"/>
    <col min="4872" max="4872" width="10.25" style="337" customWidth="1"/>
    <col min="4873" max="4873" width="9.5" style="337" bestFit="1" customWidth="1"/>
    <col min="4874" max="4874" width="9.25" style="337"/>
    <col min="4875" max="4875" width="10.75" style="337" customWidth="1"/>
    <col min="4876" max="5121" width="9.25" style="337"/>
    <col min="5122" max="5122" width="20.5" style="337" customWidth="1"/>
    <col min="5123" max="5124" width="10.5" style="337" customWidth="1"/>
    <col min="5125" max="5125" width="12" style="337" bestFit="1" customWidth="1"/>
    <col min="5126" max="5127" width="10.5" style="337" customWidth="1"/>
    <col min="5128" max="5128" width="10.25" style="337" customWidth="1"/>
    <col min="5129" max="5129" width="9.5" style="337" bestFit="1" customWidth="1"/>
    <col min="5130" max="5130" width="9.25" style="337"/>
    <col min="5131" max="5131" width="10.75" style="337" customWidth="1"/>
    <col min="5132" max="5377" width="9.25" style="337"/>
    <col min="5378" max="5378" width="20.5" style="337" customWidth="1"/>
    <col min="5379" max="5380" width="10.5" style="337" customWidth="1"/>
    <col min="5381" max="5381" width="12" style="337" bestFit="1" customWidth="1"/>
    <col min="5382" max="5383" width="10.5" style="337" customWidth="1"/>
    <col min="5384" max="5384" width="10.25" style="337" customWidth="1"/>
    <col min="5385" max="5385" width="9.5" style="337" bestFit="1" customWidth="1"/>
    <col min="5386" max="5386" width="9.25" style="337"/>
    <col min="5387" max="5387" width="10.75" style="337" customWidth="1"/>
    <col min="5388" max="5633" width="9.25" style="337"/>
    <col min="5634" max="5634" width="20.5" style="337" customWidth="1"/>
    <col min="5635" max="5636" width="10.5" style="337" customWidth="1"/>
    <col min="5637" max="5637" width="12" style="337" bestFit="1" customWidth="1"/>
    <col min="5638" max="5639" width="10.5" style="337" customWidth="1"/>
    <col min="5640" max="5640" width="10.25" style="337" customWidth="1"/>
    <col min="5641" max="5641" width="9.5" style="337" bestFit="1" customWidth="1"/>
    <col min="5642" max="5642" width="9.25" style="337"/>
    <col min="5643" max="5643" width="10.75" style="337" customWidth="1"/>
    <col min="5644" max="5889" width="9.25" style="337"/>
    <col min="5890" max="5890" width="20.5" style="337" customWidth="1"/>
    <col min="5891" max="5892" width="10.5" style="337" customWidth="1"/>
    <col min="5893" max="5893" width="12" style="337" bestFit="1" customWidth="1"/>
    <col min="5894" max="5895" width="10.5" style="337" customWidth="1"/>
    <col min="5896" max="5896" width="10.25" style="337" customWidth="1"/>
    <col min="5897" max="5897" width="9.5" style="337" bestFit="1" customWidth="1"/>
    <col min="5898" max="5898" width="9.25" style="337"/>
    <col min="5899" max="5899" width="10.75" style="337" customWidth="1"/>
    <col min="5900" max="6145" width="9.25" style="337"/>
    <col min="6146" max="6146" width="20.5" style="337" customWidth="1"/>
    <col min="6147" max="6148" width="10.5" style="337" customWidth="1"/>
    <col min="6149" max="6149" width="12" style="337" bestFit="1" customWidth="1"/>
    <col min="6150" max="6151" width="10.5" style="337" customWidth="1"/>
    <col min="6152" max="6152" width="10.25" style="337" customWidth="1"/>
    <col min="6153" max="6153" width="9.5" style="337" bestFit="1" customWidth="1"/>
    <col min="6154" max="6154" width="9.25" style="337"/>
    <col min="6155" max="6155" width="10.75" style="337" customWidth="1"/>
    <col min="6156" max="6401" width="9.25" style="337"/>
    <col min="6402" max="6402" width="20.5" style="337" customWidth="1"/>
    <col min="6403" max="6404" width="10.5" style="337" customWidth="1"/>
    <col min="6405" max="6405" width="12" style="337" bestFit="1" customWidth="1"/>
    <col min="6406" max="6407" width="10.5" style="337" customWidth="1"/>
    <col min="6408" max="6408" width="10.25" style="337" customWidth="1"/>
    <col min="6409" max="6409" width="9.5" style="337" bestFit="1" customWidth="1"/>
    <col min="6410" max="6410" width="9.25" style="337"/>
    <col min="6411" max="6411" width="10.75" style="337" customWidth="1"/>
    <col min="6412" max="6657" width="9.25" style="337"/>
    <col min="6658" max="6658" width="20.5" style="337" customWidth="1"/>
    <col min="6659" max="6660" width="10.5" style="337" customWidth="1"/>
    <col min="6661" max="6661" width="12" style="337" bestFit="1" customWidth="1"/>
    <col min="6662" max="6663" width="10.5" style="337" customWidth="1"/>
    <col min="6664" max="6664" width="10.25" style="337" customWidth="1"/>
    <col min="6665" max="6665" width="9.5" style="337" bestFit="1" customWidth="1"/>
    <col min="6666" max="6666" width="9.25" style="337"/>
    <col min="6667" max="6667" width="10.75" style="337" customWidth="1"/>
    <col min="6668" max="6913" width="9.25" style="337"/>
    <col min="6914" max="6914" width="20.5" style="337" customWidth="1"/>
    <col min="6915" max="6916" width="10.5" style="337" customWidth="1"/>
    <col min="6917" max="6917" width="12" style="337" bestFit="1" customWidth="1"/>
    <col min="6918" max="6919" width="10.5" style="337" customWidth="1"/>
    <col min="6920" max="6920" width="10.25" style="337" customWidth="1"/>
    <col min="6921" max="6921" width="9.5" style="337" bestFit="1" customWidth="1"/>
    <col min="6922" max="6922" width="9.25" style="337"/>
    <col min="6923" max="6923" width="10.75" style="337" customWidth="1"/>
    <col min="6924" max="7169" width="9.25" style="337"/>
    <col min="7170" max="7170" width="20.5" style="337" customWidth="1"/>
    <col min="7171" max="7172" width="10.5" style="337" customWidth="1"/>
    <col min="7173" max="7173" width="12" style="337" bestFit="1" customWidth="1"/>
    <col min="7174" max="7175" width="10.5" style="337" customWidth="1"/>
    <col min="7176" max="7176" width="10.25" style="337" customWidth="1"/>
    <col min="7177" max="7177" width="9.5" style="337" bestFit="1" customWidth="1"/>
    <col min="7178" max="7178" width="9.25" style="337"/>
    <col min="7179" max="7179" width="10.75" style="337" customWidth="1"/>
    <col min="7180" max="7425" width="9.25" style="337"/>
    <col min="7426" max="7426" width="20.5" style="337" customWidth="1"/>
    <col min="7427" max="7428" width="10.5" style="337" customWidth="1"/>
    <col min="7429" max="7429" width="12" style="337" bestFit="1" customWidth="1"/>
    <col min="7430" max="7431" width="10.5" style="337" customWidth="1"/>
    <col min="7432" max="7432" width="10.25" style="337" customWidth="1"/>
    <col min="7433" max="7433" width="9.5" style="337" bestFit="1" customWidth="1"/>
    <col min="7434" max="7434" width="9.25" style="337"/>
    <col min="7435" max="7435" width="10.75" style="337" customWidth="1"/>
    <col min="7436" max="7681" width="9.25" style="337"/>
    <col min="7682" max="7682" width="20.5" style="337" customWidth="1"/>
    <col min="7683" max="7684" width="10.5" style="337" customWidth="1"/>
    <col min="7685" max="7685" width="12" style="337" bestFit="1" customWidth="1"/>
    <col min="7686" max="7687" width="10.5" style="337" customWidth="1"/>
    <col min="7688" max="7688" width="10.25" style="337" customWidth="1"/>
    <col min="7689" max="7689" width="9.5" style="337" bestFit="1" customWidth="1"/>
    <col min="7690" max="7690" width="9.25" style="337"/>
    <col min="7691" max="7691" width="10.75" style="337" customWidth="1"/>
    <col min="7692" max="7937" width="9.25" style="337"/>
    <col min="7938" max="7938" width="20.5" style="337" customWidth="1"/>
    <col min="7939" max="7940" width="10.5" style="337" customWidth="1"/>
    <col min="7941" max="7941" width="12" style="337" bestFit="1" customWidth="1"/>
    <col min="7942" max="7943" width="10.5" style="337" customWidth="1"/>
    <col min="7944" max="7944" width="10.25" style="337" customWidth="1"/>
    <col min="7945" max="7945" width="9.5" style="337" bestFit="1" customWidth="1"/>
    <col min="7946" max="7946" width="9.25" style="337"/>
    <col min="7947" max="7947" width="10.75" style="337" customWidth="1"/>
    <col min="7948" max="8193" width="9.25" style="337"/>
    <col min="8194" max="8194" width="20.5" style="337" customWidth="1"/>
    <col min="8195" max="8196" width="10.5" style="337" customWidth="1"/>
    <col min="8197" max="8197" width="12" style="337" bestFit="1" customWidth="1"/>
    <col min="8198" max="8199" width="10.5" style="337" customWidth="1"/>
    <col min="8200" max="8200" width="10.25" style="337" customWidth="1"/>
    <col min="8201" max="8201" width="9.5" style="337" bestFit="1" customWidth="1"/>
    <col min="8202" max="8202" width="9.25" style="337"/>
    <col min="8203" max="8203" width="10.75" style="337" customWidth="1"/>
    <col min="8204" max="8449" width="9.25" style="337"/>
    <col min="8450" max="8450" width="20.5" style="337" customWidth="1"/>
    <col min="8451" max="8452" width="10.5" style="337" customWidth="1"/>
    <col min="8453" max="8453" width="12" style="337" bestFit="1" customWidth="1"/>
    <col min="8454" max="8455" width="10.5" style="337" customWidth="1"/>
    <col min="8456" max="8456" width="10.25" style="337" customWidth="1"/>
    <col min="8457" max="8457" width="9.5" style="337" bestFit="1" customWidth="1"/>
    <col min="8458" max="8458" width="9.25" style="337"/>
    <col min="8459" max="8459" width="10.75" style="337" customWidth="1"/>
    <col min="8460" max="8705" width="9.25" style="337"/>
    <col min="8706" max="8706" width="20.5" style="337" customWidth="1"/>
    <col min="8707" max="8708" width="10.5" style="337" customWidth="1"/>
    <col min="8709" max="8709" width="12" style="337" bestFit="1" customWidth="1"/>
    <col min="8710" max="8711" width="10.5" style="337" customWidth="1"/>
    <col min="8712" max="8712" width="10.25" style="337" customWidth="1"/>
    <col min="8713" max="8713" width="9.5" style="337" bestFit="1" customWidth="1"/>
    <col min="8714" max="8714" width="9.25" style="337"/>
    <col min="8715" max="8715" width="10.75" style="337" customWidth="1"/>
    <col min="8716" max="8961" width="9.25" style="337"/>
    <col min="8962" max="8962" width="20.5" style="337" customWidth="1"/>
    <col min="8963" max="8964" width="10.5" style="337" customWidth="1"/>
    <col min="8965" max="8965" width="12" style="337" bestFit="1" customWidth="1"/>
    <col min="8966" max="8967" width="10.5" style="337" customWidth="1"/>
    <col min="8968" max="8968" width="10.25" style="337" customWidth="1"/>
    <col min="8969" max="8969" width="9.5" style="337" bestFit="1" customWidth="1"/>
    <col min="8970" max="8970" width="9.25" style="337"/>
    <col min="8971" max="8971" width="10.75" style="337" customWidth="1"/>
    <col min="8972" max="9217" width="9.25" style="337"/>
    <col min="9218" max="9218" width="20.5" style="337" customWidth="1"/>
    <col min="9219" max="9220" width="10.5" style="337" customWidth="1"/>
    <col min="9221" max="9221" width="12" style="337" bestFit="1" customWidth="1"/>
    <col min="9222" max="9223" width="10.5" style="337" customWidth="1"/>
    <col min="9224" max="9224" width="10.25" style="337" customWidth="1"/>
    <col min="9225" max="9225" width="9.5" style="337" bestFit="1" customWidth="1"/>
    <col min="9226" max="9226" width="9.25" style="337"/>
    <col min="9227" max="9227" width="10.75" style="337" customWidth="1"/>
    <col min="9228" max="9473" width="9.25" style="337"/>
    <col min="9474" max="9474" width="20.5" style="337" customWidth="1"/>
    <col min="9475" max="9476" width="10.5" style="337" customWidth="1"/>
    <col min="9477" max="9477" width="12" style="337" bestFit="1" customWidth="1"/>
    <col min="9478" max="9479" width="10.5" style="337" customWidth="1"/>
    <col min="9480" max="9480" width="10.25" style="337" customWidth="1"/>
    <col min="9481" max="9481" width="9.5" style="337" bestFit="1" customWidth="1"/>
    <col min="9482" max="9482" width="9.25" style="337"/>
    <col min="9483" max="9483" width="10.75" style="337" customWidth="1"/>
    <col min="9484" max="9729" width="9.25" style="337"/>
    <col min="9730" max="9730" width="20.5" style="337" customWidth="1"/>
    <col min="9731" max="9732" width="10.5" style="337" customWidth="1"/>
    <col min="9733" max="9733" width="12" style="337" bestFit="1" customWidth="1"/>
    <col min="9734" max="9735" width="10.5" style="337" customWidth="1"/>
    <col min="9736" max="9736" width="10.25" style="337" customWidth="1"/>
    <col min="9737" max="9737" width="9.5" style="337" bestFit="1" customWidth="1"/>
    <col min="9738" max="9738" width="9.25" style="337"/>
    <col min="9739" max="9739" width="10.75" style="337" customWidth="1"/>
    <col min="9740" max="9985" width="9.25" style="337"/>
    <col min="9986" max="9986" width="20.5" style="337" customWidth="1"/>
    <col min="9987" max="9988" width="10.5" style="337" customWidth="1"/>
    <col min="9989" max="9989" width="12" style="337" bestFit="1" customWidth="1"/>
    <col min="9990" max="9991" width="10.5" style="337" customWidth="1"/>
    <col min="9992" max="9992" width="10.25" style="337" customWidth="1"/>
    <col min="9993" max="9993" width="9.5" style="337" bestFit="1" customWidth="1"/>
    <col min="9994" max="9994" width="9.25" style="337"/>
    <col min="9995" max="9995" width="10.75" style="337" customWidth="1"/>
    <col min="9996" max="10241" width="9.25" style="337"/>
    <col min="10242" max="10242" width="20.5" style="337" customWidth="1"/>
    <col min="10243" max="10244" width="10.5" style="337" customWidth="1"/>
    <col min="10245" max="10245" width="12" style="337" bestFit="1" customWidth="1"/>
    <col min="10246" max="10247" width="10.5" style="337" customWidth="1"/>
    <col min="10248" max="10248" width="10.25" style="337" customWidth="1"/>
    <col min="10249" max="10249" width="9.5" style="337" bestFit="1" customWidth="1"/>
    <col min="10250" max="10250" width="9.25" style="337"/>
    <col min="10251" max="10251" width="10.75" style="337" customWidth="1"/>
    <col min="10252" max="10497" width="9.25" style="337"/>
    <col min="10498" max="10498" width="20.5" style="337" customWidth="1"/>
    <col min="10499" max="10500" width="10.5" style="337" customWidth="1"/>
    <col min="10501" max="10501" width="12" style="337" bestFit="1" customWidth="1"/>
    <col min="10502" max="10503" width="10.5" style="337" customWidth="1"/>
    <col min="10504" max="10504" width="10.25" style="337" customWidth="1"/>
    <col min="10505" max="10505" width="9.5" style="337" bestFit="1" customWidth="1"/>
    <col min="10506" max="10506" width="9.25" style="337"/>
    <col min="10507" max="10507" width="10.75" style="337" customWidth="1"/>
    <col min="10508" max="10753" width="9.25" style="337"/>
    <col min="10754" max="10754" width="20.5" style="337" customWidth="1"/>
    <col min="10755" max="10756" width="10.5" style="337" customWidth="1"/>
    <col min="10757" max="10757" width="12" style="337" bestFit="1" customWidth="1"/>
    <col min="10758" max="10759" width="10.5" style="337" customWidth="1"/>
    <col min="10760" max="10760" width="10.25" style="337" customWidth="1"/>
    <col min="10761" max="10761" width="9.5" style="337" bestFit="1" customWidth="1"/>
    <col min="10762" max="10762" width="9.25" style="337"/>
    <col min="10763" max="10763" width="10.75" style="337" customWidth="1"/>
    <col min="10764" max="11009" width="9.25" style="337"/>
    <col min="11010" max="11010" width="20.5" style="337" customWidth="1"/>
    <col min="11011" max="11012" width="10.5" style="337" customWidth="1"/>
    <col min="11013" max="11013" width="12" style="337" bestFit="1" customWidth="1"/>
    <col min="11014" max="11015" width="10.5" style="337" customWidth="1"/>
    <col min="11016" max="11016" width="10.25" style="337" customWidth="1"/>
    <col min="11017" max="11017" width="9.5" style="337" bestFit="1" customWidth="1"/>
    <col min="11018" max="11018" width="9.25" style="337"/>
    <col min="11019" max="11019" width="10.75" style="337" customWidth="1"/>
    <col min="11020" max="11265" width="9.25" style="337"/>
    <col min="11266" max="11266" width="20.5" style="337" customWidth="1"/>
    <col min="11267" max="11268" width="10.5" style="337" customWidth="1"/>
    <col min="11269" max="11269" width="12" style="337" bestFit="1" customWidth="1"/>
    <col min="11270" max="11271" width="10.5" style="337" customWidth="1"/>
    <col min="11272" max="11272" width="10.25" style="337" customWidth="1"/>
    <col min="11273" max="11273" width="9.5" style="337" bestFit="1" customWidth="1"/>
    <col min="11274" max="11274" width="9.25" style="337"/>
    <col min="11275" max="11275" width="10.75" style="337" customWidth="1"/>
    <col min="11276" max="11521" width="9.25" style="337"/>
    <col min="11522" max="11522" width="20.5" style="337" customWidth="1"/>
    <col min="11523" max="11524" width="10.5" style="337" customWidth="1"/>
    <col min="11525" max="11525" width="12" style="337" bestFit="1" customWidth="1"/>
    <col min="11526" max="11527" width="10.5" style="337" customWidth="1"/>
    <col min="11528" max="11528" width="10.25" style="337" customWidth="1"/>
    <col min="11529" max="11529" width="9.5" style="337" bestFit="1" customWidth="1"/>
    <col min="11530" max="11530" width="9.25" style="337"/>
    <col min="11531" max="11531" width="10.75" style="337" customWidth="1"/>
    <col min="11532" max="11777" width="9.25" style="337"/>
    <col min="11778" max="11778" width="20.5" style="337" customWidth="1"/>
    <col min="11779" max="11780" width="10.5" style="337" customWidth="1"/>
    <col min="11781" max="11781" width="12" style="337" bestFit="1" customWidth="1"/>
    <col min="11782" max="11783" width="10.5" style="337" customWidth="1"/>
    <col min="11784" max="11784" width="10.25" style="337" customWidth="1"/>
    <col min="11785" max="11785" width="9.5" style="337" bestFit="1" customWidth="1"/>
    <col min="11786" max="11786" width="9.25" style="337"/>
    <col min="11787" max="11787" width="10.75" style="337" customWidth="1"/>
    <col min="11788" max="12033" width="9.25" style="337"/>
    <col min="12034" max="12034" width="20.5" style="337" customWidth="1"/>
    <col min="12035" max="12036" width="10.5" style="337" customWidth="1"/>
    <col min="12037" max="12037" width="12" style="337" bestFit="1" customWidth="1"/>
    <col min="12038" max="12039" width="10.5" style="337" customWidth="1"/>
    <col min="12040" max="12040" width="10.25" style="337" customWidth="1"/>
    <col min="12041" max="12041" width="9.5" style="337" bestFit="1" customWidth="1"/>
    <col min="12042" max="12042" width="9.25" style="337"/>
    <col min="12043" max="12043" width="10.75" style="337" customWidth="1"/>
    <col min="12044" max="12289" width="9.25" style="337"/>
    <col min="12290" max="12290" width="20.5" style="337" customWidth="1"/>
    <col min="12291" max="12292" width="10.5" style="337" customWidth="1"/>
    <col min="12293" max="12293" width="12" style="337" bestFit="1" customWidth="1"/>
    <col min="12294" max="12295" width="10.5" style="337" customWidth="1"/>
    <col min="12296" max="12296" width="10.25" style="337" customWidth="1"/>
    <col min="12297" max="12297" width="9.5" style="337" bestFit="1" customWidth="1"/>
    <col min="12298" max="12298" width="9.25" style="337"/>
    <col min="12299" max="12299" width="10.75" style="337" customWidth="1"/>
    <col min="12300" max="12545" width="9.25" style="337"/>
    <col min="12546" max="12546" width="20.5" style="337" customWidth="1"/>
    <col min="12547" max="12548" width="10.5" style="337" customWidth="1"/>
    <col min="12549" max="12549" width="12" style="337" bestFit="1" customWidth="1"/>
    <col min="12550" max="12551" width="10.5" style="337" customWidth="1"/>
    <col min="12552" max="12552" width="10.25" style="337" customWidth="1"/>
    <col min="12553" max="12553" width="9.5" style="337" bestFit="1" customWidth="1"/>
    <col min="12554" max="12554" width="9.25" style="337"/>
    <col min="12555" max="12555" width="10.75" style="337" customWidth="1"/>
    <col min="12556" max="12801" width="9.25" style="337"/>
    <col min="12802" max="12802" width="20.5" style="337" customWidth="1"/>
    <col min="12803" max="12804" width="10.5" style="337" customWidth="1"/>
    <col min="12805" max="12805" width="12" style="337" bestFit="1" customWidth="1"/>
    <col min="12806" max="12807" width="10.5" style="337" customWidth="1"/>
    <col min="12808" max="12808" width="10.25" style="337" customWidth="1"/>
    <col min="12809" max="12809" width="9.5" style="337" bestFit="1" customWidth="1"/>
    <col min="12810" max="12810" width="9.25" style="337"/>
    <col min="12811" max="12811" width="10.75" style="337" customWidth="1"/>
    <col min="12812" max="13057" width="9.25" style="337"/>
    <col min="13058" max="13058" width="20.5" style="337" customWidth="1"/>
    <col min="13059" max="13060" width="10.5" style="337" customWidth="1"/>
    <col min="13061" max="13061" width="12" style="337" bestFit="1" customWidth="1"/>
    <col min="13062" max="13063" width="10.5" style="337" customWidth="1"/>
    <col min="13064" max="13064" width="10.25" style="337" customWidth="1"/>
    <col min="13065" max="13065" width="9.5" style="337" bestFit="1" customWidth="1"/>
    <col min="13066" max="13066" width="9.25" style="337"/>
    <col min="13067" max="13067" width="10.75" style="337" customWidth="1"/>
    <col min="13068" max="13313" width="9.25" style="337"/>
    <col min="13314" max="13314" width="20.5" style="337" customWidth="1"/>
    <col min="13315" max="13316" width="10.5" style="337" customWidth="1"/>
    <col min="13317" max="13317" width="12" style="337" bestFit="1" customWidth="1"/>
    <col min="13318" max="13319" width="10.5" style="337" customWidth="1"/>
    <col min="13320" max="13320" width="10.25" style="337" customWidth="1"/>
    <col min="13321" max="13321" width="9.5" style="337" bestFit="1" customWidth="1"/>
    <col min="13322" max="13322" width="9.25" style="337"/>
    <col min="13323" max="13323" width="10.75" style="337" customWidth="1"/>
    <col min="13324" max="13569" width="9.25" style="337"/>
    <col min="13570" max="13570" width="20.5" style="337" customWidth="1"/>
    <col min="13571" max="13572" width="10.5" style="337" customWidth="1"/>
    <col min="13573" max="13573" width="12" style="337" bestFit="1" customWidth="1"/>
    <col min="13574" max="13575" width="10.5" style="337" customWidth="1"/>
    <col min="13576" max="13576" width="10.25" style="337" customWidth="1"/>
    <col min="13577" max="13577" width="9.5" style="337" bestFit="1" customWidth="1"/>
    <col min="13578" max="13578" width="9.25" style="337"/>
    <col min="13579" max="13579" width="10.75" style="337" customWidth="1"/>
    <col min="13580" max="13825" width="9.25" style="337"/>
    <col min="13826" max="13826" width="20.5" style="337" customWidth="1"/>
    <col min="13827" max="13828" width="10.5" style="337" customWidth="1"/>
    <col min="13829" max="13829" width="12" style="337" bestFit="1" customWidth="1"/>
    <col min="13830" max="13831" width="10.5" style="337" customWidth="1"/>
    <col min="13832" max="13832" width="10.25" style="337" customWidth="1"/>
    <col min="13833" max="13833" width="9.5" style="337" bestFit="1" customWidth="1"/>
    <col min="13834" max="13834" width="9.25" style="337"/>
    <col min="13835" max="13835" width="10.75" style="337" customWidth="1"/>
    <col min="13836" max="14081" width="9.25" style="337"/>
    <col min="14082" max="14082" width="20.5" style="337" customWidth="1"/>
    <col min="14083" max="14084" width="10.5" style="337" customWidth="1"/>
    <col min="14085" max="14085" width="12" style="337" bestFit="1" customWidth="1"/>
    <col min="14086" max="14087" width="10.5" style="337" customWidth="1"/>
    <col min="14088" max="14088" width="10.25" style="337" customWidth="1"/>
    <col min="14089" max="14089" width="9.5" style="337" bestFit="1" customWidth="1"/>
    <col min="14090" max="14090" width="9.25" style="337"/>
    <col min="14091" max="14091" width="10.75" style="337" customWidth="1"/>
    <col min="14092" max="14337" width="9.25" style="337"/>
    <col min="14338" max="14338" width="20.5" style="337" customWidth="1"/>
    <col min="14339" max="14340" width="10.5" style="337" customWidth="1"/>
    <col min="14341" max="14341" width="12" style="337" bestFit="1" customWidth="1"/>
    <col min="14342" max="14343" width="10.5" style="337" customWidth="1"/>
    <col min="14344" max="14344" width="10.25" style="337" customWidth="1"/>
    <col min="14345" max="14345" width="9.5" style="337" bestFit="1" customWidth="1"/>
    <col min="14346" max="14346" width="9.25" style="337"/>
    <col min="14347" max="14347" width="10.75" style="337" customWidth="1"/>
    <col min="14348" max="14593" width="9.25" style="337"/>
    <col min="14594" max="14594" width="20.5" style="337" customWidth="1"/>
    <col min="14595" max="14596" width="10.5" style="337" customWidth="1"/>
    <col min="14597" max="14597" width="12" style="337" bestFit="1" customWidth="1"/>
    <col min="14598" max="14599" width="10.5" style="337" customWidth="1"/>
    <col min="14600" max="14600" width="10.25" style="337" customWidth="1"/>
    <col min="14601" max="14601" width="9.5" style="337" bestFit="1" customWidth="1"/>
    <col min="14602" max="14602" width="9.25" style="337"/>
    <col min="14603" max="14603" width="10.75" style="337" customWidth="1"/>
    <col min="14604" max="14849" width="9.25" style="337"/>
    <col min="14850" max="14850" width="20.5" style="337" customWidth="1"/>
    <col min="14851" max="14852" width="10.5" style="337" customWidth="1"/>
    <col min="14853" max="14853" width="12" style="337" bestFit="1" customWidth="1"/>
    <col min="14854" max="14855" width="10.5" style="337" customWidth="1"/>
    <col min="14856" max="14856" width="10.25" style="337" customWidth="1"/>
    <col min="14857" max="14857" width="9.5" style="337" bestFit="1" customWidth="1"/>
    <col min="14858" max="14858" width="9.25" style="337"/>
    <col min="14859" max="14859" width="10.75" style="337" customWidth="1"/>
    <col min="14860" max="15105" width="9.25" style="337"/>
    <col min="15106" max="15106" width="20.5" style="337" customWidth="1"/>
    <col min="15107" max="15108" width="10.5" style="337" customWidth="1"/>
    <col min="15109" max="15109" width="12" style="337" bestFit="1" customWidth="1"/>
    <col min="15110" max="15111" width="10.5" style="337" customWidth="1"/>
    <col min="15112" max="15112" width="10.25" style="337" customWidth="1"/>
    <col min="15113" max="15113" width="9.5" style="337" bestFit="1" customWidth="1"/>
    <col min="15114" max="15114" width="9.25" style="337"/>
    <col min="15115" max="15115" width="10.75" style="337" customWidth="1"/>
    <col min="15116" max="15361" width="9.25" style="337"/>
    <col min="15362" max="15362" width="20.5" style="337" customWidth="1"/>
    <col min="15363" max="15364" width="10.5" style="337" customWidth="1"/>
    <col min="15365" max="15365" width="12" style="337" bestFit="1" customWidth="1"/>
    <col min="15366" max="15367" width="10.5" style="337" customWidth="1"/>
    <col min="15368" max="15368" width="10.25" style="337" customWidth="1"/>
    <col min="15369" max="15369" width="9.5" style="337" bestFit="1" customWidth="1"/>
    <col min="15370" max="15370" width="9.25" style="337"/>
    <col min="15371" max="15371" width="10.75" style="337" customWidth="1"/>
    <col min="15372" max="15617" width="9.25" style="337"/>
    <col min="15618" max="15618" width="20.5" style="337" customWidth="1"/>
    <col min="15619" max="15620" width="10.5" style="337" customWidth="1"/>
    <col min="15621" max="15621" width="12" style="337" bestFit="1" customWidth="1"/>
    <col min="15622" max="15623" width="10.5" style="337" customWidth="1"/>
    <col min="15624" max="15624" width="10.25" style="337" customWidth="1"/>
    <col min="15625" max="15625" width="9.5" style="337" bestFit="1" customWidth="1"/>
    <col min="15626" max="15626" width="9.25" style="337"/>
    <col min="15627" max="15627" width="10.75" style="337" customWidth="1"/>
    <col min="15628" max="15873" width="9.25" style="337"/>
    <col min="15874" max="15874" width="20.5" style="337" customWidth="1"/>
    <col min="15875" max="15876" width="10.5" style="337" customWidth="1"/>
    <col min="15877" max="15877" width="12" style="337" bestFit="1" customWidth="1"/>
    <col min="15878" max="15879" width="10.5" style="337" customWidth="1"/>
    <col min="15880" max="15880" width="10.25" style="337" customWidth="1"/>
    <col min="15881" max="15881" width="9.5" style="337" bestFit="1" customWidth="1"/>
    <col min="15882" max="15882" width="9.25" style="337"/>
    <col min="15883" max="15883" width="10.75" style="337" customWidth="1"/>
    <col min="15884" max="16129" width="9.25" style="337"/>
    <col min="16130" max="16130" width="20.5" style="337" customWidth="1"/>
    <col min="16131" max="16132" width="10.5" style="337" customWidth="1"/>
    <col min="16133" max="16133" width="12" style="337" bestFit="1" customWidth="1"/>
    <col min="16134" max="16135" width="10.5" style="337" customWidth="1"/>
    <col min="16136" max="16136" width="10.25" style="337" customWidth="1"/>
    <col min="16137" max="16137" width="9.5" style="337" bestFit="1" customWidth="1"/>
    <col min="16138" max="16138" width="9.25" style="337"/>
    <col min="16139" max="16139" width="10.75" style="337" customWidth="1"/>
    <col min="16140" max="16384" width="9.25" style="337"/>
  </cols>
  <sheetData>
    <row r="1" spans="1:1">
      <c r="A1" s="336" t="s">
        <v>347</v>
      </c>
    </row>
    <row r="2" spans="1:1">
      <c r="A2" s="336" t="s">
        <v>348</v>
      </c>
    </row>
    <row r="3" spans="1:1">
      <c r="A3" s="336" t="s">
        <v>349</v>
      </c>
    </row>
    <row r="4" spans="1:1">
      <c r="A4" s="337" t="s">
        <v>350</v>
      </c>
    </row>
    <row r="5" spans="1:1">
      <c r="A5" s="337" t="s">
        <v>351</v>
      </c>
    </row>
    <row r="6" spans="1:1">
      <c r="A6" s="337" t="s">
        <v>352</v>
      </c>
    </row>
    <row r="8" spans="1:1">
      <c r="A8" s="337" t="s">
        <v>353</v>
      </c>
    </row>
    <row r="10" spans="1:1">
      <c r="A10" s="337" t="s">
        <v>354</v>
      </c>
    </row>
    <row r="11" spans="1:1">
      <c r="A11" s="337" t="s">
        <v>355</v>
      </c>
    </row>
    <row r="12" spans="1:1">
      <c r="A12" s="337" t="s">
        <v>356</v>
      </c>
    </row>
    <row r="14" spans="1:1">
      <c r="A14" s="337" t="s">
        <v>357</v>
      </c>
    </row>
    <row r="16" spans="1:1">
      <c r="A16" s="337" t="s">
        <v>358</v>
      </c>
    </row>
    <row r="17" spans="1:7">
      <c r="A17" s="337" t="s">
        <v>359</v>
      </c>
    </row>
    <row r="18" spans="1:7">
      <c r="A18" s="337" t="s">
        <v>360</v>
      </c>
    </row>
    <row r="19" spans="1:7">
      <c r="A19" s="337" t="s">
        <v>361</v>
      </c>
    </row>
    <row r="20" spans="1:7">
      <c r="A20" s="337" t="s">
        <v>362</v>
      </c>
    </row>
    <row r="22" spans="1:7">
      <c r="A22" s="337" t="s">
        <v>363</v>
      </c>
    </row>
    <row r="24" spans="1:7">
      <c r="A24" s="337" t="s">
        <v>364</v>
      </c>
    </row>
    <row r="25" spans="1:7">
      <c r="A25" s="337" t="s">
        <v>365</v>
      </c>
    </row>
    <row r="26" spans="1:7">
      <c r="A26" s="337" t="s">
        <v>366</v>
      </c>
    </row>
    <row r="27" spans="1:7">
      <c r="A27" s="337" t="s">
        <v>367</v>
      </c>
    </row>
    <row r="28" spans="1:7">
      <c r="A28" s="337" t="s">
        <v>368</v>
      </c>
    </row>
    <row r="29" spans="1:7">
      <c r="A29" s="339"/>
      <c r="B29" s="339"/>
      <c r="C29" s="340"/>
      <c r="D29" s="339"/>
      <c r="E29" s="339"/>
      <c r="F29" s="339"/>
      <c r="G29" s="339"/>
    </row>
    <row r="30" spans="1:7">
      <c r="A30" s="341" t="s">
        <v>369</v>
      </c>
      <c r="B30" s="341" t="s">
        <v>370</v>
      </c>
      <c r="C30" s="342" t="s">
        <v>371</v>
      </c>
      <c r="D30" s="341" t="s">
        <v>372</v>
      </c>
      <c r="E30" s="341" t="s">
        <v>373</v>
      </c>
      <c r="F30" s="341" t="s">
        <v>374</v>
      </c>
      <c r="G30" s="341" t="s">
        <v>375</v>
      </c>
    </row>
    <row r="32" spans="1:7">
      <c r="A32" s="337" t="s">
        <v>376</v>
      </c>
      <c r="B32" s="343">
        <v>3.4733199999999999E-2</v>
      </c>
      <c r="C32" s="338">
        <v>2.1258000000000002E-3</v>
      </c>
      <c r="D32" s="337">
        <v>16.34</v>
      </c>
      <c r="E32" s="337">
        <v>0</v>
      </c>
      <c r="F32" s="337">
        <v>3.0566800000000002E-2</v>
      </c>
      <c r="G32" s="337">
        <v>3.8899599999999999E-2</v>
      </c>
    </row>
    <row r="33" spans="1:13">
      <c r="A33" s="337" t="s">
        <v>377</v>
      </c>
      <c r="B33" s="343">
        <v>-11.17709</v>
      </c>
      <c r="C33" s="338">
        <v>0.24387030000000001</v>
      </c>
      <c r="D33" s="337">
        <v>-45.83</v>
      </c>
      <c r="E33" s="337">
        <v>0</v>
      </c>
      <c r="F33" s="337">
        <v>-11.65507</v>
      </c>
      <c r="G33" s="337">
        <v>-10.699120000000001</v>
      </c>
    </row>
    <row r="34" spans="1:13">
      <c r="B34" s="343"/>
    </row>
    <row r="35" spans="1:13">
      <c r="A35" s="337" t="s">
        <v>378</v>
      </c>
      <c r="B35" s="343">
        <v>7.2195200000000001E-2</v>
      </c>
      <c r="C35" s="338">
        <v>2.4672800000000002E-2</v>
      </c>
      <c r="D35" s="337">
        <v>2.93</v>
      </c>
      <c r="E35" s="337">
        <v>3.0000000000000001E-3</v>
      </c>
      <c r="F35" s="337">
        <v>2.3837400000000002E-2</v>
      </c>
      <c r="G35" s="337">
        <v>0.1205531</v>
      </c>
    </row>
    <row r="37" spans="1:13">
      <c r="A37" s="337" t="s">
        <v>379</v>
      </c>
      <c r="B37" s="337">
        <v>1.074865</v>
      </c>
      <c r="C37" s="338">
        <v>2.6519999999999998E-2</v>
      </c>
      <c r="F37" s="337">
        <v>1.024124</v>
      </c>
      <c r="G37" s="337">
        <v>1.1281209999999999</v>
      </c>
    </row>
    <row r="38" spans="1:13">
      <c r="A38" s="337" t="s">
        <v>380</v>
      </c>
      <c r="B38" s="337">
        <v>0.93034919999999999</v>
      </c>
      <c r="C38" s="338">
        <v>2.29544E-2</v>
      </c>
      <c r="F38" s="337">
        <v>0.88643000000000005</v>
      </c>
      <c r="G38" s="337">
        <v>0.97644450000000005</v>
      </c>
    </row>
    <row r="39" spans="1:13">
      <c r="C39" s="337"/>
    </row>
    <row r="40" spans="1:13" s="344" customFormat="1" ht="15.75">
      <c r="A40" s="344" t="s">
        <v>381</v>
      </c>
      <c r="C40" s="345"/>
      <c r="F40" s="337"/>
      <c r="G40" s="337"/>
    </row>
    <row r="42" spans="1:13" s="346" customFormat="1">
      <c r="B42" s="346" t="s">
        <v>382</v>
      </c>
      <c r="C42" s="347" t="s">
        <v>383</v>
      </c>
      <c r="D42" s="348" t="s">
        <v>384</v>
      </c>
      <c r="E42" s="348" t="s">
        <v>385</v>
      </c>
      <c r="F42" s="349"/>
      <c r="J42" s="337" t="s">
        <v>386</v>
      </c>
      <c r="K42" s="337"/>
      <c r="L42" s="337"/>
      <c r="M42" s="337"/>
    </row>
    <row r="43" spans="1:13">
      <c r="D43" s="350"/>
      <c r="E43" s="350"/>
      <c r="F43" s="338"/>
      <c r="G43" s="350"/>
      <c r="H43" s="350"/>
      <c r="I43" s="350"/>
      <c r="K43" s="346" t="s">
        <v>376</v>
      </c>
      <c r="L43" s="346" t="s">
        <v>377</v>
      </c>
      <c r="M43" s="337" t="s">
        <v>387</v>
      </c>
    </row>
    <row r="44" spans="1:13">
      <c r="B44" s="351" t="s">
        <v>388</v>
      </c>
      <c r="C44" s="352">
        <f>B35</f>
        <v>7.2195200000000001E-2</v>
      </c>
      <c r="D44" s="353">
        <f>C35</f>
        <v>2.4672800000000002E-2</v>
      </c>
      <c r="E44" s="350">
        <f>EXP(C44)</f>
        <v>1.074865137262125</v>
      </c>
      <c r="I44" s="350"/>
      <c r="J44" s="337" t="s">
        <v>376</v>
      </c>
      <c r="K44" s="354">
        <v>4.5000000000000001E-6</v>
      </c>
    </row>
    <row r="45" spans="1:13">
      <c r="B45" s="351" t="s">
        <v>332</v>
      </c>
      <c r="C45" s="352">
        <f>B33</f>
        <v>-11.17709</v>
      </c>
      <c r="D45" s="353">
        <f>C33</f>
        <v>0.24387030000000001</v>
      </c>
      <c r="E45" s="350">
        <f>EXP(C45)</f>
        <v>1.3991088034630806E-5</v>
      </c>
      <c r="I45" s="350"/>
      <c r="J45" s="337" t="s">
        <v>377</v>
      </c>
      <c r="K45" s="337">
        <v>-3.0899999999999998E-4</v>
      </c>
      <c r="L45" s="337">
        <v>5.9472999999999998E-2</v>
      </c>
    </row>
    <row r="46" spans="1:13">
      <c r="B46" s="351" t="s">
        <v>376</v>
      </c>
      <c r="C46" s="352">
        <f>B32</f>
        <v>3.4733199999999999E-2</v>
      </c>
      <c r="D46" s="353">
        <f>C32</f>
        <v>2.1258000000000002E-3</v>
      </c>
      <c r="E46" s="350">
        <f>EXP(C46)</f>
        <v>1.035343442316903</v>
      </c>
      <c r="I46" s="350"/>
      <c r="J46" s="350" t="s">
        <v>389</v>
      </c>
      <c r="K46" s="354">
        <v>6.6000000000000003E-6</v>
      </c>
      <c r="L46" s="337">
        <v>-5.1879999999999999E-3</v>
      </c>
      <c r="M46" s="337">
        <v>6.0899999999999995E-4</v>
      </c>
    </row>
    <row r="47" spans="1:13">
      <c r="B47" s="351"/>
      <c r="C47" s="355"/>
      <c r="D47" s="355"/>
      <c r="E47" s="350"/>
      <c r="I47" s="350"/>
    </row>
    <row r="48" spans="1:13">
      <c r="B48" s="346" t="s">
        <v>390</v>
      </c>
      <c r="J48" s="346" t="s">
        <v>391</v>
      </c>
      <c r="K48" s="338"/>
    </row>
    <row r="49" spans="2:13">
      <c r="K49" s="338"/>
    </row>
    <row r="50" spans="2:13">
      <c r="C50" s="337" t="s">
        <v>388</v>
      </c>
      <c r="D50" s="337" t="s">
        <v>332</v>
      </c>
      <c r="E50" s="337" t="s">
        <v>376</v>
      </c>
      <c r="K50" s="337" t="s">
        <v>388</v>
      </c>
      <c r="L50" s="337" t="s">
        <v>332</v>
      </c>
      <c r="M50" s="337" t="s">
        <v>376</v>
      </c>
    </row>
    <row r="51" spans="2:13">
      <c r="B51" s="351" t="s">
        <v>388</v>
      </c>
      <c r="C51" s="338">
        <f>D44^2</f>
        <v>6.0874705984000012E-4</v>
      </c>
      <c r="J51" s="351" t="s">
        <v>388</v>
      </c>
      <c r="K51" s="337">
        <f>C51/(SQRT(C$51)*SQRT(C51))</f>
        <v>1</v>
      </c>
    </row>
    <row r="52" spans="2:13">
      <c r="B52" s="351" t="s">
        <v>332</v>
      </c>
      <c r="C52" s="338">
        <f>L46</f>
        <v>-5.1879999999999999E-3</v>
      </c>
      <c r="D52" s="338">
        <f>D45^2</f>
        <v>5.9472723222090004E-2</v>
      </c>
      <c r="J52" s="351" t="s">
        <v>332</v>
      </c>
      <c r="K52" s="350">
        <f>C52/(SQRT(C$51)*SQRT(D52))</f>
        <v>-0.86222898182195173</v>
      </c>
      <c r="L52" s="337">
        <f>D52/(SQRT(D$52)*SQRT(D52))</f>
        <v>1</v>
      </c>
    </row>
    <row r="53" spans="2:13">
      <c r="B53" s="351" t="s">
        <v>376</v>
      </c>
      <c r="C53" s="338">
        <f>K46</f>
        <v>6.6000000000000003E-6</v>
      </c>
      <c r="D53" s="338">
        <f>K45</f>
        <v>-3.0899999999999998E-4</v>
      </c>
      <c r="E53" s="338">
        <f>D46^2</f>
        <v>4.519025640000001E-6</v>
      </c>
      <c r="J53" s="351" t="s">
        <v>376</v>
      </c>
      <c r="K53" s="350">
        <f>C53/(SQRT(C$51)*SQRT(E53))</f>
        <v>0.1258354754878305</v>
      </c>
      <c r="L53" s="350">
        <f>D53/(SQRT(D$52)*SQRT(E53))</f>
        <v>-0.59604241293325111</v>
      </c>
      <c r="M53" s="337">
        <f>E53/(SQRT(E$53)*SQRT(E53))</f>
        <v>1</v>
      </c>
    </row>
    <row r="54" spans="2:13">
      <c r="B54" s="351"/>
      <c r="D54" s="338"/>
      <c r="E54" s="338"/>
      <c r="F54" s="338"/>
      <c r="J54" s="351"/>
      <c r="K54" s="350"/>
      <c r="L54" s="350"/>
      <c r="M54" s="350"/>
    </row>
    <row r="55" spans="2:13">
      <c r="B55" s="346" t="s">
        <v>392</v>
      </c>
      <c r="C55" s="337"/>
      <c r="L55" s="354"/>
    </row>
    <row r="56" spans="2:13">
      <c r="B56" s="346"/>
      <c r="C56" s="337"/>
      <c r="L56" s="354"/>
    </row>
    <row r="57" spans="2:13">
      <c r="C57" s="337" t="s">
        <v>388</v>
      </c>
      <c r="D57" s="337" t="s">
        <v>332</v>
      </c>
      <c r="E57" s="337" t="s">
        <v>376</v>
      </c>
      <c r="L57" s="354"/>
    </row>
    <row r="58" spans="2:13">
      <c r="B58" s="351" t="s">
        <v>388</v>
      </c>
      <c r="C58" s="356">
        <f>SQRT(C51)</f>
        <v>2.4672800000000002E-2</v>
      </c>
      <c r="L58" s="354"/>
    </row>
    <row r="59" spans="2:13">
      <c r="B59" s="351" t="s">
        <v>332</v>
      </c>
      <c r="C59" s="356">
        <f>C52/a</f>
        <v>-0.21027204046561393</v>
      </c>
      <c r="D59" s="356">
        <f>SQRT(D52-b^2)</f>
        <v>0.12352486478647619</v>
      </c>
      <c r="L59" s="354"/>
    </row>
    <row r="60" spans="2:13">
      <c r="B60" s="351" t="s">
        <v>376</v>
      </c>
      <c r="C60" s="356">
        <f>C53/a</f>
        <v>2.6750105379203009E-4</v>
      </c>
      <c r="D60" s="356">
        <f>(D53-b*d)/c_</f>
        <v>-2.0461629974608949E-3</v>
      </c>
      <c r="E60" s="356">
        <f>SQRT(E53-d^2-e^2)</f>
        <v>5.1057400447143849E-4</v>
      </c>
      <c r="L60" s="354"/>
    </row>
    <row r="62" spans="2:13">
      <c r="B62" s="346" t="s">
        <v>393</v>
      </c>
    </row>
    <row r="63" spans="2:13">
      <c r="C63" s="339" t="s">
        <v>372</v>
      </c>
      <c r="D63" s="339"/>
      <c r="E63" s="339" t="s">
        <v>394</v>
      </c>
      <c r="F63" s="339"/>
      <c r="G63" s="339" t="s">
        <v>395</v>
      </c>
    </row>
    <row r="64" spans="2:13">
      <c r="B64" s="351" t="s">
        <v>388</v>
      </c>
      <c r="C64" s="356">
        <f ca="1">NORMINV(RAND(),0,1)</f>
        <v>-1.3078564044081946</v>
      </c>
      <c r="E64" s="356">
        <f ca="1">a*C64</f>
        <v>-3.2268479494682506E-2</v>
      </c>
      <c r="G64" s="357">
        <f ca="1">C44+E64</f>
        <v>3.9926720505317495E-2</v>
      </c>
    </row>
    <row r="65" spans="2:7">
      <c r="B65" s="351" t="s">
        <v>332</v>
      </c>
      <c r="C65" s="356">
        <f ca="1">NORMINV(RAND(),0,1)</f>
        <v>0.86308159417731223</v>
      </c>
      <c r="E65" s="356">
        <f ca="1">b*C64+c_*C65</f>
        <v>0.38161767201138103</v>
      </c>
      <c r="G65" s="357">
        <f ca="1">C45+E65</f>
        <v>-10.79547232798862</v>
      </c>
    </row>
    <row r="66" spans="2:7">
      <c r="B66" s="351" t="s">
        <v>376</v>
      </c>
      <c r="C66" s="356">
        <f ca="1">NORMINV(RAND(),0,1)</f>
        <v>-0.41633066511111866</v>
      </c>
      <c r="E66" s="356">
        <f ca="1">d*C64+e*C65+f*C66</f>
        <v>-2.3284262030530654E-3</v>
      </c>
      <c r="G66" s="357">
        <f ca="1">C46+E66</f>
        <v>3.2404773796946937E-2</v>
      </c>
    </row>
    <row r="68" spans="2:7">
      <c r="B68" s="346"/>
    </row>
    <row r="79" spans="2:7">
      <c r="B79" s="337" t="s">
        <v>396</v>
      </c>
    </row>
  </sheetData>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08468-45A8-7B41-9E24-BD54F8012A05}">
  <dimension ref="A1:F144"/>
  <sheetViews>
    <sheetView zoomScale="70" zoomScaleNormal="70" workbookViewId="0">
      <selection activeCell="A37" sqref="A37"/>
    </sheetView>
  </sheetViews>
  <sheetFormatPr defaultColWidth="11.25" defaultRowHeight="15.75"/>
  <cols>
    <col min="1" max="2" width="43.25" style="8" customWidth="1"/>
    <col min="3" max="4" width="26.5" customWidth="1"/>
    <col min="5" max="6" width="39.5" customWidth="1"/>
    <col min="7" max="7" width="29.25" bestFit="1" customWidth="1"/>
  </cols>
  <sheetData>
    <row r="1" spans="1:6">
      <c r="A1" s="8" t="s">
        <v>416</v>
      </c>
      <c r="B1" t="s">
        <v>483</v>
      </c>
      <c r="C1" t="s">
        <v>484</v>
      </c>
      <c r="D1" t="s">
        <v>485</v>
      </c>
      <c r="E1" t="s">
        <v>486</v>
      </c>
      <c r="F1" t="s">
        <v>487</v>
      </c>
    </row>
    <row r="2" spans="1:6">
      <c r="A2" s="147" t="s">
        <v>291</v>
      </c>
      <c r="B2" s="33">
        <v>-342019.7342297631</v>
      </c>
      <c r="C2" s="33">
        <v>-55934.036187021105</v>
      </c>
      <c r="D2" s="704">
        <f>(B2-CUA!$C$9)/(CUA!$C$9)</f>
        <v>0.23048781895722231</v>
      </c>
      <c r="E2" s="704">
        <f>(C2-CUA!$C$9)/(CUA!$C$9)</f>
        <v>-0.79876555851889608</v>
      </c>
      <c r="F2" s="705">
        <f>(Table1[[#This Row],[Upper bound 95% CI applied]]-Table1[[#This Row],[Lower bound 95% CI applied]])^2</f>
        <v>81845026624.602936</v>
      </c>
    </row>
    <row r="3" spans="1:6">
      <c r="A3" s="147" t="s">
        <v>289</v>
      </c>
      <c r="B3" s="33">
        <v>-203660.5679901047</v>
      </c>
      <c r="C3" s="33">
        <v>-437628.83110347146</v>
      </c>
      <c r="D3" s="704">
        <f>(B3-CUA!$C$9)/(CUA!$C$9)</f>
        <v>-0.26728833738762303</v>
      </c>
      <c r="E3" s="704">
        <f>(C3-CUA!$C$9)/(CUA!$C$9)</f>
        <v>0.57446162312831939</v>
      </c>
      <c r="F3" s="705">
        <f>(Table1[[#This Row],[Upper bound 95% CI applied]]-Table1[[#This Row],[Lower bound 95% CI applied]])^2</f>
        <v>54741148144.285614</v>
      </c>
    </row>
    <row r="4" spans="1:6">
      <c r="A4" s="230" t="s">
        <v>338</v>
      </c>
      <c r="B4" s="33">
        <v>-353327.57184808014</v>
      </c>
      <c r="C4" s="33">
        <v>-177051.58556533317</v>
      </c>
      <c r="D4" s="704">
        <f>(B4-CUA!$C$9)/(CUA!$C$9)</f>
        <v>0.27117013946548302</v>
      </c>
      <c r="E4" s="704">
        <f>(C4-CUA!$C$9)/(CUA!$C$9)</f>
        <v>-0.36301973961873713</v>
      </c>
      <c r="F4" s="705">
        <f>(Table1[[#This Row],[Upper bound 95% CI applied]]-Table1[[#This Row],[Lower bound 95% CI applied]])^2</f>
        <v>31073223339.9552</v>
      </c>
    </row>
    <row r="5" spans="1:6">
      <c r="A5" s="230" t="s">
        <v>332</v>
      </c>
      <c r="B5" s="33">
        <v>-351964.81876480673</v>
      </c>
      <c r="C5" s="33">
        <v>-181048.794795883</v>
      </c>
      <c r="D5" s="704">
        <f>(B5-CUA!$C$9)/(CUA!$C$9)</f>
        <v>0.26626734906658794</v>
      </c>
      <c r="E5" s="704">
        <f>(C5-CUA!$C$9)/(CUA!$C$9)</f>
        <v>-0.34863893998712647</v>
      </c>
      <c r="F5" s="705">
        <f>(Table1[[#This Row],[Upper bound 95% CI applied]]-Table1[[#This Row],[Lower bound 95% CI applied]])^2</f>
        <v>29212287249.345707</v>
      </c>
    </row>
    <row r="6" spans="1:6">
      <c r="A6" s="230" t="s">
        <v>324</v>
      </c>
      <c r="B6" s="33">
        <v>-196662.60882383407</v>
      </c>
      <c r="C6" s="33">
        <v>-363132.14181264007</v>
      </c>
      <c r="D6" s="704">
        <f>(B6-CUA!$C$9)/(CUA!$C$9)</f>
        <v>-0.29246496507856024</v>
      </c>
      <c r="E6" s="704">
        <f>(C6-CUA!$C$9)/(CUA!$C$9)</f>
        <v>0.30644413889909516</v>
      </c>
      <c r="F6" s="705">
        <f>(Table1[[#This Row],[Upper bound 95% CI applied]]-Table1[[#This Row],[Lower bound 95% CI applied]])^2</f>
        <v>27712105413.511166</v>
      </c>
    </row>
    <row r="7" spans="1:6">
      <c r="A7" s="230" t="s">
        <v>322</v>
      </c>
      <c r="B7" s="33">
        <v>-230875.68297479805</v>
      </c>
      <c r="C7" s="33">
        <v>-338820.17934590456</v>
      </c>
      <c r="D7" s="704">
        <f>(B7-CUA!$C$9)/(CUA!$C$9)</f>
        <v>-0.16937624598271961</v>
      </c>
      <c r="E7" s="704">
        <f>(C7-CUA!$C$9)/(CUA!$C$9)</f>
        <v>0.21897674834739544</v>
      </c>
      <c r="F7" s="705">
        <f>(Table1[[#This Row],[Upper bound 95% CI applied]]-Table1[[#This Row],[Lower bound 95% CI applied]])^2</f>
        <v>11652014296.811827</v>
      </c>
    </row>
    <row r="8" spans="1:6" ht="16.5" thickBot="1">
      <c r="A8" s="227" t="s">
        <v>328</v>
      </c>
      <c r="B8" s="424">
        <v>-234362.3780743164</v>
      </c>
      <c r="C8" s="424">
        <v>-332965.90169417119</v>
      </c>
      <c r="D8" s="704">
        <f>(B8-CUA!$C$9)/(CUA!$C$9)</f>
        <v>-0.1568321281468377</v>
      </c>
      <c r="E8" s="704">
        <f>(C8-CUA!$C$9)/(CUA!$C$9)</f>
        <v>0.19791475508120532</v>
      </c>
      <c r="F8" s="705">
        <f>(Table1[[#This Row],[Upper bound 95% CI applied]]-Table1[[#This Row],[Lower bound 95% CI applied]])^2</f>
        <v>9722654870.2512627</v>
      </c>
    </row>
    <row r="9" spans="1:6">
      <c r="A9" s="4" t="s">
        <v>290</v>
      </c>
      <c r="B9" s="33">
        <v>-291712.56695233943</v>
      </c>
      <c r="C9" s="33">
        <v>-194717.64134060516</v>
      </c>
      <c r="D9" s="704">
        <f>(B9-CUA!$C$9)/(CUA!$C$9)</f>
        <v>4.9497220036026059E-2</v>
      </c>
      <c r="E9" s="704">
        <f>(C9-CUA!$C$9)/(CUA!$C$9)</f>
        <v>-0.29946239404788783</v>
      </c>
      <c r="F9" s="705">
        <f>(Table1[[#This Row],[Upper bound 95% CI applied]]-Table1[[#This Row],[Lower bound 95% CI applied]])^2</f>
        <v>9408015594.4258652</v>
      </c>
    </row>
    <row r="10" spans="1:6">
      <c r="A10" s="8" t="s">
        <v>295</v>
      </c>
      <c r="B10" s="33">
        <v>-286290.89973409841</v>
      </c>
      <c r="C10" s="33">
        <v>-209674.52647669474</v>
      </c>
      <c r="D10" s="704">
        <f>(B10-CUA!$C$9)/(CUA!$C$9)</f>
        <v>2.999163365368121E-2</v>
      </c>
      <c r="E10" s="704">
        <f>(C10-CUA!$C$9)/(CUA!$C$9)</f>
        <v>-0.24565185878463053</v>
      </c>
      <c r="F10" s="705">
        <f>(Table1[[#This Row],[Upper bound 95% CI applied]]-Table1[[#This Row],[Lower bound 95% CI applied]])^2</f>
        <v>5870068651.1177998</v>
      </c>
    </row>
    <row r="11" spans="1:6">
      <c r="A11" s="706" t="s">
        <v>49</v>
      </c>
      <c r="B11" s="33">
        <v>-304511.0399371786</v>
      </c>
      <c r="C11" s="33">
        <v>-234107.79638516574</v>
      </c>
      <c r="D11" s="704">
        <f>(B11-CUA!$C$9)/(CUA!$C$9)</f>
        <v>9.5542414312793131E-2</v>
      </c>
      <c r="E11" s="704">
        <f>(C11-CUA!$C$9)/(CUA!$C$9)</f>
        <v>-0.1577480392363978</v>
      </c>
      <c r="F11" s="705">
        <f>(Table1[[#This Row],[Upper bound 95% CI applied]]-Table1[[#This Row],[Lower bound 95% CI applied]])^2</f>
        <v>4956616702.6440411</v>
      </c>
    </row>
    <row r="12" spans="1:6">
      <c r="A12" s="8" t="s">
        <v>334</v>
      </c>
      <c r="B12" s="33">
        <v>-297907.46828045498</v>
      </c>
      <c r="C12" s="33">
        <v>-234059.87843852083</v>
      </c>
      <c r="D12" s="704">
        <f>(B12-CUA!$C$9)/(CUA!$C$9)</f>
        <v>7.1784678509890801E-2</v>
      </c>
      <c r="E12" s="704">
        <f>(C12-CUA!$C$9)/(CUA!$C$9)</f>
        <v>-0.15792043411235077</v>
      </c>
      <c r="F12" s="705">
        <f>(Table1[[#This Row],[Upper bound 95% CI applied]]-Table1[[#This Row],[Lower bound 95% CI applied]])^2</f>
        <v>4076514728.6238532</v>
      </c>
    </row>
    <row r="13" spans="1:6">
      <c r="A13" s="230" t="s">
        <v>294</v>
      </c>
      <c r="B13" s="33">
        <v>-251246.45318611007</v>
      </c>
      <c r="C13" s="577">
        <v>-306352.4929724267</v>
      </c>
      <c r="D13" s="704">
        <f>(B13-CUA!$C$9)/(CUA!$C$9)</f>
        <v>-9.6088122230897813E-2</v>
      </c>
      <c r="E13" s="704">
        <f>(C13-CUA!$C$9)/(CUA!$C$9)</f>
        <v>0.10216742831719676</v>
      </c>
      <c r="F13" s="705">
        <f>(Table1[[#This Row],[Upper bound 95% CI applied]]-Table1[[#This Row],[Lower bound 95% CI applied]])^2</f>
        <v>3036675620.9311113</v>
      </c>
    </row>
    <row r="14" spans="1:6">
      <c r="A14" s="393" t="s">
        <v>47</v>
      </c>
      <c r="B14" s="33">
        <v>-237533.76752731879</v>
      </c>
      <c r="C14" s="33">
        <v>-290907.54442637396</v>
      </c>
      <c r="D14" s="704">
        <f>(B14-CUA!$C$9)/(CUA!$C$9)</f>
        <v>-0.14542238858933215</v>
      </c>
      <c r="E14" s="704">
        <f>(C14-CUA!$C$9)/(CUA!$C$9)</f>
        <v>4.6600982441965956E-2</v>
      </c>
      <c r="F14" s="705">
        <f>(Table1[[#This Row],[Upper bound 95% CI applied]]-Table1[[#This Row],[Lower bound 95% CI applied]])^2</f>
        <v>2848760060.4701152</v>
      </c>
    </row>
    <row r="15" spans="1:6">
      <c r="A15" s="230" t="s">
        <v>327</v>
      </c>
      <c r="B15" s="33">
        <v>-252420.9369254765</v>
      </c>
      <c r="C15" s="33">
        <v>-303112.4161331791</v>
      </c>
      <c r="D15" s="704">
        <f>(B15-CUA!$C$9)/(CUA!$C$9)</f>
        <v>-9.1862670333777527E-2</v>
      </c>
      <c r="E15" s="704">
        <f>(C15-CUA!$C$9)/(CUA!$C$9)</f>
        <v>9.0510571463137929E-2</v>
      </c>
      <c r="F15" s="705">
        <f>(Table1[[#This Row],[Upper bound 95% CI applied]]-Table1[[#This Row],[Lower bound 95% CI applied]])^2</f>
        <v>2569626064.2649441</v>
      </c>
    </row>
    <row r="16" spans="1:6">
      <c r="A16" s="230" t="s">
        <v>329</v>
      </c>
      <c r="B16" s="33">
        <v>-252070.66907987194</v>
      </c>
      <c r="C16" s="33">
        <v>-300829.37323874456</v>
      </c>
      <c r="D16" s="704">
        <f>(B16-CUA!$C$9)/(CUA!$C$9)</f>
        <v>-9.3122832465531227E-2</v>
      </c>
      <c r="E16" s="704">
        <f>(C16-CUA!$C$9)/(CUA!$C$9)</f>
        <v>8.2296845205250949E-2</v>
      </c>
      <c r="F16" s="705">
        <f>(Table1[[#This Row],[Upper bound 95% CI applied]]-Table1[[#This Row],[Lower bound 95% CI applied]])^2</f>
        <v>2377411231.2524629</v>
      </c>
    </row>
    <row r="17" spans="1:6">
      <c r="A17" s="147" t="s">
        <v>288</v>
      </c>
      <c r="B17" s="33">
        <v>-254849.83105159769</v>
      </c>
      <c r="C17" s="33">
        <v>-296411.76686981594</v>
      </c>
      <c r="D17" s="704">
        <f>(B17-CUA!$C$9)/(CUA!$C$9)</f>
        <v>-8.3124213640746208E-2</v>
      </c>
      <c r="E17" s="704">
        <f>(C17-CUA!$C$9)/(CUA!$C$9)</f>
        <v>6.6403578583790937E-2</v>
      </c>
      <c r="F17" s="705">
        <f>(Table1[[#This Row],[Upper bound 95% CI applied]]-Table1[[#This Row],[Lower bound 95% CI applied]])^2</f>
        <v>1727394508.9576929</v>
      </c>
    </row>
    <row r="18" spans="1:6">
      <c r="A18" s="230" t="s">
        <v>55</v>
      </c>
      <c r="B18" s="33">
        <v>-239752.86154803258</v>
      </c>
      <c r="C18" s="33">
        <v>-277482.24762130692</v>
      </c>
      <c r="D18" s="704">
        <f>(B18-CUA!$C$9)/(CUA!$C$9)</f>
        <v>-0.13743873183409133</v>
      </c>
      <c r="E18" s="704">
        <f>(C18-CUA!$C$9)/(CUA!$C$9)</f>
        <v>-1.6993421627619161E-3</v>
      </c>
      <c r="F18" s="705">
        <f>(Table1[[#This Row],[Upper bound 95% CI applied]]-Table1[[#This Row],[Lower bound 95% CI applied]])^2</f>
        <v>1423506573.4661872</v>
      </c>
    </row>
    <row r="19" spans="1:6">
      <c r="A19" s="230" t="s">
        <v>277</v>
      </c>
      <c r="B19" s="33">
        <v>-254689.75838697545</v>
      </c>
      <c r="C19" s="33">
        <v>-276103.21990963951</v>
      </c>
      <c r="D19" s="704">
        <f>(B19-CUA!$C$9)/(CUA!$C$9)</f>
        <v>-8.3700108667415563E-2</v>
      </c>
      <c r="E19" s="704">
        <f>(C19-CUA!$C$9)/(CUA!$C$9)</f>
        <v>-6.6606839550202223E-3</v>
      </c>
      <c r="F19" s="705">
        <f>(Table1[[#This Row],[Upper bound 95% CI applied]]-Table1[[#This Row],[Lower bound 95% CI applied]])^2</f>
        <v>458536334.3826142</v>
      </c>
    </row>
    <row r="20" spans="1:6">
      <c r="A20" s="230" t="s">
        <v>298</v>
      </c>
      <c r="B20" s="33">
        <v>-270713.59677901876</v>
      </c>
      <c r="C20" s="33">
        <v>-260354.05392797914</v>
      </c>
      <c r="D20" s="704">
        <f>(B20-CUA!$C$9)/(CUA!$C$9)</f>
        <v>-2.6050985002806386E-2</v>
      </c>
      <c r="E20" s="704">
        <f>(C20-CUA!$C$9)/(CUA!$C$9)</f>
        <v>-6.3321615941330553E-2</v>
      </c>
      <c r="F20" s="705">
        <f>(Table1[[#This Row],[Upper bound 95% CI applied]]-Table1[[#This Row],[Lower bound 95% CI applied]])^2</f>
        <v>107320128.08252601</v>
      </c>
    </row>
    <row r="21" spans="1:6">
      <c r="A21" s="230" t="s">
        <v>326</v>
      </c>
      <c r="B21" s="33">
        <v>-261306.34946986244</v>
      </c>
      <c r="C21" s="33">
        <v>-271466.80398880091</v>
      </c>
      <c r="D21" s="704">
        <f>(B21-CUA!$C$9)/(CUA!$C$9)</f>
        <v>-5.989553274477593E-2</v>
      </c>
      <c r="E21" s="704">
        <f>(C21-CUA!$C$9)/(CUA!$C$9)</f>
        <v>-2.3341163890071771E-2</v>
      </c>
      <c r="F21" s="705">
        <f>(Table1[[#This Row],[Upper bound 95% CI applied]]-Table1[[#This Row],[Lower bound 95% CI applied]])^2</f>
        <v>103234836.0314171</v>
      </c>
    </row>
    <row r="22" spans="1:6">
      <c r="A22" s="230" t="s">
        <v>325</v>
      </c>
      <c r="B22" s="33">
        <v>-261430.69129216057</v>
      </c>
      <c r="C22" s="33">
        <v>-271573.00469351793</v>
      </c>
      <c r="D22" s="704">
        <f>(B22-CUA!$C$9)/(CUA!$C$9)</f>
        <v>-5.944818692694074E-2</v>
      </c>
      <c r="E22" s="704">
        <f>(C22-CUA!$C$9)/(CUA!$C$9)</f>
        <v>-2.2959084552418182E-2</v>
      </c>
      <c r="F22" s="705">
        <f>(Table1[[#This Row],[Upper bound 95% CI applied]]-Table1[[#This Row],[Lower bound 95% CI applied]])^2</f>
        <v>102866521.13135307</v>
      </c>
    </row>
    <row r="23" spans="1:6">
      <c r="A23" s="230" t="s">
        <v>303</v>
      </c>
      <c r="B23" s="33">
        <v>-269886.28138389735</v>
      </c>
      <c r="C23" s="33">
        <v>-260324.15216824948</v>
      </c>
      <c r="D23" s="704">
        <f>(B23-CUA!$C$9)/(CUA!$C$9)</f>
        <v>-2.9027425875217547E-2</v>
      </c>
      <c r="E23" s="704">
        <f>(C23-CUA!$C$9)/(CUA!$C$9)</f>
        <v>-6.3429193801408115E-2</v>
      </c>
      <c r="F23" s="705">
        <f>(Table1[[#This Row],[Upper bound 95% CI applied]]-Table1[[#This Row],[Lower bound 95% CI applied]])^2</f>
        <v>91434315.13674663</v>
      </c>
    </row>
    <row r="24" spans="1:6">
      <c r="A24" s="230" t="s">
        <v>319</v>
      </c>
      <c r="B24" s="33">
        <v>-261489.83688312519</v>
      </c>
      <c r="C24" s="33">
        <v>-270409.49715609668</v>
      </c>
      <c r="D24" s="704">
        <f>(B24-CUA!$C$9)/(CUA!$C$9)</f>
        <v>-5.9235398242712074E-2</v>
      </c>
      <c r="E24" s="704">
        <f>(C24-CUA!$C$9)/(CUA!$C$9)</f>
        <v>-2.7145047258008669E-2</v>
      </c>
      <c r="F24" s="705">
        <f>(Table1[[#This Row],[Upper bound 95% CI applied]]-Table1[[#This Row],[Lower bound 95% CI applied]])^2</f>
        <v>79560339.385225907</v>
      </c>
    </row>
    <row r="25" spans="1:6">
      <c r="A25" s="230" t="s">
        <v>234</v>
      </c>
      <c r="B25" s="33">
        <v>-269428.90301308449</v>
      </c>
      <c r="C25" s="33">
        <v>-262595.88955399912</v>
      </c>
      <c r="D25" s="704">
        <f>(B25-CUA!$C$9)/(CUA!$C$9)</f>
        <v>-3.0672940614906944E-2</v>
      </c>
      <c r="E25" s="704">
        <f>(C25-CUA!$C$9)/(CUA!$C$9)</f>
        <v>-5.5256141485202311E-2</v>
      </c>
      <c r="F25" s="705">
        <f>(Table1[[#This Row],[Upper bound 95% CI applied]]-Table1[[#This Row],[Lower bound 95% CI applied]])^2</f>
        <v>46690072.932041816</v>
      </c>
    </row>
    <row r="26" spans="1:6">
      <c r="A26" s="230" t="s">
        <v>35</v>
      </c>
      <c r="B26" s="33">
        <v>-267852.50173499301</v>
      </c>
      <c r="C26" s="33">
        <v>-263983.5132527583</v>
      </c>
      <c r="D26" s="704">
        <f>(B26-CUA!$C$9)/(CUA!$C$9)</f>
        <v>-3.6344375261356539E-2</v>
      </c>
      <c r="E26" s="704">
        <f>(C26-CUA!$C$9)/(CUA!$C$9)</f>
        <v>-5.0263873824200909E-2</v>
      </c>
      <c r="F26" s="705">
        <f>(Table1[[#This Row],[Upper bound 95% CI applied]]-Table1[[#This Row],[Lower bound 95% CI applied]])^2</f>
        <v>14969071.875664834</v>
      </c>
    </row>
    <row r="27" spans="1:6">
      <c r="A27" s="230" t="s">
        <v>297</v>
      </c>
      <c r="B27" s="33">
        <v>-264694.68366938108</v>
      </c>
      <c r="C27" s="33">
        <v>-267210.0698126292</v>
      </c>
      <c r="D27" s="704">
        <f>(B27-CUA!$C$9)/(CUA!$C$9)</f>
        <v>-4.7705288902696978E-2</v>
      </c>
      <c r="E27" s="704">
        <f>(C27-CUA!$C$9)/(CUA!$C$9)</f>
        <v>-3.8655659014494886E-2</v>
      </c>
      <c r="F27" s="705">
        <f>(Table1[[#This Row],[Upper bound 95% CI applied]]-Table1[[#This Row],[Lower bound 95% CI applied]])^2</f>
        <v>6327167.4496446559</v>
      </c>
    </row>
    <row r="28" spans="1:6">
      <c r="A28" s="230" t="s">
        <v>302</v>
      </c>
      <c r="B28" s="33">
        <v>-264881.66658734152</v>
      </c>
      <c r="C28" s="33">
        <v>-267313.71015329362</v>
      </c>
      <c r="D28" s="704">
        <f>(B28-CUA!$C$9)/(CUA!$C$9)</f>
        <v>-4.7032578588417751E-2</v>
      </c>
      <c r="E28" s="704">
        <f>(C28-CUA!$C$9)/(CUA!$C$9)</f>
        <v>-3.8282791124203859E-2</v>
      </c>
      <c r="F28" s="705">
        <f>(Table1[[#This Row],[Upper bound 95% CI applied]]-Table1[[#This Row],[Lower bound 95% CI applied]])^2</f>
        <v>5914835.9066890199</v>
      </c>
    </row>
    <row r="29" spans="1:6">
      <c r="A29" s="230" t="s">
        <v>57</v>
      </c>
      <c r="B29" s="33">
        <v>-264673.9993031802</v>
      </c>
      <c r="C29" s="33">
        <v>-266978.01235987816</v>
      </c>
      <c r="D29" s="704">
        <f>(B29-CUA!$C$9)/(CUA!$C$9)</f>
        <v>-4.7779705253877258E-2</v>
      </c>
      <c r="E29" s="704">
        <f>(C29-CUA!$C$9)/(CUA!$C$9)</f>
        <v>-3.9490534433457007E-2</v>
      </c>
      <c r="F29" s="705">
        <f>(Table1[[#This Row],[Upper bound 95% CI applied]]-Table1[[#This Row],[Lower bound 95% CI applied]])^2</f>
        <v>5308476.1654346967</v>
      </c>
    </row>
    <row r="30" spans="1:6">
      <c r="A30" s="230" t="s">
        <v>236</v>
      </c>
      <c r="B30" s="33">
        <v>-264816.06227818463</v>
      </c>
      <c r="C30" s="33">
        <v>-266859.84755535109</v>
      </c>
      <c r="D30" s="704">
        <f>(B30-CUA!$C$9)/(CUA!$C$9)</f>
        <v>-4.7268603867691321E-2</v>
      </c>
      <c r="E30" s="704">
        <f>(C30-CUA!$C$9)/(CUA!$C$9)</f>
        <v>-3.9915657132670451E-2</v>
      </c>
      <c r="F30" s="705">
        <f>(Table1[[#This Row],[Upper bound 95% CI applied]]-Table1[[#This Row],[Lower bound 95% CI applied]])^2</f>
        <v>4177058.259162392</v>
      </c>
    </row>
    <row r="31" spans="1:6">
      <c r="A31" s="230" t="s">
        <v>235</v>
      </c>
      <c r="B31" s="33">
        <v>-265097.5970331654</v>
      </c>
      <c r="C31" s="33">
        <v>-266683.82888573414</v>
      </c>
      <c r="D31" s="704">
        <f>(B31-CUA!$C$9)/(CUA!$C$9)</f>
        <v>-4.6255723463590977E-2</v>
      </c>
      <c r="E31" s="704">
        <f>(C31-CUA!$C$9)/(CUA!$C$9)</f>
        <v>-4.054892126101229E-2</v>
      </c>
      <c r="F31" s="705">
        <f>(Table1[[#This Row],[Upper bound 95% CI applied]]-Table1[[#This Row],[Lower bound 95% CI applied]])^2</f>
        <v>2516131.4901036704</v>
      </c>
    </row>
    <row r="32" spans="1:6">
      <c r="A32" s="230" t="s">
        <v>320</v>
      </c>
      <c r="B32" s="33">
        <v>-265333.76654355967</v>
      </c>
      <c r="C32" s="33">
        <v>-266603.6113240635</v>
      </c>
      <c r="D32" s="704">
        <f>(B32-CUA!$C$9)/(CUA!$C$9)</f>
        <v>-4.5406054053714104E-2</v>
      </c>
      <c r="E32" s="704">
        <f>(C32-CUA!$C$9)/(CUA!$C$9)</f>
        <v>-4.0837520785026483E-2</v>
      </c>
      <c r="F32" s="705">
        <f>(Table1[[#This Row],[Upper bound 95% CI applied]]-Table1[[#This Row],[Lower bound 95% CI applied]])^2</f>
        <v>1612505.7665728212</v>
      </c>
    </row>
    <row r="33" spans="1:6">
      <c r="A33" s="230" t="s">
        <v>29</v>
      </c>
      <c r="B33" s="33">
        <v>-265319.65744992706</v>
      </c>
      <c r="C33" s="33">
        <v>-266387.91175707412</v>
      </c>
      <c r="D33" s="704">
        <f>(B33-CUA!$C$9)/(CUA!$C$9)</f>
        <v>-4.5456814481005081E-2</v>
      </c>
      <c r="E33" s="704">
        <f>(C33-CUA!$C$9)/(CUA!$C$9)</f>
        <v>-4.161354527476098E-2</v>
      </c>
      <c r="F33" s="705">
        <f>(Table1[[#This Row],[Upper bound 95% CI applied]]-Table1[[#This Row],[Lower bound 95% CI applied]])^2</f>
        <v>1141167.2647382393</v>
      </c>
    </row>
    <row r="34" spans="1:6" ht="16.5" thickBot="1">
      <c r="A34" s="227" t="s">
        <v>321</v>
      </c>
      <c r="B34" s="424">
        <v>-265563.17551131564</v>
      </c>
      <c r="C34" s="424">
        <v>-266325.08237961668</v>
      </c>
      <c r="D34" s="704">
        <f>(B34-CUA!$C$9)/(CUA!$C$9)</f>
        <v>-4.4580707115710709E-2</v>
      </c>
      <c r="E34" s="704">
        <f>(C34-CUA!$C$9)/(CUA!$C$9)</f>
        <v>-4.1839587154502658E-2</v>
      </c>
      <c r="F34" s="705">
        <f>(Table1[[#This Row],[Upper bound 95% CI applied]]-Table1[[#This Row],[Lower bound 95% CI applied]])^2</f>
        <v>580502.07596429973</v>
      </c>
    </row>
    <row r="35" spans="1:6">
      <c r="A35" s="230" t="s">
        <v>318</v>
      </c>
      <c r="B35" s="33">
        <v>-265680.57026957331</v>
      </c>
      <c r="C35" s="33">
        <v>-266216.80692696315</v>
      </c>
      <c r="D35" s="704">
        <f>(B35-CUA!$C$9)/(CUA!$C$9)</f>
        <v>-4.4158354819663244E-2</v>
      </c>
      <c r="E35" s="704">
        <f>(C35-CUA!$C$9)/(CUA!$C$9)</f>
        <v>-4.2229130833560502E-2</v>
      </c>
      <c r="F35" s="705">
        <f>(Table1[[#This Row],[Upper bound 95% CI applied]]-Table1[[#This Row],[Lower bound 95% CI applied]])^2</f>
        <v>287549.75272863626</v>
      </c>
    </row>
    <row r="36" spans="1:6">
      <c r="A36" s="230" t="s">
        <v>323</v>
      </c>
      <c r="B36" s="33">
        <v>-265802.42880927637</v>
      </c>
      <c r="C36" s="33">
        <v>-266052.47693228215</v>
      </c>
      <c r="D36" s="704">
        <f>(B36-CUA!$C$9)/(CUA!$C$9)</f>
        <v>-4.3719943132459804E-2</v>
      </c>
      <c r="E36" s="704">
        <f>(C36-CUA!$C$9)/(CUA!$C$9)</f>
        <v>-4.2820342499167018E-2</v>
      </c>
      <c r="F36" s="705">
        <f>(Table1[[#This Row],[Upper bound 95% CI applied]]-Table1[[#This Row],[Lower bound 95% CI applied]])^2</f>
        <v>62524.063818712486</v>
      </c>
    </row>
    <row r="37" spans="1:6">
      <c r="A37" s="230" t="s">
        <v>41</v>
      </c>
      <c r="B37" s="33">
        <v>-265915.87642115972</v>
      </c>
      <c r="C37" s="33">
        <v>-265890.05624253105</v>
      </c>
      <c r="D37" s="704">
        <f>(B37-CUA!$C$9)/(CUA!$C$9)</f>
        <v>-4.3311791524405341E-2</v>
      </c>
      <c r="E37" s="704">
        <f>(C37-CUA!$C$9)/(CUA!$C$9)</f>
        <v>-4.3404685039329045E-2</v>
      </c>
      <c r="F37" s="705">
        <f>(Table1[[#This Row],[Upper bound 95% CI applied]]-Table1[[#This Row],[Lower bound 95% CI applied]])^2</f>
        <v>666.68162441623724</v>
      </c>
    </row>
    <row r="38" spans="1:6">
      <c r="A38" s="230" t="s">
        <v>233</v>
      </c>
      <c r="B38" s="33">
        <v>-265907.2889629493</v>
      </c>
      <c r="C38" s="33">
        <v>-265907.2889629493</v>
      </c>
      <c r="D38" s="704">
        <f>(B38-CUA!$C$9)/(CUA!$C$9)</f>
        <v>-4.3342686708706668E-2</v>
      </c>
      <c r="E38" s="704">
        <f>(C38-CUA!$C$9)/(CUA!$C$9)</f>
        <v>-4.3342686708706668E-2</v>
      </c>
      <c r="F38" s="705">
        <f>(Table1[[#This Row],[Upper bound 95% CI applied]]-Table1[[#This Row],[Lower bound 95% CI applied]])^2</f>
        <v>0</v>
      </c>
    </row>
    <row r="39" spans="1:6" ht="16.5" thickBot="1">
      <c r="A39" s="227" t="s">
        <v>278</v>
      </c>
      <c r="B39" s="424">
        <v>-278773.55735503259</v>
      </c>
      <c r="C39" s="424">
        <v>-278773.55735503259</v>
      </c>
      <c r="D39" s="704">
        <f>(B39-CUA!$C$9)/(CUA!$C$9)</f>
        <v>2.9464157828393042E-3</v>
      </c>
      <c r="E39" s="704">
        <f>(C39-CUA!$C$9)/(CUA!$C$9)</f>
        <v>2.9464157828393042E-3</v>
      </c>
      <c r="F39" s="705">
        <f>(Table1[[#This Row],[Upper bound 95% CI applied]]-Table1[[#This Row],[Lower bound 95% CI applied]])^2</f>
        <v>0</v>
      </c>
    </row>
    <row r="40" spans="1:6">
      <c r="A40" s="230"/>
      <c r="C40" s="33"/>
      <c r="D40" s="33"/>
    </row>
    <row r="41" spans="1:6">
      <c r="A41" s="11"/>
      <c r="B41" s="11"/>
      <c r="C41" s="311"/>
      <c r="D41" s="311"/>
    </row>
    <row r="42" spans="1:6">
      <c r="A42"/>
      <c r="B42"/>
      <c r="C42" s="431"/>
      <c r="D42" s="432"/>
    </row>
    <row r="43" spans="1:6">
      <c r="A43" s="487" t="s">
        <v>475</v>
      </c>
      <c r="B43" s="20"/>
      <c r="C43" s="431"/>
      <c r="D43" s="432"/>
    </row>
    <row r="44" spans="1:6">
      <c r="A44" s="488"/>
      <c r="B44" s="362"/>
      <c r="C44" s="431"/>
      <c r="D44" s="432"/>
    </row>
    <row r="45" spans="1:6">
      <c r="A45" s="230">
        <v>0.81</v>
      </c>
      <c r="C45" s="433"/>
      <c r="D45" s="434"/>
    </row>
    <row r="46" spans="1:6">
      <c r="A46" s="230">
        <v>0.8</v>
      </c>
      <c r="C46" s="433"/>
      <c r="D46" s="434"/>
    </row>
    <row r="47" spans="1:6">
      <c r="A47" s="230">
        <v>0.75</v>
      </c>
      <c r="C47" s="433"/>
      <c r="D47" s="434"/>
    </row>
    <row r="48" spans="1:6">
      <c r="A48" s="230">
        <v>0.7</v>
      </c>
      <c r="C48" s="433"/>
      <c r="D48" s="434"/>
    </row>
    <row r="49" spans="1:4">
      <c r="A49" s="230">
        <v>0.65</v>
      </c>
      <c r="C49" s="433"/>
      <c r="D49" s="434"/>
    </row>
    <row r="50" spans="1:4">
      <c r="A50" s="230">
        <v>0.6</v>
      </c>
      <c r="C50" s="433"/>
      <c r="D50" s="434"/>
    </row>
    <row r="51" spans="1:4">
      <c r="A51" s="230">
        <v>0.55000000000000004</v>
      </c>
      <c r="C51" s="433"/>
      <c r="D51" s="434"/>
    </row>
    <row r="52" spans="1:4">
      <c r="A52" s="230">
        <v>0.5</v>
      </c>
      <c r="C52" s="433"/>
      <c r="D52" s="434"/>
    </row>
    <row r="53" spans="1:4">
      <c r="A53" s="230">
        <v>0.45</v>
      </c>
      <c r="C53" s="433"/>
      <c r="D53" s="434"/>
    </row>
    <row r="54" spans="1:4">
      <c r="A54" s="230">
        <v>0.4</v>
      </c>
      <c r="C54" s="433"/>
      <c r="D54" s="434"/>
    </row>
    <row r="55" spans="1:4">
      <c r="A55" s="230">
        <v>0.35</v>
      </c>
      <c r="C55" s="433"/>
      <c r="D55" s="434"/>
    </row>
    <row r="56" spans="1:4">
      <c r="A56" s="230">
        <v>0.3</v>
      </c>
      <c r="C56" s="433"/>
      <c r="D56" s="434"/>
    </row>
    <row r="57" spans="1:4">
      <c r="A57" s="230">
        <v>0.25</v>
      </c>
      <c r="C57" s="433"/>
      <c r="D57" s="434"/>
    </row>
    <row r="58" spans="1:4">
      <c r="A58" s="230">
        <v>0.2</v>
      </c>
      <c r="C58" s="433"/>
      <c r="D58" s="434"/>
    </row>
    <row r="59" spans="1:4">
      <c r="A59" s="230">
        <v>0.15</v>
      </c>
      <c r="C59" s="433"/>
      <c r="D59" s="434"/>
    </row>
    <row r="60" spans="1:4">
      <c r="A60" s="230">
        <v>0.1</v>
      </c>
      <c r="C60" s="433"/>
      <c r="D60" s="434"/>
    </row>
    <row r="61" spans="1:4">
      <c r="A61" s="230">
        <v>0.05</v>
      </c>
      <c r="C61" s="433"/>
      <c r="D61" s="434"/>
    </row>
    <row r="62" spans="1:4">
      <c r="A62" s="230">
        <v>0</v>
      </c>
      <c r="C62" s="433"/>
      <c r="D62" s="434"/>
    </row>
    <row r="63" spans="1:4">
      <c r="A63" s="485"/>
      <c r="B63" s="708"/>
      <c r="C63" s="433"/>
      <c r="D63" s="434"/>
    </row>
    <row r="64" spans="1:4">
      <c r="A64" s="230">
        <v>0.1</v>
      </c>
      <c r="C64" s="433"/>
      <c r="D64" s="434"/>
    </row>
    <row r="65" spans="1:4">
      <c r="A65" s="230">
        <v>9.5000000000000001E-2</v>
      </c>
      <c r="C65" s="433"/>
      <c r="D65" s="434"/>
    </row>
    <row r="66" spans="1:4">
      <c r="A66" s="230">
        <v>0.09</v>
      </c>
      <c r="C66" s="433"/>
      <c r="D66" s="434"/>
    </row>
    <row r="67" spans="1:4">
      <c r="A67" s="230">
        <v>8.5000000000000006E-2</v>
      </c>
      <c r="C67" s="433"/>
      <c r="D67" s="434"/>
    </row>
    <row r="68" spans="1:4">
      <c r="A68" s="230">
        <v>0.08</v>
      </c>
      <c r="C68" s="433"/>
      <c r="D68" s="434"/>
    </row>
    <row r="69" spans="1:4">
      <c r="A69" s="230">
        <v>7.4999999999999997E-2</v>
      </c>
      <c r="C69" s="433"/>
      <c r="D69" s="434"/>
    </row>
    <row r="70" spans="1:4">
      <c r="A70" s="230">
        <v>7.0000000000000007E-2</v>
      </c>
      <c r="C70" s="433"/>
      <c r="D70" s="434"/>
    </row>
    <row r="71" spans="1:4">
      <c r="A71" s="230">
        <v>6.5000000000000002E-2</v>
      </c>
      <c r="C71" s="433"/>
      <c r="D71" s="434"/>
    </row>
    <row r="72" spans="1:4">
      <c r="A72" s="230">
        <v>0.06</v>
      </c>
      <c r="C72" s="433"/>
      <c r="D72" s="434"/>
    </row>
    <row r="73" spans="1:4">
      <c r="A73" s="230">
        <v>5.5E-2</v>
      </c>
      <c r="C73" s="433"/>
      <c r="D73" s="434"/>
    </row>
    <row r="74" spans="1:4" ht="16.5" thickBot="1">
      <c r="A74" s="227">
        <v>0.05</v>
      </c>
      <c r="C74" s="433"/>
      <c r="D74" s="434"/>
    </row>
    <row r="75" spans="1:4">
      <c r="C75" s="433"/>
      <c r="D75" s="434"/>
    </row>
    <row r="76" spans="1:4">
      <c r="C76" s="433"/>
      <c r="D76" s="434"/>
    </row>
    <row r="77" spans="1:4">
      <c r="C77" s="433"/>
      <c r="D77" s="434"/>
    </row>
    <row r="78" spans="1:4">
      <c r="C78" s="433"/>
      <c r="D78" s="434"/>
    </row>
    <row r="79" spans="1:4">
      <c r="C79" s="433"/>
      <c r="D79" s="434"/>
    </row>
    <row r="80" spans="1:4">
      <c r="C80" s="433"/>
      <c r="D80" s="434"/>
    </row>
    <row r="81" spans="3:4">
      <c r="C81" s="433"/>
      <c r="D81" s="434"/>
    </row>
    <row r="82" spans="3:4">
      <c r="C82" s="433"/>
      <c r="D82" s="434"/>
    </row>
    <row r="83" spans="3:4">
      <c r="C83" s="410"/>
      <c r="D83" s="4"/>
    </row>
    <row r="84" spans="3:4">
      <c r="C84" s="410"/>
      <c r="D84" s="4"/>
    </row>
    <row r="85" spans="3:4">
      <c r="C85" s="410"/>
      <c r="D85" s="4"/>
    </row>
    <row r="86" spans="3:4">
      <c r="C86" s="410"/>
      <c r="D86" s="4"/>
    </row>
    <row r="87" spans="3:4">
      <c r="C87" s="410"/>
      <c r="D87" s="4"/>
    </row>
    <row r="88" spans="3:4">
      <c r="C88" s="410"/>
      <c r="D88" s="4"/>
    </row>
    <row r="89" spans="3:4">
      <c r="C89" s="410"/>
      <c r="D89" s="4"/>
    </row>
    <row r="90" spans="3:4">
      <c r="C90" s="410"/>
      <c r="D90" s="4"/>
    </row>
    <row r="91" spans="3:4">
      <c r="C91" s="410"/>
      <c r="D91" s="4"/>
    </row>
    <row r="92" spans="3:4">
      <c r="C92" s="410"/>
      <c r="D92" s="4"/>
    </row>
    <row r="93" spans="3:4">
      <c r="C93" s="410"/>
      <c r="D93" s="4"/>
    </row>
    <row r="94" spans="3:4">
      <c r="C94" s="410"/>
      <c r="D94" s="4"/>
    </row>
    <row r="95" spans="3:4">
      <c r="C95" s="410"/>
      <c r="D95" s="4"/>
    </row>
    <row r="96" spans="3:4">
      <c r="C96" s="410"/>
      <c r="D96" s="4"/>
    </row>
    <row r="97" spans="3:4">
      <c r="C97" s="410"/>
      <c r="D97" s="4"/>
    </row>
    <row r="98" spans="3:4">
      <c r="C98" s="410"/>
      <c r="D98" s="4"/>
    </row>
    <row r="99" spans="3:4">
      <c r="C99" s="410"/>
      <c r="D99" s="4"/>
    </row>
    <row r="100" spans="3:4">
      <c r="C100" s="410"/>
      <c r="D100" s="4"/>
    </row>
    <row r="101" spans="3:4">
      <c r="C101" s="410"/>
      <c r="D101" s="4"/>
    </row>
    <row r="102" spans="3:4">
      <c r="C102" s="410"/>
      <c r="D102" s="4"/>
    </row>
    <row r="103" spans="3:4">
      <c r="C103" s="410"/>
      <c r="D103" s="4"/>
    </row>
    <row r="104" spans="3:4">
      <c r="C104" s="410"/>
      <c r="D104" s="4"/>
    </row>
    <row r="105" spans="3:4">
      <c r="C105" s="410"/>
      <c r="D105" s="4"/>
    </row>
    <row r="106" spans="3:4">
      <c r="C106" s="410"/>
      <c r="D106" s="4"/>
    </row>
    <row r="107" spans="3:4">
      <c r="C107" s="410"/>
      <c r="D107" s="4"/>
    </row>
    <row r="108" spans="3:4">
      <c r="C108" s="410"/>
      <c r="D108" s="4"/>
    </row>
    <row r="109" spans="3:4">
      <c r="C109" s="410"/>
      <c r="D109" s="4"/>
    </row>
    <row r="110" spans="3:4">
      <c r="C110" s="410"/>
      <c r="D110" s="4"/>
    </row>
    <row r="111" spans="3:4">
      <c r="C111" s="410"/>
      <c r="D111" s="4"/>
    </row>
    <row r="112" spans="3:4">
      <c r="C112" s="410"/>
      <c r="D112" s="4"/>
    </row>
    <row r="113" spans="3:4">
      <c r="C113" s="410"/>
      <c r="D113" s="4"/>
    </row>
    <row r="114" spans="3:4">
      <c r="C114" s="410"/>
      <c r="D114" s="4"/>
    </row>
    <row r="115" spans="3:4">
      <c r="C115" s="410"/>
      <c r="D115" s="4"/>
    </row>
    <row r="116" spans="3:4">
      <c r="C116" s="410"/>
      <c r="D116" s="4"/>
    </row>
    <row r="117" spans="3:4">
      <c r="C117" s="410"/>
      <c r="D117" s="4"/>
    </row>
    <row r="118" spans="3:4">
      <c r="C118" s="410"/>
      <c r="D118" s="4"/>
    </row>
    <row r="119" spans="3:4">
      <c r="C119" s="410"/>
      <c r="D119" s="4"/>
    </row>
    <row r="120" spans="3:4">
      <c r="C120" s="410"/>
      <c r="D120" s="4"/>
    </row>
    <row r="121" spans="3:4">
      <c r="C121" s="410"/>
      <c r="D121" s="4"/>
    </row>
    <row r="122" spans="3:4">
      <c r="C122" s="410"/>
      <c r="D122" s="4"/>
    </row>
    <row r="123" spans="3:4">
      <c r="C123" s="410"/>
      <c r="D123" s="4"/>
    </row>
    <row r="124" spans="3:4">
      <c r="C124" s="410"/>
      <c r="D124" s="4"/>
    </row>
    <row r="125" spans="3:4">
      <c r="C125" s="410"/>
      <c r="D125" s="4"/>
    </row>
    <row r="126" spans="3:4">
      <c r="C126" s="410"/>
      <c r="D126" s="4"/>
    </row>
    <row r="127" spans="3:4">
      <c r="C127" s="410"/>
      <c r="D127" s="4"/>
    </row>
    <row r="128" spans="3:4">
      <c r="C128" s="410"/>
      <c r="D128" s="4"/>
    </row>
    <row r="129" spans="3:4">
      <c r="C129" s="410"/>
      <c r="D129" s="4"/>
    </row>
    <row r="130" spans="3:4">
      <c r="C130" s="410"/>
      <c r="D130" s="4"/>
    </row>
    <row r="131" spans="3:4">
      <c r="C131" s="410"/>
      <c r="D131" s="4"/>
    </row>
    <row r="132" spans="3:4">
      <c r="C132" s="410"/>
      <c r="D132" s="4"/>
    </row>
    <row r="133" spans="3:4">
      <c r="C133" s="410"/>
      <c r="D133" s="4"/>
    </row>
    <row r="134" spans="3:4">
      <c r="C134" s="410"/>
      <c r="D134" s="4"/>
    </row>
    <row r="135" spans="3:4">
      <c r="C135" s="410"/>
      <c r="D135" s="4"/>
    </row>
    <row r="136" spans="3:4">
      <c r="C136" s="410"/>
      <c r="D136" s="4"/>
    </row>
    <row r="137" spans="3:4">
      <c r="C137" s="410"/>
      <c r="D137" s="4"/>
    </row>
    <row r="138" spans="3:4">
      <c r="C138" s="410"/>
      <c r="D138" s="4"/>
    </row>
    <row r="139" spans="3:4">
      <c r="C139" s="410"/>
      <c r="D139" s="4"/>
    </row>
    <row r="140" spans="3:4">
      <c r="C140" s="410"/>
      <c r="D140" s="4"/>
    </row>
    <row r="141" spans="3:4">
      <c r="C141" s="410"/>
      <c r="D141" s="4"/>
    </row>
    <row r="142" spans="3:4">
      <c r="C142" s="410"/>
      <c r="D142" s="4"/>
    </row>
    <row r="143" spans="3:4">
      <c r="C143" s="410"/>
      <c r="D143" s="4"/>
    </row>
    <row r="144" spans="3:4">
      <c r="C144" s="410"/>
      <c r="D144" s="4"/>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CD79-F56B-074C-9BD9-B3FC74709B1B}">
  <sheetPr codeName="Sheet3"/>
  <dimension ref="A1:BE225"/>
  <sheetViews>
    <sheetView zoomScale="49" zoomScaleNormal="100" workbookViewId="0">
      <pane xSplit="1" ySplit="4" topLeftCell="B43" activePane="bottomRight" state="frozen"/>
      <selection activeCell="AN8" sqref="AN8"/>
      <selection pane="topRight" activeCell="AN8" sqref="AN8"/>
      <selection pane="bottomLeft" activeCell="AN8" sqref="AN8"/>
      <selection pane="bottomRight" activeCell="C26" sqref="C26"/>
    </sheetView>
  </sheetViews>
  <sheetFormatPr defaultColWidth="11" defaultRowHeight="15.75"/>
  <cols>
    <col min="1" max="1" width="43.25" style="8" customWidth="1"/>
    <col min="2" max="2" width="26.25" style="3" customWidth="1"/>
    <col min="3" max="3" width="78.25" style="4" customWidth="1"/>
    <col min="4" max="4" width="26.5" customWidth="1"/>
    <col min="6" max="6" width="22.75" customWidth="1"/>
    <col min="7" max="7" width="15.75" customWidth="1"/>
    <col min="8" max="8" width="16.25" customWidth="1"/>
    <col min="9" max="9" width="13" customWidth="1"/>
    <col min="10" max="10" width="18.25" customWidth="1"/>
    <col min="11" max="11" width="14.25" customWidth="1"/>
    <col min="12" max="12" width="14.75" customWidth="1"/>
    <col min="13" max="13" width="1.75" style="414" customWidth="1"/>
    <col min="14" max="15" width="10.75" customWidth="1"/>
    <col min="16" max="16" width="0" style="388" hidden="1" customWidth="1"/>
    <col min="17" max="17" width="13.75" hidden="1" customWidth="1"/>
    <col min="18" max="18" width="13.5" hidden="1" customWidth="1"/>
    <col min="19" max="20" width="10.75" style="33" hidden="1" customWidth="1"/>
    <col min="21" max="22" width="10.75" hidden="1" customWidth="1"/>
  </cols>
  <sheetData>
    <row r="1" spans="1:57" ht="16.5" thickBot="1">
      <c r="A1" s="17" t="s">
        <v>9</v>
      </c>
      <c r="B1" s="5">
        <v>1</v>
      </c>
      <c r="C1"/>
      <c r="D1" s="365" t="s">
        <v>400</v>
      </c>
      <c r="E1" s="366">
        <v>42</v>
      </c>
      <c r="G1" s="365" t="s">
        <v>418</v>
      </c>
      <c r="H1" s="468">
        <v>1</v>
      </c>
      <c r="J1" s="606" t="s">
        <v>468</v>
      </c>
      <c r="K1" s="97">
        <v>0</v>
      </c>
      <c r="M1" s="412"/>
      <c r="S1"/>
      <c r="T1"/>
    </row>
    <row r="2" spans="1:57" s="96" customFormat="1" ht="16.5" thickBot="1">
      <c r="A2" s="203"/>
      <c r="B2" s="103"/>
      <c r="C2" s="102"/>
      <c r="G2"/>
      <c r="H2" s="519">
        <f>'Hazard f_n of dialysis cohort'!$C$44</f>
        <v>7.2195200000000001E-2</v>
      </c>
      <c r="K2"/>
      <c r="L2"/>
      <c r="M2" s="413"/>
      <c r="P2" s="444"/>
    </row>
    <row r="3" spans="1:57" s="101" customFormat="1" ht="16.5" thickBot="1">
      <c r="A3" s="99" t="s">
        <v>10</v>
      </c>
      <c r="B3" s="99" t="s">
        <v>11</v>
      </c>
      <c r="C3" s="99" t="s">
        <v>12</v>
      </c>
      <c r="D3" s="100" t="s">
        <v>13</v>
      </c>
      <c r="E3" s="100" t="s">
        <v>14</v>
      </c>
      <c r="F3" s="100" t="s">
        <v>15</v>
      </c>
      <c r="G3" s="489" t="s">
        <v>16</v>
      </c>
      <c r="H3" s="100" t="s">
        <v>17</v>
      </c>
      <c r="I3" s="100" t="s">
        <v>18</v>
      </c>
      <c r="J3" s="100" t="s">
        <v>19</v>
      </c>
      <c r="K3" s="725" t="s">
        <v>405</v>
      </c>
      <c r="L3" s="726"/>
      <c r="M3" s="520"/>
      <c r="N3" s="100" t="s">
        <v>411</v>
      </c>
      <c r="P3" s="445"/>
      <c r="BE3" s="219"/>
    </row>
    <row r="4" spans="1:57" s="104" customFormat="1" ht="7.9" customHeight="1" thickBot="1">
      <c r="A4" s="204"/>
      <c r="G4" s="490"/>
      <c r="I4" s="96"/>
      <c r="J4" s="96"/>
      <c r="K4" s="532"/>
      <c r="L4" s="533"/>
      <c r="M4" s="521"/>
      <c r="P4" s="446"/>
    </row>
    <row r="5" spans="1:57" s="22" customFormat="1">
      <c r="A5" s="18" t="s">
        <v>20</v>
      </c>
      <c r="B5" s="19"/>
      <c r="C5" s="20"/>
      <c r="D5" s="21"/>
      <c r="E5" s="21"/>
      <c r="F5" s="21"/>
      <c r="G5" s="491"/>
      <c r="H5" s="21"/>
      <c r="I5" s="21"/>
      <c r="J5" s="21"/>
      <c r="K5" s="534"/>
      <c r="L5" s="535"/>
      <c r="M5" s="522"/>
      <c r="N5" s="22" t="s">
        <v>437</v>
      </c>
      <c r="O5" s="22" t="s">
        <v>438</v>
      </c>
      <c r="P5" s="447" t="s">
        <v>416</v>
      </c>
      <c r="Q5" s="22" t="s">
        <v>440</v>
      </c>
      <c r="R5" s="22" t="s">
        <v>441</v>
      </c>
      <c r="S5" s="22" t="s">
        <v>442</v>
      </c>
      <c r="T5" s="22" t="s">
        <v>439</v>
      </c>
      <c r="U5" s="22" t="s">
        <v>443</v>
      </c>
      <c r="V5" s="22" t="s">
        <v>444</v>
      </c>
      <c r="W5" s="22" t="s">
        <v>489</v>
      </c>
      <c r="X5" s="22" t="s">
        <v>490</v>
      </c>
    </row>
    <row r="6" spans="1:57">
      <c r="A6" s="8" t="s">
        <v>21</v>
      </c>
      <c r="B6" s="6">
        <v>0.03</v>
      </c>
      <c r="C6" s="4" t="s">
        <v>22</v>
      </c>
      <c r="D6" t="s">
        <v>240</v>
      </c>
      <c r="E6" s="155" t="s">
        <v>23</v>
      </c>
      <c r="F6" s="155" t="s">
        <v>23</v>
      </c>
      <c r="G6" s="492" t="s">
        <v>23</v>
      </c>
      <c r="H6" s="155" t="s">
        <v>23</v>
      </c>
      <c r="I6" s="155" t="s">
        <v>23</v>
      </c>
      <c r="J6" s="155" t="s">
        <v>23</v>
      </c>
      <c r="K6" s="536"/>
      <c r="L6" s="537"/>
      <c r="M6" s="523"/>
      <c r="S6"/>
      <c r="T6"/>
    </row>
    <row r="7" spans="1:57" s="96" customFormat="1" ht="16.5" thickBot="1">
      <c r="A7" s="203" t="s">
        <v>24</v>
      </c>
      <c r="B7" s="105">
        <v>0.03</v>
      </c>
      <c r="C7" s="102" t="s">
        <v>25</v>
      </c>
      <c r="D7" t="s">
        <v>240</v>
      </c>
      <c r="E7" s="156" t="s">
        <v>23</v>
      </c>
      <c r="F7" s="156" t="s">
        <v>23</v>
      </c>
      <c r="G7" s="493" t="s">
        <v>23</v>
      </c>
      <c r="H7" s="156" t="s">
        <v>23</v>
      </c>
      <c r="I7" s="156" t="s">
        <v>23</v>
      </c>
      <c r="J7" s="156" t="s">
        <v>23</v>
      </c>
      <c r="K7" s="538"/>
      <c r="L7" s="539"/>
      <c r="M7" s="244"/>
      <c r="P7" s="444"/>
    </row>
    <row r="8" spans="1:57" s="104" customFormat="1" ht="7.9" hidden="1" customHeight="1" thickBot="1">
      <c r="A8" s="205"/>
      <c r="B8" s="107"/>
      <c r="C8" s="106"/>
      <c r="E8" s="157"/>
      <c r="F8" s="157"/>
      <c r="G8" s="494"/>
      <c r="H8" s="157"/>
      <c r="I8" s="156"/>
      <c r="J8" s="156"/>
      <c r="K8" s="532"/>
      <c r="L8" s="533"/>
      <c r="M8" s="521"/>
      <c r="P8" s="446"/>
    </row>
    <row r="9" spans="1:57" s="22" customFormat="1" hidden="1">
      <c r="A9" s="18" t="s">
        <v>241</v>
      </c>
      <c r="B9" s="23"/>
      <c r="C9" s="24"/>
      <c r="G9" s="495"/>
      <c r="H9" s="158"/>
      <c r="I9" s="158"/>
      <c r="J9" s="158"/>
      <c r="K9" s="540"/>
      <c r="L9" s="535"/>
      <c r="M9" s="522"/>
      <c r="P9" s="447"/>
    </row>
    <row r="10" spans="1:57" hidden="1">
      <c r="A10" s="11" t="s">
        <v>26</v>
      </c>
      <c r="B10" s="9">
        <f t="shared" ref="B10:B11" si="0">IF($B$1=0,F10,G10)</f>
        <v>0.92307692307692313</v>
      </c>
      <c r="C10" s="4" t="s">
        <v>27</v>
      </c>
      <c r="D10" s="155"/>
      <c r="F10" s="228">
        <f ca="1">1-F11</f>
        <v>0.9247943198859373</v>
      </c>
      <c r="G10" s="496">
        <f>1-G11</f>
        <v>0.92307692307692313</v>
      </c>
      <c r="H10" s="248">
        <f>SQRT(('Transitional probabilities'!$K$5*'Transitional probabilities'!$Q$5)/(('Transitional probabilities'!$K$5+'Transitional probabilities'!$Q$5)^2*('Transitional probabilities'!$K$5+'Transitional probabilities'!$Q$5+1)))</f>
        <v>2.9515653152519931E-3</v>
      </c>
      <c r="I10" s="248">
        <f>G10*(G10*(1-G10)/(H10^2)-1)</f>
        <v>7522.7105493505087</v>
      </c>
      <c r="J10" s="248">
        <f>G10*(1-G10)/(H10^2)-1-I10</f>
        <v>626.89254577920838</v>
      </c>
      <c r="K10" s="536"/>
      <c r="L10" s="537"/>
      <c r="M10" s="523"/>
      <c r="S10"/>
      <c r="T10"/>
    </row>
    <row r="11" spans="1:57" hidden="1">
      <c r="A11" s="8" t="s">
        <v>29</v>
      </c>
      <c r="B11" s="9">
        <f t="shared" si="0"/>
        <v>7.6923076923076927E-2</v>
      </c>
      <c r="C11" s="4" t="s">
        <v>30</v>
      </c>
      <c r="D11" s="155"/>
      <c r="F11" s="27">
        <f ca="1">IF(F33*EXP(F26)&gt;1,1,F33*EXP(F26))</f>
        <v>7.5205680114062701E-2</v>
      </c>
      <c r="G11" s="496">
        <f>G33*RR_3a</f>
        <v>7.6923076923076927E-2</v>
      </c>
      <c r="H11" s="249">
        <f>SQRT(('Transitional probabilities'!$L$5*'Transitional probabilities'!$Q$5)/(('Transitional probabilities'!$L$5+'Transitional probabilities'!$Q$5)^2*('Transitional probabilities'!$L$5+'Transitional probabilities'!$Q$5+1)))</f>
        <v>2.0331704064506908E-3</v>
      </c>
      <c r="I11" s="249">
        <f t="shared" ref="I11:I23" si="1">G11*(G11*(1-G11)/(H11^2)-1)</f>
        <v>1321.2297538601595</v>
      </c>
      <c r="J11" s="249">
        <f t="shared" ref="J11:J23" si="2">G11*(1-G11)/(H11^2)-1-I11</f>
        <v>15854.757046321913</v>
      </c>
      <c r="K11" s="536"/>
      <c r="L11" s="537"/>
      <c r="M11" s="523"/>
      <c r="S11"/>
      <c r="T11"/>
    </row>
    <row r="12" spans="1:57" s="253" customFormat="1" hidden="1">
      <c r="A12" s="221" t="s">
        <v>31</v>
      </c>
      <c r="B12" s="250">
        <v>0</v>
      </c>
      <c r="C12" s="251" t="s">
        <v>32</v>
      </c>
      <c r="D12" s="252"/>
      <c r="F12" s="254">
        <v>0</v>
      </c>
      <c r="G12" s="497">
        <v>0</v>
      </c>
      <c r="H12" s="248">
        <f>SQRT(('Transitional probabilities'!$P$5*'Transitional probabilities'!$Q$5)/(('Transitional probabilities'!$P$5+'Transitional probabilities'!$Q$5)^2*('Transitional probabilities'!$P$5+'Transitional probabilities'!$Q$5+1)))</f>
        <v>0</v>
      </c>
      <c r="I12" s="248" t="e">
        <f t="shared" si="1"/>
        <v>#DIV/0!</v>
      </c>
      <c r="J12" s="248" t="e">
        <f t="shared" si="2"/>
        <v>#DIV/0!</v>
      </c>
      <c r="K12" s="541"/>
      <c r="L12" s="542"/>
      <c r="M12" s="524"/>
      <c r="P12" s="448"/>
    </row>
    <row r="13" spans="1:57" s="269" customFormat="1" hidden="1">
      <c r="A13" s="265" t="s">
        <v>33</v>
      </c>
      <c r="B13" s="266">
        <f t="shared" ref="B13:B14" si="3">IF($B$1=0,F13,G13)</f>
        <v>0.6785714285714286</v>
      </c>
      <c r="C13" s="267" t="s">
        <v>34</v>
      </c>
      <c r="D13" s="268"/>
      <c r="F13" s="270">
        <f ca="1">1-F14</f>
        <v>0.68001062193520645</v>
      </c>
      <c r="G13" s="498">
        <f>1-G14</f>
        <v>0.6785714285714286</v>
      </c>
      <c r="H13" s="271">
        <f>SQRT(('Transitional probabilities'!$L$6*'Transitional probabilities'!$Q$6)/(('Transitional probabilities'!L$6+'Transitional probabilities'!$Q$6)^2*('Transitional probabilities'!$L$6+'Transitional probabilities'!$Q$6+1)))</f>
        <v>4.2289309154895588E-3</v>
      </c>
      <c r="I13" s="271">
        <f t="shared" si="1"/>
        <v>8275.206221854176</v>
      </c>
      <c r="J13" s="271">
        <f t="shared" si="2"/>
        <v>3919.8345261414524</v>
      </c>
      <c r="K13" s="543"/>
      <c r="L13" s="544"/>
      <c r="M13" s="525"/>
      <c r="P13" s="449"/>
    </row>
    <row r="14" spans="1:57" hidden="1">
      <c r="A14" s="272" t="s">
        <v>35</v>
      </c>
      <c r="B14" s="9">
        <f t="shared" si="3"/>
        <v>0.3214285714285714</v>
      </c>
      <c r="C14" s="4" t="s">
        <v>36</v>
      </c>
      <c r="D14" s="155"/>
      <c r="F14" s="27">
        <f ca="1">IF(F36*EXP(F27)&gt;1,1,F36*EXP(F27))</f>
        <v>0.31998937806479349</v>
      </c>
      <c r="G14" s="496">
        <f>G36*RR_3b</f>
        <v>0.3214285714285714</v>
      </c>
      <c r="H14" s="249">
        <f>SQRT(('Transitional probabilities'!$M$6*'Transitional probabilities'!$Q$6)/(('Transitional probabilities'!$M$6+'Transitional probabilities'!$Q$6)^2*('Transitional probabilities'!$M$6+'Transitional probabilities'!$Q$6+1)))</f>
        <v>4.1669173604254473E-3</v>
      </c>
      <c r="I14" s="249">
        <f t="shared" si="1"/>
        <v>4037.3851072795173</v>
      </c>
      <c r="J14" s="249">
        <f t="shared" si="2"/>
        <v>8523.3685598123157</v>
      </c>
      <c r="K14" s="536"/>
      <c r="L14" s="537"/>
      <c r="M14" s="523"/>
      <c r="S14"/>
      <c r="T14"/>
    </row>
    <row r="15" spans="1:57" s="277" customFormat="1" hidden="1">
      <c r="A15" s="273" t="s">
        <v>37</v>
      </c>
      <c r="B15" s="274">
        <v>0</v>
      </c>
      <c r="C15" s="275" t="s">
        <v>38</v>
      </c>
      <c r="D15" s="276"/>
      <c r="F15" s="278">
        <v>0</v>
      </c>
      <c r="G15" s="499">
        <v>0</v>
      </c>
      <c r="H15" s="279">
        <f>SQRT(('Transitional probabilities'!$P$6*'Transitional probabilities'!$Q$6)/(('Transitional probabilities'!$P$6+'Transitional probabilities'!$Q$6)^2*('Transitional probabilities'!$P$6+'Transitional probabilities'!$Q$6+1)))</f>
        <v>0</v>
      </c>
      <c r="I15" s="279" t="e">
        <f t="shared" si="1"/>
        <v>#DIV/0!</v>
      </c>
      <c r="J15" s="279" t="e">
        <f t="shared" si="2"/>
        <v>#DIV/0!</v>
      </c>
      <c r="K15" s="545"/>
      <c r="L15" s="546"/>
      <c r="M15" s="526"/>
      <c r="P15" s="450"/>
    </row>
    <row r="16" spans="1:57" s="269" customFormat="1" hidden="1">
      <c r="A16" s="265" t="s">
        <v>39</v>
      </c>
      <c r="B16" s="266">
        <f t="shared" ref="B16:B17" si="4">IF($B$1=0,F16,G16)</f>
        <v>0.24999999999999989</v>
      </c>
      <c r="C16" s="267" t="s">
        <v>40</v>
      </c>
      <c r="D16" s="268"/>
      <c r="F16" s="270">
        <f ca="1">1-F17</f>
        <v>0.25193366492522262</v>
      </c>
      <c r="G16" s="498">
        <f>1-G17</f>
        <v>0.24999999999999989</v>
      </c>
      <c r="H16" s="271">
        <f>SQRT(('Transitional probabilities'!$M$7*'Transitional probabilities'!$Q$7)/(('Transitional probabilities'!$M$7+'Transitional probabilities'!$Q$7)^2*('Transitional probabilities'!$M$7+'Transitional probabilities'!$Q$7+1)))</f>
        <v>5.283780735310455E-3</v>
      </c>
      <c r="I16" s="271">
        <f t="shared" si="1"/>
        <v>1678.7539062499991</v>
      </c>
      <c r="J16" s="271">
        <f t="shared" si="2"/>
        <v>5036.26171875</v>
      </c>
      <c r="K16" s="543"/>
      <c r="L16" s="544"/>
      <c r="M16" s="525"/>
      <c r="P16" s="449"/>
    </row>
    <row r="17" spans="1:24" hidden="1">
      <c r="A17" s="272" t="s">
        <v>41</v>
      </c>
      <c r="B17" s="9">
        <f t="shared" si="4"/>
        <v>0.75000000000000011</v>
      </c>
      <c r="C17" s="4" t="s">
        <v>42</v>
      </c>
      <c r="D17" s="155"/>
      <c r="F17" s="27">
        <f ca="1">IF(F39*EXP(F28)&gt;1,1,F39*EXP(F28))</f>
        <v>0.74806633507477738</v>
      </c>
      <c r="G17" s="496">
        <f>G39*RR_4</f>
        <v>0.75000000000000011</v>
      </c>
      <c r="H17" s="249">
        <f>SQRT(('Transitional probabilities'!$N$7*'Transitional probabilities'!$Q$7)/(('Transitional probabilities'!$N$7+'Transitional probabilities'!$Q$7)^2*('Transitional probabilities'!$M$7+'Transitional probabilities'!$Q$7+1)))</f>
        <v>6.536983349722394E-3</v>
      </c>
      <c r="I17" s="249">
        <f t="shared" si="1"/>
        <v>3290.0976562499991</v>
      </c>
      <c r="J17" s="249">
        <f t="shared" si="2"/>
        <v>1096.6992187499991</v>
      </c>
      <c r="K17" s="536"/>
      <c r="L17" s="537"/>
      <c r="M17" s="523"/>
      <c r="S17"/>
      <c r="T17"/>
    </row>
    <row r="18" spans="1:24" s="277" customFormat="1" hidden="1">
      <c r="A18" s="273" t="s">
        <v>43</v>
      </c>
      <c r="B18" s="274">
        <v>0</v>
      </c>
      <c r="C18" s="275" t="s">
        <v>44</v>
      </c>
      <c r="D18" s="276"/>
      <c r="F18" s="278">
        <v>0</v>
      </c>
      <c r="G18" s="499">
        <v>0</v>
      </c>
      <c r="H18" s="279">
        <f>SQRT(('Transitional probabilities'!$P$7*'Transitional probabilities'!$Q$7)/(('Transitional probabilities'!$P$7+'Transitional probabilities'!$Q$7)^2*('Transitional probabilities'!$P$7+'Transitional probabilities'!$Q$7+1)))</f>
        <v>0</v>
      </c>
      <c r="I18" s="279" t="e">
        <f t="shared" si="1"/>
        <v>#DIV/0!</v>
      </c>
      <c r="J18" s="279" t="e">
        <f t="shared" si="2"/>
        <v>#DIV/0!</v>
      </c>
      <c r="K18" s="545"/>
      <c r="L18" s="547"/>
      <c r="M18" s="526"/>
      <c r="P18" s="450"/>
    </row>
    <row r="19" spans="1:24" s="269" customFormat="1" hidden="1">
      <c r="A19" s="281" t="s">
        <v>45</v>
      </c>
      <c r="B19" s="266">
        <f t="shared" ref="B19:B23" si="5">IF($B$1=0,F19,G19)</f>
        <v>0.125</v>
      </c>
      <c r="C19" s="282" t="s">
        <v>46</v>
      </c>
      <c r="D19" s="268"/>
      <c r="F19" s="270">
        <f ca="1">1-F20-F21</f>
        <v>0.1269038759875889</v>
      </c>
      <c r="G19" s="498">
        <f>G41</f>
        <v>0.125</v>
      </c>
      <c r="H19" s="283">
        <f>SQRT(('Transitional probabilities'!$N$8*'Transitional probabilities'!$Q$8)/(('Transitional probabilities'!$N$8+'Transitional probabilities'!$Q$8)^2*('Transitional probabilities'!$N$8+'Transitional probabilities'!$Q$8+1)))</f>
        <v>2.9498813848887643E-2</v>
      </c>
      <c r="I19" s="283">
        <f t="shared" si="1"/>
        <v>15.5865478515625</v>
      </c>
      <c r="J19" s="283">
        <f t="shared" si="2"/>
        <v>109.1058349609375</v>
      </c>
      <c r="K19" s="543"/>
      <c r="L19" s="544"/>
      <c r="M19" s="525"/>
      <c r="P19" s="449"/>
    </row>
    <row r="20" spans="1:24" hidden="1">
      <c r="A20" s="284" t="s">
        <v>47</v>
      </c>
      <c r="B20" s="9">
        <f t="shared" si="5"/>
        <v>0.5</v>
      </c>
      <c r="C20" s="4" t="s">
        <v>48</v>
      </c>
      <c r="D20" s="155"/>
      <c r="F20" s="27">
        <f ca="1">F42</f>
        <v>0.46723034608750186</v>
      </c>
      <c r="G20" s="496">
        <f>G42</f>
        <v>0.5</v>
      </c>
      <c r="H20" s="249">
        <f>SQRT(('Transitional probabilities'!$O$8*'Transitional probabilities'!Q$8)/(('Transitional probabilities'!$O$8+'Transitional probabilities'!$Q$8)^2*('Transitional probabilities'!$O$8+'Transitional probabilities'!$Q$8+1)))</f>
        <v>3.8362355843229064E-2</v>
      </c>
      <c r="I20" s="249">
        <f t="shared" si="1"/>
        <v>84.437500000000014</v>
      </c>
      <c r="J20" s="249">
        <f t="shared" si="2"/>
        <v>84.437500000000014</v>
      </c>
      <c r="K20" s="536"/>
      <c r="L20" s="537"/>
      <c r="M20" s="523"/>
      <c r="S20"/>
      <c r="T20"/>
    </row>
    <row r="21" spans="1:24" s="289" customFormat="1" hidden="1">
      <c r="A21" s="285" t="s">
        <v>49</v>
      </c>
      <c r="B21" s="286">
        <f t="shared" si="5"/>
        <v>0.375</v>
      </c>
      <c r="C21" s="287" t="s">
        <v>50</v>
      </c>
      <c r="D21" s="288"/>
      <c r="F21" s="280">
        <f ca="1">F43</f>
        <v>0.4058657779249093</v>
      </c>
      <c r="G21" s="500">
        <f>G43</f>
        <v>0.375</v>
      </c>
      <c r="H21" s="290">
        <f>SQRT(('Transitional probabilities'!$P$8*'Transitional probabilities'!$Q$8)/(('Transitional probabilities'!$P$8+'Transitional probabilities'!$Q$8)^2*('Transitional probabilities'!$P$8+'Transitional probabilities'!$Q$8+1)))</f>
        <v>3.7843217080143286E-2</v>
      </c>
      <c r="I21" s="290">
        <f t="shared" si="1"/>
        <v>60.9964599609375</v>
      </c>
      <c r="J21" s="290">
        <f t="shared" si="2"/>
        <v>101.6607666015625</v>
      </c>
      <c r="K21" s="545"/>
      <c r="L21" s="548"/>
      <c r="M21" s="527"/>
      <c r="P21" s="451"/>
    </row>
    <row r="22" spans="1:24" s="439" customFormat="1" hidden="1">
      <c r="A22" s="614" t="s">
        <v>51</v>
      </c>
      <c r="B22" s="615">
        <f t="shared" si="5"/>
        <v>0.83</v>
      </c>
      <c r="C22" s="439" t="s">
        <v>52</v>
      </c>
      <c r="D22" s="616"/>
      <c r="F22" s="617">
        <f ca="1">F44</f>
        <v>0.89878147121815877</v>
      </c>
      <c r="G22" s="618">
        <f>'Transitional probabilities'!O18</f>
        <v>0.83</v>
      </c>
      <c r="H22" s="635">
        <f>SQRT(('Transitional probabilities'!$O$9*'Transitional probabilities'!$Q$9)/(('Transitional probabilities'!$O$9+'Transitional probabilities'!$Q$9)^2*('Transitional probabilities'!$O$9+'Transitional probabilities'!$Q$9+1)))</f>
        <v>3.6701096948860555E-2</v>
      </c>
      <c r="I22" s="635">
        <f t="shared" si="1"/>
        <v>86.115481360000004</v>
      </c>
      <c r="J22" s="635">
        <f t="shared" si="2"/>
        <v>17.638110640000008</v>
      </c>
      <c r="K22" s="619"/>
      <c r="L22" s="620"/>
      <c r="M22" s="523"/>
      <c r="P22" s="621"/>
    </row>
    <row r="23" spans="1:24" s="443" customFormat="1" ht="16.5" hidden="1" thickBot="1">
      <c r="A23" s="622" t="s">
        <v>53</v>
      </c>
      <c r="B23" s="623">
        <f t="shared" si="5"/>
        <v>0.17</v>
      </c>
      <c r="C23" s="624" t="s">
        <v>54</v>
      </c>
      <c r="D23" s="625"/>
      <c r="E23" s="439"/>
      <c r="F23" s="626">
        <f ca="1">1-F22</f>
        <v>0.10121852878184123</v>
      </c>
      <c r="G23" s="618">
        <f>'Transitional probabilities'!P18</f>
        <v>0.17</v>
      </c>
      <c r="H23" s="636">
        <f>SQRT(('Transitional probabilities'!$P$9*'Transitional probabilities'!$Q$9)/(('Transitional probabilities'!$P$9+'Transitional probabilities'!$Q$9)^2*('Transitional probabilities'!$P$9+'Transitional probabilities'!$Q$9+1)))</f>
        <v>3.2441251161174404E-2</v>
      </c>
      <c r="I23" s="637">
        <f t="shared" si="1"/>
        <v>22.621911220000001</v>
      </c>
      <c r="J23" s="637">
        <f t="shared" si="2"/>
        <v>110.44815478</v>
      </c>
      <c r="K23" s="627"/>
      <c r="L23" s="628"/>
      <c r="M23" s="244"/>
      <c r="P23" s="629"/>
    </row>
    <row r="24" spans="1:24" s="104" customFormat="1" ht="7.9" customHeight="1" thickBot="1">
      <c r="A24" s="205"/>
      <c r="B24" s="109"/>
      <c r="C24" s="106"/>
      <c r="G24" s="490"/>
      <c r="I24" s="90"/>
      <c r="J24" s="90"/>
      <c r="K24" s="532"/>
      <c r="L24" s="533"/>
      <c r="M24" s="521"/>
      <c r="P24" s="446"/>
    </row>
    <row r="25" spans="1:24" s="242" customFormat="1">
      <c r="A25" s="239" t="s">
        <v>299</v>
      </c>
      <c r="B25" s="240"/>
      <c r="C25" s="241"/>
      <c r="G25" s="501"/>
      <c r="I25" s="243"/>
      <c r="J25" s="243"/>
      <c r="K25" s="550"/>
      <c r="L25" s="551"/>
      <c r="M25" s="528"/>
      <c r="N25" s="411"/>
    </row>
    <row r="26" spans="1:24">
      <c r="A26" s="230" t="s">
        <v>55</v>
      </c>
      <c r="B26" s="9">
        <f>EXP(IF($B$1=0,$F$26,$G$26))</f>
        <v>1</v>
      </c>
      <c r="C26" s="4" t="s">
        <v>56</v>
      </c>
      <c r="D26" t="s">
        <v>239</v>
      </c>
      <c r="E26" t="s">
        <v>466</v>
      </c>
      <c r="F26" s="605">
        <f ca="1">_xlfn.NORM.INV(RAND(),G26,H26)</f>
        <v>-5.9242909554970115E-2</v>
      </c>
      <c r="G26" s="605">
        <f>'Relative risk (ESCORT-1)'!$B$21</f>
        <v>0</v>
      </c>
      <c r="H26" s="254">
        <f>'Relative risk (ESCORT-1)'!C21</f>
        <v>6.813761518315585E-2</v>
      </c>
      <c r="I26" s="583"/>
      <c r="J26" s="583"/>
      <c r="K26" s="595">
        <f>EXP($G26-1.96*$H26)</f>
        <v>0.87498395865438949</v>
      </c>
      <c r="L26" s="595">
        <f>EXP($G26+1.96*$H26)</f>
        <v>1.1428780952028752</v>
      </c>
      <c r="M26" s="523"/>
      <c r="N26" s="33">
        <v>-270095.45014413359</v>
      </c>
      <c r="O26" s="33">
        <v>-282301.84690381261</v>
      </c>
      <c r="P26" s="452" t="s">
        <v>55</v>
      </c>
      <c r="Q26" s="33">
        <f>CUA!$C$9-N26</f>
        <v>-7859.1374271663371</v>
      </c>
      <c r="R26" s="33">
        <f>CUA!$C$9-O26</f>
        <v>4347.25933251268</v>
      </c>
      <c r="S26" s="33">
        <v>1164312.9678228192</v>
      </c>
      <c r="T26" s="33">
        <v>1164312.9678228192</v>
      </c>
      <c r="U26" s="33">
        <v>1008263.9641071291</v>
      </c>
      <c r="V26" s="33">
        <v>831952.93624433409</v>
      </c>
      <c r="W26">
        <f>(CUA!$C$9-'Parameters &amp; DSA'!N26)/CUA!$C$9</f>
        <v>2.8274897334264502E-2</v>
      </c>
      <c r="X26">
        <f>(CUA!$C$9-'Parameters &amp; DSA'!O26)/CUA!$C$9</f>
        <v>-1.5640178384886474E-2</v>
      </c>
    </row>
    <row r="27" spans="1:24">
      <c r="A27" s="230" t="s">
        <v>57</v>
      </c>
      <c r="B27" s="9">
        <f>EXP(IF($B$1=0,$F$27,$G$27))</f>
        <v>2.25</v>
      </c>
      <c r="C27" s="4" t="s">
        <v>58</v>
      </c>
      <c r="D27" t="s">
        <v>239</v>
      </c>
      <c r="E27" t="s">
        <v>466</v>
      </c>
      <c r="F27" s="605">
        <f ca="1">_xlfn.NORM.INV(RAND(),G27,H27)</f>
        <v>0.81531558667372606</v>
      </c>
      <c r="G27" s="502">
        <f>'Relative risk (ESCORT-1)'!$B$22</f>
        <v>0.81093021621632877</v>
      </c>
      <c r="H27" s="27">
        <f>'Relative risk (ESCORT-1)'!C22</f>
        <v>2.1782093530212598E-2</v>
      </c>
      <c r="K27" s="595">
        <f t="shared" ref="K27:K28" si="6">EXP($G27-1.96*$H27)</f>
        <v>2.1559626149615112</v>
      </c>
      <c r="L27" s="595">
        <f t="shared" ref="L27:L28" si="7">EXP($G27+1.96*$H27)</f>
        <v>2.348139046970616</v>
      </c>
      <c r="M27" s="523"/>
      <c r="N27" s="33">
        <v>-277731.61619182146</v>
      </c>
      <c r="O27" s="33">
        <v>-278142.81897381722</v>
      </c>
      <c r="P27" s="452" t="s">
        <v>57</v>
      </c>
      <c r="Q27" s="33">
        <f>CUA!$C$9-N27</f>
        <v>-222.97137947846204</v>
      </c>
      <c r="R27" s="33">
        <f>O27-CUA!$C$9</f>
        <v>-188.23140251729637</v>
      </c>
      <c r="S27" s="33">
        <v>1164312.9678228192</v>
      </c>
      <c r="T27" s="33">
        <v>1164312.9678228192</v>
      </c>
      <c r="U27" s="33">
        <v>933621.97737169534</v>
      </c>
      <c r="V27" s="33">
        <v>909487.98716840439</v>
      </c>
      <c r="W27">
        <f>(CUA!$C$9-'Parameters &amp; DSA'!N27)/CUA!$C$9</f>
        <v>8.0218636226418174E-4</v>
      </c>
      <c r="X27">
        <f>(CUA!$C$9-'Parameters &amp; DSA'!O27)/CUA!$C$9</f>
        <v>-6.7720199965763087E-4</v>
      </c>
    </row>
    <row r="28" spans="1:24" s="598" customFormat="1" ht="16.5" thickBot="1">
      <c r="A28" s="607" t="s">
        <v>59</v>
      </c>
      <c r="B28" s="596">
        <f>EXP(IF($B$1=0,$F$28,$G$28))</f>
        <v>3.0000000000000004</v>
      </c>
      <c r="C28" s="597" t="s">
        <v>60</v>
      </c>
      <c r="D28" s="598" t="s">
        <v>239</v>
      </c>
      <c r="E28" s="598" t="s">
        <v>466</v>
      </c>
      <c r="F28" s="599">
        <f ca="1">IF(K1=1,LN(1),_xlfn.NORM.INV(RAND(),G28,H28))</f>
        <v>1.1357764897938178</v>
      </c>
      <c r="G28" s="600">
        <f>IF(K1=1,LN(1),'Relative risk (ESCORT-1)'!$B$23)</f>
        <v>1.0986122886681098</v>
      </c>
      <c r="H28" s="601">
        <f>IF(K1=1,0,'Relative risk (ESCORT-1)'!C23)</f>
        <v>5.1295617258926389E-2</v>
      </c>
      <c r="K28" s="602">
        <f t="shared" si="6"/>
        <v>2.7130484143614217</v>
      </c>
      <c r="L28" s="602">
        <f t="shared" si="7"/>
        <v>3.3173016568222051</v>
      </c>
      <c r="M28" s="604"/>
      <c r="N28" s="603">
        <v>-277766.77312287089</v>
      </c>
      <c r="O28" s="603">
        <v>-278100.11411275383</v>
      </c>
      <c r="P28" s="603"/>
      <c r="Q28" s="603"/>
      <c r="R28" s="603"/>
      <c r="S28" s="603"/>
      <c r="T28" s="603"/>
      <c r="U28" s="603"/>
      <c r="V28" s="603"/>
      <c r="W28">
        <f>(CUA!$C$9-'Parameters &amp; DSA'!N28)/CUA!$C$9</f>
        <v>6.7570191976364211E-4</v>
      </c>
      <c r="X28">
        <f>(CUA!$C$9-'Parameters &amp; DSA'!O28)/CUA!$C$9</f>
        <v>-5.2356229384619411E-4</v>
      </c>
    </row>
    <row r="29" spans="1:24" s="443" customFormat="1" ht="15" hidden="1" customHeight="1" thickBot="1">
      <c r="A29" s="622" t="s">
        <v>61</v>
      </c>
      <c r="B29" s="615">
        <f t="shared" ref="B29" si="8">IF($B$1=0,F29,G29)</f>
        <v>1</v>
      </c>
      <c r="C29" s="624" t="s">
        <v>62</v>
      </c>
      <c r="D29" s="439" t="s">
        <v>239</v>
      </c>
      <c r="E29" s="439" t="s">
        <v>223</v>
      </c>
      <c r="F29" s="630">
        <f>G29</f>
        <v>1</v>
      </c>
      <c r="G29" s="631">
        <v>1</v>
      </c>
      <c r="K29" s="632"/>
      <c r="L29" s="628"/>
      <c r="M29" s="244"/>
      <c r="N29" s="633"/>
      <c r="O29" s="633"/>
      <c r="P29" s="634"/>
      <c r="Q29" s="633"/>
      <c r="R29" s="633"/>
      <c r="S29" s="633"/>
      <c r="T29" s="633"/>
      <c r="U29" s="633"/>
      <c r="V29" s="633"/>
      <c r="W29">
        <f>(CUA!$C$9-'Parameters &amp; DSA'!N29)/CUA!$C$9</f>
        <v>1</v>
      </c>
      <c r="X29">
        <f>(CUA!$C$9-'Parameters &amp; DSA'!O29)/CUA!$C$9</f>
        <v>1</v>
      </c>
    </row>
    <row r="30" spans="1:24" s="183" customFormat="1" ht="6" customHeight="1" thickBot="1">
      <c r="A30" s="435"/>
      <c r="B30" s="436"/>
      <c r="C30" s="437"/>
      <c r="G30" s="503"/>
      <c r="K30" s="553"/>
      <c r="L30" s="554"/>
      <c r="M30" s="529"/>
      <c r="N30" s="438"/>
      <c r="O30" s="438"/>
      <c r="P30" s="454"/>
      <c r="Q30" s="438"/>
      <c r="R30" s="438"/>
      <c r="S30" s="438"/>
      <c r="T30" s="438"/>
      <c r="U30" s="438"/>
      <c r="V30" s="438"/>
      <c r="W30">
        <f>(CUA!$C$9-'Parameters &amp; DSA'!N30)/CUA!$C$9</f>
        <v>1</v>
      </c>
      <c r="X30">
        <f>(CUA!$C$9-'Parameters &amp; DSA'!O30)/CUA!$C$9</f>
        <v>1</v>
      </c>
    </row>
    <row r="31" spans="1:24" s="298" customFormat="1">
      <c r="A31" s="239" t="s">
        <v>242</v>
      </c>
      <c r="B31" s="296"/>
      <c r="C31" s="297"/>
      <c r="G31" s="504"/>
      <c r="K31" s="555"/>
      <c r="L31" s="556"/>
      <c r="M31" s="441"/>
      <c r="N31" s="426"/>
      <c r="O31" s="426"/>
      <c r="P31" s="455"/>
      <c r="Q31" s="426"/>
      <c r="R31" s="426"/>
      <c r="S31" s="426"/>
      <c r="T31" s="426"/>
      <c r="U31" s="426"/>
      <c r="V31" s="426"/>
      <c r="W31">
        <f>(CUA!$C$9-'Parameters &amp; DSA'!N31)/CUA!$C$9</f>
        <v>1</v>
      </c>
      <c r="X31">
        <f>(CUA!$C$9-'Parameters &amp; DSA'!O31)/CUA!$C$9</f>
        <v>1</v>
      </c>
    </row>
    <row r="32" spans="1:24">
      <c r="A32" s="13" t="s">
        <v>26</v>
      </c>
      <c r="B32" s="9">
        <f>IF($B$1=0,$F$32,$G$32)</f>
        <v>0.92307692307692313</v>
      </c>
      <c r="C32" s="4" t="s">
        <v>63</v>
      </c>
      <c r="D32" t="s">
        <v>28</v>
      </c>
      <c r="E32" t="s">
        <v>19</v>
      </c>
      <c r="F32" s="391">
        <f ca="1">1-F33</f>
        <v>0.92020429578696306</v>
      </c>
      <c r="G32" s="505">
        <f>1-$G$33</f>
        <v>0.92307692307692313</v>
      </c>
      <c r="H32" s="392">
        <f>SQRT(('Transitional probabilities'!$B$5*'Transitional probabilities'!$H$5)/(('Transitional probabilities'!$B$5+'Transitional probabilities'!$H$5)^2*('Transitional probabilities'!$B$5+'Transitional probabilities'!$H$5+1)))</f>
        <v>2.9515653152519931E-3</v>
      </c>
      <c r="I32" s="27">
        <f>G32*(G32*(1-G32)/(H32^2)-1)</f>
        <v>7522.7105493505087</v>
      </c>
      <c r="J32" s="27">
        <f>G32*(1-G32)/(H32^2)-1-I32</f>
        <v>626.89254577920838</v>
      </c>
      <c r="K32" s="541">
        <f>_xlfn.BETA.INV(0.025,I32,J32)</f>
        <v>0.91719440583290834</v>
      </c>
      <c r="L32" s="557">
        <f>_xlfn.BETA.INV(0.975,I32,J32)</f>
        <v>0.92876277515791095</v>
      </c>
      <c r="M32" s="439"/>
      <c r="N32" s="33"/>
      <c r="O32" s="33"/>
      <c r="P32" s="452"/>
      <c r="Q32" s="33"/>
      <c r="R32" s="33"/>
      <c r="U32" s="33"/>
      <c r="V32" s="33"/>
      <c r="W32">
        <f>(CUA!$C$9-'Parameters &amp; DSA'!N32)/CUA!$C$9</f>
        <v>1</v>
      </c>
      <c r="X32">
        <f>(CUA!$C$9-'Parameters &amp; DSA'!O32)/CUA!$C$9</f>
        <v>1</v>
      </c>
    </row>
    <row r="33" spans="1:24">
      <c r="A33" s="230" t="s">
        <v>29</v>
      </c>
      <c r="B33" s="9">
        <f>IF($B$1=0,$F$33,$G$33)</f>
        <v>7.6923076923076927E-2</v>
      </c>
      <c r="C33" s="4" t="s">
        <v>64</v>
      </c>
      <c r="D33" t="s">
        <v>28</v>
      </c>
      <c r="E33" t="s">
        <v>19</v>
      </c>
      <c r="F33" s="27">
        <f t="shared" ref="F33" ca="1" si="9">BETAINV(RAND(),I33,J33)</f>
        <v>7.9795704213036944E-2</v>
      </c>
      <c r="G33" s="496">
        <f>'Transitional probabilities'!$C$14</f>
        <v>7.6923076923076927E-2</v>
      </c>
      <c r="H33" s="142">
        <f>SQRT(('Transitional probabilities'!$C$5*'Transitional probabilities'!$H$5)/(('Transitional probabilities'!$C$5+'Transitional probabilities'!$H$5)^2*('Transitional probabilities'!$C$5+'Transitional probabilities'!$H$5+1)))</f>
        <v>2.0331704064506908E-3</v>
      </c>
      <c r="I33" s="27">
        <f t="shared" ref="I33:I45" si="10">G33*(G33*(1-G33)/(H33^2)-1)</f>
        <v>1321.2297538601595</v>
      </c>
      <c r="J33" s="27">
        <f t="shared" ref="J33:J45" si="11">G33*(1-G33)/(H33^2)-1-I33</f>
        <v>15854.757046321913</v>
      </c>
      <c r="K33" s="541">
        <f t="shared" ref="K33:K43" si="12">_xlfn.BETA.INV(0.025,I33,J33)</f>
        <v>7.2985048682512099E-2</v>
      </c>
      <c r="L33" s="557">
        <f t="shared" ref="L33:L43" si="13">_xlfn.BETA.INV(0.975,I33,J33)</f>
        <v>8.0954422189136288E-2</v>
      </c>
      <c r="M33" s="439"/>
      <c r="N33" s="33">
        <v>-278084.13882061804</v>
      </c>
      <c r="O33" s="33">
        <v>-277777.18128012278</v>
      </c>
      <c r="P33" s="388" t="s">
        <v>29</v>
      </c>
      <c r="Q33" s="33">
        <f>CUA!$C$9-N33</f>
        <v>129.55124931811588</v>
      </c>
      <c r="R33" s="33">
        <f>CUA!$C$9-O33</f>
        <v>-177.40629117714707</v>
      </c>
      <c r="S33" s="33">
        <v>1190114.8779876241</v>
      </c>
      <c r="T33" s="33">
        <v>1138902.7558875135</v>
      </c>
      <c r="U33" s="33">
        <v>955944.86222790054</v>
      </c>
      <c r="V33" s="33">
        <v>887456.66629976348</v>
      </c>
      <c r="W33">
        <f>(CUA!$C$9-'Parameters &amp; DSA'!N33)/CUA!$C$9</f>
        <v>-4.6608782553331251E-4</v>
      </c>
      <c r="X33">
        <f>(CUA!$C$9-'Parameters &amp; DSA'!O33)/CUA!$C$9</f>
        <v>6.3825638830889754E-4</v>
      </c>
    </row>
    <row r="34" spans="1:24" s="439" customFormat="1" hidden="1">
      <c r="A34" s="485" t="s">
        <v>31</v>
      </c>
      <c r="B34" s="615">
        <f t="shared" ref="B34:B45" si="14">IF($B$1=0,F34,G34)</f>
        <v>0</v>
      </c>
      <c r="C34" s="486" t="s">
        <v>65</v>
      </c>
      <c r="D34" s="439" t="s">
        <v>28</v>
      </c>
      <c r="E34" s="439" t="s">
        <v>19</v>
      </c>
      <c r="F34" s="617">
        <v>0</v>
      </c>
      <c r="G34" s="618">
        <v>0</v>
      </c>
      <c r="H34" s="638">
        <f>SQRT(('Transitional probabilities'!$G$5*'Transitional probabilities'!$H$5)/(('Transitional probabilities'!$G$5+'Transitional probabilities'!$H$5)^2*('Transitional probabilities'!$G$5+'Transitional probabilities'!$H$5+1)))</f>
        <v>0</v>
      </c>
      <c r="I34" s="639" t="e">
        <f t="shared" si="10"/>
        <v>#DIV/0!</v>
      </c>
      <c r="J34" s="639" t="e">
        <f t="shared" si="11"/>
        <v>#DIV/0!</v>
      </c>
      <c r="K34" s="640" t="e">
        <f t="shared" si="12"/>
        <v>#DIV/0!</v>
      </c>
      <c r="L34" s="641" t="e">
        <f t="shared" si="13"/>
        <v>#DIV/0!</v>
      </c>
      <c r="N34" s="642">
        <v>-496652.80363070068</v>
      </c>
      <c r="O34" s="642">
        <v>-215888.25539932656</v>
      </c>
      <c r="P34" s="621"/>
      <c r="Q34" s="642">
        <f>CUA!$C$9-N34</f>
        <v>218698.21605940076</v>
      </c>
      <c r="R34" s="642">
        <f>CUA!$C$9-O34</f>
        <v>-62066.332171973365</v>
      </c>
      <c r="S34" s="642">
        <v>1157726.5304613458</v>
      </c>
      <c r="T34" s="642">
        <v>1171325.0267938538</v>
      </c>
      <c r="U34" s="642">
        <v>921411.800515173</v>
      </c>
      <c r="V34" s="642">
        <v>921411.800515173</v>
      </c>
      <c r="W34">
        <f>(CUA!$C$9-'Parameters &amp; DSA'!N34)/CUA!$C$9</f>
        <v>-0.78681275948827811</v>
      </c>
      <c r="X34">
        <f>(CUA!$C$9-'Parameters &amp; DSA'!O34)/CUA!$C$9</f>
        <v>0.22329666408564791</v>
      </c>
    </row>
    <row r="35" spans="1:24">
      <c r="A35" s="13" t="s">
        <v>33</v>
      </c>
      <c r="B35" s="9">
        <f>IF($B$1=0,$F$35,$G$35)</f>
        <v>0.85714285714285721</v>
      </c>
      <c r="C35" s="4" t="s">
        <v>66</v>
      </c>
      <c r="D35" t="s">
        <v>28</v>
      </c>
      <c r="E35" t="s">
        <v>19</v>
      </c>
      <c r="F35" s="391">
        <f ca="1">1-F36</f>
        <v>0.85840480953762099</v>
      </c>
      <c r="G35" s="505">
        <f>1-$G$36</f>
        <v>0.85714285714285721</v>
      </c>
      <c r="H35" s="392">
        <f>SQRT(('Transitional probabilities'!$C$6*'Transitional probabilities'!$H$6)/(('Transitional probabilities'!$C$6+'Transitional probabilities'!$H$6)^2*('Transitional probabilities'!$C$6+'Transitional probabilities'!$H$6+1)))</f>
        <v>4.0841598613690156E-3</v>
      </c>
      <c r="I35" s="27">
        <f t="shared" si="10"/>
        <v>6291.3486047480183</v>
      </c>
      <c r="J35" s="27">
        <f t="shared" si="11"/>
        <v>1048.5581007913361</v>
      </c>
      <c r="K35" s="541">
        <f t="shared" si="12"/>
        <v>0.84904650943052107</v>
      </c>
      <c r="L35" s="557">
        <f t="shared" si="13"/>
        <v>0.86505486584058566</v>
      </c>
      <c r="M35" s="439"/>
      <c r="N35" s="33"/>
      <c r="O35" s="33"/>
      <c r="Q35" s="33"/>
      <c r="R35" s="33"/>
      <c r="U35" s="33"/>
      <c r="V35" s="33"/>
      <c r="W35">
        <f>(CUA!$C$9-'Parameters &amp; DSA'!N35)/CUA!$C$9</f>
        <v>1</v>
      </c>
      <c r="X35">
        <f>(CUA!$C$9-'Parameters &amp; DSA'!O35)/CUA!$C$9</f>
        <v>1</v>
      </c>
    </row>
    <row r="36" spans="1:24">
      <c r="A36" s="230" t="s">
        <v>35</v>
      </c>
      <c r="B36" s="9">
        <f>IF($B$1=0,$F$36,$G$36)</f>
        <v>0.14285714285714285</v>
      </c>
      <c r="C36" s="4" t="s">
        <v>67</v>
      </c>
      <c r="D36" t="s">
        <v>28</v>
      </c>
      <c r="E36" t="s">
        <v>19</v>
      </c>
      <c r="F36" s="27">
        <f t="shared" ref="F36" ca="1" si="15">BETAINV(RAND(),I36,J36)</f>
        <v>0.14159519046237898</v>
      </c>
      <c r="G36" s="496">
        <f>'Transitional probabilities'!$D$15</f>
        <v>0.14285714285714285</v>
      </c>
      <c r="H36" s="142">
        <f>SQRT(('Transitional probabilities'!$D$6*'Transitional probabilities'!$H$6)/(('Transitional probabilities'!$D$6+'Transitional probabilities'!$H$6)^2*('Transitional probabilities'!$D$6+'Transitional probabilities'!$H$6+1)))</f>
        <v>3.453806851090797E-3</v>
      </c>
      <c r="I36" s="27">
        <f t="shared" si="10"/>
        <v>1466.2861307788421</v>
      </c>
      <c r="J36" s="27">
        <f t="shared" si="11"/>
        <v>8797.7167846730536</v>
      </c>
      <c r="K36" s="541">
        <f t="shared" si="12"/>
        <v>0.13615409772228429</v>
      </c>
      <c r="L36" s="557">
        <f t="shared" si="13"/>
        <v>0.14969201217974326</v>
      </c>
      <c r="M36" s="439"/>
      <c r="N36" s="33">
        <v>-279008.22601073835</v>
      </c>
      <c r="O36" s="33">
        <v>-276950.48145218118</v>
      </c>
      <c r="P36" s="388" t="s">
        <v>35</v>
      </c>
      <c r="Q36" s="33">
        <f>CUA!$C$9-N36</f>
        <v>1053.6384394384222</v>
      </c>
      <c r="R36" s="33">
        <f>CUA!$C$9-O36</f>
        <v>-1004.1061191187473</v>
      </c>
      <c r="S36" s="33">
        <v>1182160.1624149787</v>
      </c>
      <c r="T36" s="33">
        <v>1147040.9204192485</v>
      </c>
      <c r="U36" s="33">
        <v>935176.44270172284</v>
      </c>
      <c r="V36" s="33">
        <v>908374.04740277154</v>
      </c>
      <c r="W36">
        <f>(CUA!$C$9-'Parameters &amp; DSA'!N36)/CUA!$C$9</f>
        <v>-3.7906855527906932E-3</v>
      </c>
      <c r="X36">
        <f>(CUA!$C$9-'Parameters &amp; DSA'!O36)/CUA!$C$9</f>
        <v>3.6124826285199468E-3</v>
      </c>
    </row>
    <row r="37" spans="1:24" s="439" customFormat="1" hidden="1">
      <c r="A37" s="485" t="s">
        <v>37</v>
      </c>
      <c r="B37" s="615">
        <f t="shared" si="14"/>
        <v>0</v>
      </c>
      <c r="C37" s="486" t="s">
        <v>68</v>
      </c>
      <c r="D37" s="439" t="s">
        <v>28</v>
      </c>
      <c r="E37" s="439" t="s">
        <v>19</v>
      </c>
      <c r="F37" s="617">
        <v>0</v>
      </c>
      <c r="G37" s="618">
        <v>0</v>
      </c>
      <c r="H37" s="638">
        <f>SQRT(('Transitional probabilities'!$G$6*'Transitional probabilities'!$H$6)/(('Transitional probabilities'!$G$6+'Transitional probabilities'!$H$6)^2*('Transitional probabilities'!$G$6+'Transitional probabilities'!$H$6+1)))</f>
        <v>0</v>
      </c>
      <c r="I37" s="639" t="e">
        <f t="shared" si="10"/>
        <v>#DIV/0!</v>
      </c>
      <c r="J37" s="639" t="e">
        <f t="shared" si="11"/>
        <v>#DIV/0!</v>
      </c>
      <c r="K37" s="640" t="e">
        <f t="shared" si="12"/>
        <v>#DIV/0!</v>
      </c>
      <c r="L37" s="641" t="e">
        <f t="shared" si="13"/>
        <v>#DIV/0!</v>
      </c>
      <c r="N37" s="642"/>
      <c r="O37" s="642"/>
      <c r="P37" s="621"/>
      <c r="Q37" s="642">
        <f>CUA!$C$9-N37</f>
        <v>-277954.58757129993</v>
      </c>
      <c r="R37" s="642">
        <f>CUA!$C$9-O37</f>
        <v>-277954.58757129993</v>
      </c>
      <c r="S37" s="642"/>
      <c r="T37" s="642"/>
      <c r="U37" s="642"/>
      <c r="V37" s="642"/>
      <c r="W37">
        <f>(CUA!$C$9-'Parameters &amp; DSA'!N37)/CUA!$C$9</f>
        <v>1</v>
      </c>
      <c r="X37">
        <f>(CUA!$C$9-'Parameters &amp; DSA'!O37)/CUA!$C$9</f>
        <v>1</v>
      </c>
    </row>
    <row r="38" spans="1:24">
      <c r="A38" s="13" t="s">
        <v>39</v>
      </c>
      <c r="B38" s="9">
        <f>IF($B$1=0,$F$38,$G$38)</f>
        <v>0.75</v>
      </c>
      <c r="C38" s="4" t="s">
        <v>69</v>
      </c>
      <c r="D38" t="s">
        <v>28</v>
      </c>
      <c r="E38" t="s">
        <v>19</v>
      </c>
      <c r="F38" s="391">
        <f ca="1">1-F39</f>
        <v>0.75974156235516077</v>
      </c>
      <c r="G38" s="505">
        <f>1-$G$39</f>
        <v>0.75</v>
      </c>
      <c r="H38" s="392">
        <f>SQRT(('Transitional probabilities'!$D$7*'Transitional probabilities'!$H$7)/(('Transitional probabilities'!$D$7+'Transitional probabilities'!$H$7)^2*('Transitional probabilities'!$D$7+'Transitional probabilities'!$H$7+1)))</f>
        <v>5.5248970124193615E-3</v>
      </c>
      <c r="I38" s="27">
        <f t="shared" si="10"/>
        <v>4606.2070312500018</v>
      </c>
      <c r="J38" s="27">
        <f t="shared" si="11"/>
        <v>1535.40234375</v>
      </c>
      <c r="K38" s="541">
        <f t="shared" si="12"/>
        <v>0.73909486902790045</v>
      </c>
      <c r="L38" s="557">
        <f t="shared" si="13"/>
        <v>0.76075091289612096</v>
      </c>
      <c r="M38" s="439"/>
      <c r="N38" s="33"/>
      <c r="O38" s="33"/>
      <c r="Q38" s="33"/>
      <c r="R38" s="33"/>
      <c r="U38" s="33"/>
      <c r="V38" s="33"/>
      <c r="W38">
        <f>(CUA!$C$9-'Parameters &amp; DSA'!N38)/CUA!$C$9</f>
        <v>1</v>
      </c>
      <c r="X38">
        <f>(CUA!$C$9-'Parameters &amp; DSA'!O38)/CUA!$C$9</f>
        <v>1</v>
      </c>
    </row>
    <row r="39" spans="1:24">
      <c r="A39" s="230" t="s">
        <v>41</v>
      </c>
      <c r="B39" s="9">
        <f>IF($B$1=0,$F$39,$G$39)</f>
        <v>0.25</v>
      </c>
      <c r="C39" s="4" t="s">
        <v>70</v>
      </c>
      <c r="D39" t="s">
        <v>28</v>
      </c>
      <c r="E39" t="s">
        <v>19</v>
      </c>
      <c r="F39" s="27">
        <f t="shared" ref="F39" ca="1" si="16">BETAINV(RAND(),I39,J39)</f>
        <v>0.24025843764483923</v>
      </c>
      <c r="G39" s="496">
        <f>'Transitional probabilities'!$E$16</f>
        <v>0.25</v>
      </c>
      <c r="H39" s="142">
        <f>SQRT(('Transitional probabilities'!$E$7*'Transitional probabilities'!$H$7)/(('Transitional probabilities'!$E$7+'Transitional probabilities'!$H$7)^2*('Transitional probabilities'!$E$7+'Transitional probabilities'!$H$7+1)))</f>
        <v>5.2837807353104558E-3</v>
      </c>
      <c r="I39" s="27">
        <f t="shared" si="10"/>
        <v>1678.75390625</v>
      </c>
      <c r="J39" s="27">
        <f t="shared" si="11"/>
        <v>5036.26171875</v>
      </c>
      <c r="K39" s="541">
        <f t="shared" si="12"/>
        <v>0.23971500955662792</v>
      </c>
      <c r="L39" s="557">
        <f t="shared" si="13"/>
        <v>0.26042603965729583</v>
      </c>
      <c r="M39" s="439"/>
      <c r="N39" s="33">
        <v>-278532.90909053822</v>
      </c>
      <c r="O39" s="33">
        <v>-277411.80200281146</v>
      </c>
      <c r="P39" s="388" t="s">
        <v>41</v>
      </c>
      <c r="Q39" s="33">
        <f>CUA!$C$9-N39</f>
        <v>578.32151923829224</v>
      </c>
      <c r="R39" s="33">
        <f>CUA!$C$9-O39</f>
        <v>-542.78556848847074</v>
      </c>
      <c r="S39" s="33">
        <v>1175295.9684883677</v>
      </c>
      <c r="T39" s="33">
        <v>1153811.295346593</v>
      </c>
      <c r="U39" s="33">
        <v>935823.38513720967</v>
      </c>
      <c r="V39" s="33">
        <v>907650.87773920642</v>
      </c>
      <c r="W39">
        <f>(CUA!$C$9-'Parameters &amp; DSA'!N39)/CUA!$C$9</f>
        <v>-2.0806331145368962E-3</v>
      </c>
      <c r="X39">
        <f>(CUA!$C$9-'Parameters &amp; DSA'!O39)/CUA!$C$9</f>
        <v>1.9527850690690158E-3</v>
      </c>
    </row>
    <row r="40" spans="1:24" s="439" customFormat="1" hidden="1">
      <c r="A40" s="485" t="s">
        <v>43</v>
      </c>
      <c r="B40" s="615">
        <f t="shared" si="14"/>
        <v>0</v>
      </c>
      <c r="C40" s="486" t="s">
        <v>71</v>
      </c>
      <c r="D40" s="439" t="s">
        <v>28</v>
      </c>
      <c r="E40" s="439" t="s">
        <v>19</v>
      </c>
      <c r="F40" s="617">
        <v>0</v>
      </c>
      <c r="G40" s="618">
        <v>0</v>
      </c>
      <c r="H40" s="638">
        <f>SQRT(('Transitional probabilities'!$G$7*'Transitional probabilities'!$H$7)/(('Transitional probabilities'!$G$7+'Transitional probabilities'!$H$7)^2*('Transitional probabilities'!$G$7+'Transitional probabilities'!$H$7+1)))</f>
        <v>0</v>
      </c>
      <c r="I40" s="639" t="e">
        <f t="shared" si="10"/>
        <v>#DIV/0!</v>
      </c>
      <c r="J40" s="639" t="e">
        <f t="shared" si="11"/>
        <v>#DIV/0!</v>
      </c>
      <c r="K40" s="640" t="e">
        <f t="shared" si="12"/>
        <v>#DIV/0!</v>
      </c>
      <c r="L40" s="641" t="e">
        <f t="shared" si="13"/>
        <v>#DIV/0!</v>
      </c>
      <c r="N40" s="642"/>
      <c r="O40" s="642"/>
      <c r="P40" s="621"/>
      <c r="Q40" s="642">
        <f>CUA!$C$9-N40</f>
        <v>-277954.58757129993</v>
      </c>
      <c r="R40" s="642">
        <f>CUA!$C$9-O40</f>
        <v>-277954.58757129993</v>
      </c>
      <c r="S40" s="642"/>
      <c r="T40" s="642"/>
      <c r="U40" s="642"/>
      <c r="V40" s="642"/>
      <c r="W40">
        <f>(CUA!$C$9-'Parameters &amp; DSA'!N40)/CUA!$C$9</f>
        <v>1</v>
      </c>
      <c r="X40">
        <f>(CUA!$C$9-'Parameters &amp; DSA'!O40)/CUA!$C$9</f>
        <v>1</v>
      </c>
    </row>
    <row r="41" spans="1:24">
      <c r="A41" s="442" t="s">
        <v>45</v>
      </c>
      <c r="B41" s="9">
        <f>IF($B$1=0,$F$41,$G$41)</f>
        <v>0.125</v>
      </c>
      <c r="C41" s="440" t="s">
        <v>72</v>
      </c>
      <c r="D41" s="73" t="s">
        <v>344</v>
      </c>
      <c r="E41" t="s">
        <v>19</v>
      </c>
      <c r="F41" s="391">
        <f ca="1">1-F42-F43</f>
        <v>0.1269038759875889</v>
      </c>
      <c r="G41" s="505">
        <f>1-$G$42-$G$43</f>
        <v>0.125</v>
      </c>
      <c r="H41" s="142">
        <f>SQRT(('Transitional probabilities'!$E$8*'Transitional probabilities'!$H$8)/(('Transitional probabilities'!$E$8+'Transitional probabilities'!$H$8)^2*('Transitional probabilities'!$E$8+'Transitional probabilities'!$H$8+1)))</f>
        <v>2.9498813848887643E-2</v>
      </c>
      <c r="I41" s="27">
        <f t="shared" si="10"/>
        <v>15.5865478515625</v>
      </c>
      <c r="J41" s="27">
        <f t="shared" si="11"/>
        <v>109.1058349609375</v>
      </c>
      <c r="K41" s="541">
        <f t="shared" si="12"/>
        <v>7.316848084820568E-2</v>
      </c>
      <c r="L41" s="557">
        <f t="shared" si="13"/>
        <v>0.18819489716850457</v>
      </c>
      <c r="M41" s="439"/>
      <c r="N41" s="33"/>
      <c r="O41" s="33"/>
      <c r="Q41" s="33"/>
      <c r="R41" s="33"/>
      <c r="U41" s="33"/>
      <c r="V41" s="33"/>
      <c r="W41">
        <f>(CUA!$C$9-'Parameters &amp; DSA'!N41)/CUA!$C$9</f>
        <v>1</v>
      </c>
      <c r="X41">
        <f>(CUA!$C$9-'Parameters &amp; DSA'!O41)/CUA!$C$9</f>
        <v>1</v>
      </c>
    </row>
    <row r="42" spans="1:24">
      <c r="A42" s="393" t="s">
        <v>47</v>
      </c>
      <c r="B42" s="9">
        <f>IF($B$1=0,$F$42,$G$42)</f>
        <v>0.5</v>
      </c>
      <c r="C42" s="4" t="s">
        <v>73</v>
      </c>
      <c r="D42" t="s">
        <v>431</v>
      </c>
      <c r="E42" t="s">
        <v>19</v>
      </c>
      <c r="F42" s="27">
        <f t="shared" ref="F42:F43" ca="1" si="17">BETAINV(RAND(),I42,J42)</f>
        <v>0.46723034608750186</v>
      </c>
      <c r="G42" s="496">
        <f>'Transitional probabilities'!$F$17</f>
        <v>0.5</v>
      </c>
      <c r="H42" s="142">
        <f>SQRT(('Transitional probabilities'!$F$8*'Transitional probabilities'!$H$8)/(('Transitional probabilities'!$F$8+'Transitional probabilities'!$H$8)^2*('Transitional probabilities'!$F$8+'Transitional probabilities'!$H$8+1)))</f>
        <v>3.8362355843229064E-2</v>
      </c>
      <c r="I42" s="27">
        <f t="shared" si="10"/>
        <v>84.437500000000014</v>
      </c>
      <c r="J42" s="27">
        <f t="shared" si="11"/>
        <v>84.437500000000014</v>
      </c>
      <c r="K42" s="541">
        <f t="shared" si="12"/>
        <v>0.42490608518205769</v>
      </c>
      <c r="L42" s="557">
        <f t="shared" si="13"/>
        <v>0.57509391481794236</v>
      </c>
      <c r="M42" s="439"/>
      <c r="N42" s="33">
        <v>-249967.48439886561</v>
      </c>
      <c r="O42" s="33">
        <v>-302591.66788535559</v>
      </c>
      <c r="P42" s="388" t="s">
        <v>47</v>
      </c>
      <c r="Q42" s="33">
        <f>CUA!$C$9-N42</f>
        <v>-27987.103172434319</v>
      </c>
      <c r="R42" s="33">
        <f>CUA!$C$9-O42</f>
        <v>24637.080314055667</v>
      </c>
      <c r="S42" s="33">
        <v>1203923.8430378686</v>
      </c>
      <c r="T42" s="33">
        <v>1130294.2875869556</v>
      </c>
      <c r="U42" s="33">
        <v>974572.17251389415</v>
      </c>
      <c r="V42" s="33">
        <v>875808.20916871843</v>
      </c>
      <c r="W42">
        <f>(CUA!$C$9-'Parameters &amp; DSA'!N42)/CUA!$C$9</f>
        <v>0.10068948102990086</v>
      </c>
      <c r="X42">
        <f>(CUA!$C$9-'Parameters &amp; DSA'!O42)/CUA!$C$9</f>
        <v>-8.8637070283057839E-2</v>
      </c>
    </row>
    <row r="43" spans="1:24" s="96" customFormat="1" ht="16.5" thickBot="1">
      <c r="A43" s="394" t="s">
        <v>49</v>
      </c>
      <c r="B43" s="108">
        <f>IF($B$1=0,$F$43,$G$43)</f>
        <v>0.375</v>
      </c>
      <c r="C43" s="102" t="s">
        <v>74</v>
      </c>
      <c r="D43" s="96" t="s">
        <v>275</v>
      </c>
      <c r="E43" s="96" t="s">
        <v>19</v>
      </c>
      <c r="F43" s="90">
        <f t="shared" ca="1" si="17"/>
        <v>0.4058657779249093</v>
      </c>
      <c r="G43" s="506">
        <f>'Transitional probabilities'!$G$17</f>
        <v>0.375</v>
      </c>
      <c r="H43" s="121">
        <f>SQRT(('Transitional probabilities'!$G$8*'Transitional probabilities'!$H$8)/(('Transitional probabilities'!$G$8+'Transitional probabilities'!$H$8)^2*('Transitional probabilities'!$G$8+'Transitional probabilities'!$H$8+1)))</f>
        <v>3.7843217080143286E-2</v>
      </c>
      <c r="I43" s="90">
        <f t="shared" si="10"/>
        <v>60.9964599609375</v>
      </c>
      <c r="J43" s="90">
        <f t="shared" si="11"/>
        <v>101.6607666015625</v>
      </c>
      <c r="K43" s="541">
        <f t="shared" si="12"/>
        <v>0.30239251245160625</v>
      </c>
      <c r="L43" s="557">
        <f t="shared" si="13"/>
        <v>0.45051959412754794</v>
      </c>
      <c r="M43" s="443"/>
      <c r="N43" s="424">
        <v>-316301.73124782456</v>
      </c>
      <c r="O43" s="424">
        <v>-246322.66896275175</v>
      </c>
      <c r="P43" s="444" t="s">
        <v>49</v>
      </c>
      <c r="Q43" s="424">
        <f>CUA!$C$9-N43</f>
        <v>38347.143676524633</v>
      </c>
      <c r="R43" s="424">
        <f>CUA!$C$9-O43</f>
        <v>-31631.918608548178</v>
      </c>
      <c r="S43" s="424">
        <v>1132291.5732617769</v>
      </c>
      <c r="T43" s="424">
        <v>1193049.9090918959</v>
      </c>
      <c r="U43" s="424">
        <v>877516.28803740873</v>
      </c>
      <c r="V43" s="424">
        <v>960757.16796713881</v>
      </c>
      <c r="W43">
        <f>(CUA!$C$9-'Parameters &amp; DSA'!N43)/CUA!$C$9</f>
        <v>-0.1379619023797834</v>
      </c>
      <c r="X43">
        <f>(CUA!$C$9-'Parameters &amp; DSA'!O43)/CUA!$C$9</f>
        <v>0.11380246998238182</v>
      </c>
    </row>
    <row r="44" spans="1:24" ht="16.5" hidden="1" thickBot="1">
      <c r="A44" s="233" t="s">
        <v>51</v>
      </c>
      <c r="B44" s="1">
        <f t="shared" si="14"/>
        <v>0.83</v>
      </c>
      <c r="C44" s="166" t="s">
        <v>75</v>
      </c>
      <c r="D44" t="s">
        <v>260</v>
      </c>
      <c r="E44" t="s">
        <v>19</v>
      </c>
      <c r="F44" s="27">
        <f t="shared" ref="F44" ca="1" si="18">BETAINV(RAND(),I44,J44)</f>
        <v>0.89878147121815877</v>
      </c>
      <c r="G44" s="496">
        <v>0.83</v>
      </c>
      <c r="H44" s="142">
        <f>SQRT(('Transitional probabilities'!$F$9*'Transitional probabilities'!$H$9)/(('Transitional probabilities'!$F$9+'Transitional probabilities'!$H$9)^2*('Transitional probabilities'!$F$9+'Transitional probabilities'!$H$9+1)))</f>
        <v>3.6701096948860555E-2</v>
      </c>
      <c r="I44" s="27">
        <f t="shared" si="10"/>
        <v>86.115481360000004</v>
      </c>
      <c r="J44" s="27">
        <f t="shared" si="11"/>
        <v>17.638110640000008</v>
      </c>
      <c r="K44" s="536">
        <f t="shared" ref="K44:K45" si="19">G44-H44</f>
        <v>0.79329890305113937</v>
      </c>
      <c r="L44" s="537">
        <f t="shared" ref="L44:L45" si="20">G44+H44</f>
        <v>0.86670109694886055</v>
      </c>
      <c r="M44" s="523"/>
      <c r="N44" s="33"/>
      <c r="O44" s="33"/>
      <c r="P44" s="452"/>
      <c r="Q44" s="33">
        <f>CUA!$C$9-N44</f>
        <v>-277954.58757129993</v>
      </c>
      <c r="R44" s="33">
        <f>CUA!$C$9-O44</f>
        <v>-277954.58757129993</v>
      </c>
      <c r="U44" s="33"/>
      <c r="V44" s="33"/>
      <c r="W44">
        <f>(CUA!$C$9-'Parameters &amp; DSA'!N44)/CUA!$C$9</f>
        <v>1</v>
      </c>
      <c r="X44">
        <f>(CUA!$C$9-'Parameters &amp; DSA'!O44)/CUA!$C$9</f>
        <v>1</v>
      </c>
    </row>
    <row r="45" spans="1:24" s="96" customFormat="1" ht="16.5" hidden="1" thickBot="1">
      <c r="A45" s="232" t="s">
        <v>53</v>
      </c>
      <c r="B45" s="108">
        <f t="shared" si="14"/>
        <v>0.17</v>
      </c>
      <c r="C45" s="102" t="s">
        <v>76</v>
      </c>
      <c r="D45" t="s">
        <v>260</v>
      </c>
      <c r="E45" t="s">
        <v>19</v>
      </c>
      <c r="F45" s="228">
        <f ca="1">1-F44</f>
        <v>0.10121852878184123</v>
      </c>
      <c r="G45" s="496">
        <v>0.17</v>
      </c>
      <c r="H45" s="121">
        <f>SQRT(('Transitional probabilities'!$G$9*'Transitional probabilities'!$H$9)/(('Transitional probabilities'!$G$9+'Transitional probabilities'!$H$9)^2*('Transitional probabilities'!$G$9+'Transitional probabilities'!$H$9+1)))</f>
        <v>3.2441251161174404E-2</v>
      </c>
      <c r="I45" s="208">
        <f t="shared" si="10"/>
        <v>22.621911220000001</v>
      </c>
      <c r="J45" s="208">
        <f t="shared" si="11"/>
        <v>110.44815478</v>
      </c>
      <c r="K45" s="549">
        <f t="shared" si="19"/>
        <v>0.1375587488388256</v>
      </c>
      <c r="L45" s="539">
        <f t="shared" si="20"/>
        <v>0.20244125116117442</v>
      </c>
      <c r="M45" s="244"/>
      <c r="N45" s="424"/>
      <c r="O45" s="424"/>
      <c r="P45" s="453"/>
      <c r="Q45" s="424">
        <f>CUA!$C$9-N45</f>
        <v>-277954.58757129993</v>
      </c>
      <c r="R45" s="424">
        <f>CUA!$C$9-O45</f>
        <v>-277954.58757129993</v>
      </c>
      <c r="S45" s="424"/>
      <c r="T45" s="424"/>
      <c r="U45" s="424"/>
      <c r="V45" s="424"/>
      <c r="W45">
        <f>(CUA!$C$9-'Parameters &amp; DSA'!N45)/CUA!$C$9</f>
        <v>1</v>
      </c>
      <c r="X45">
        <f>(CUA!$C$9-'Parameters &amp; DSA'!O45)/CUA!$C$9</f>
        <v>1</v>
      </c>
    </row>
    <row r="46" spans="1:24" s="104" customFormat="1" ht="7.9" hidden="1" customHeight="1" thickBot="1">
      <c r="A46" s="205"/>
      <c r="B46" s="107"/>
      <c r="C46" s="106"/>
      <c r="G46" s="490"/>
      <c r="I46" s="96"/>
      <c r="J46" s="96"/>
      <c r="K46" s="532"/>
      <c r="L46" s="533"/>
      <c r="M46" s="521"/>
      <c r="N46" s="425"/>
      <c r="O46" s="425"/>
      <c r="P46" s="456"/>
      <c r="Q46" s="425">
        <f>CUA!$C$9-N46</f>
        <v>-277954.58757129993</v>
      </c>
      <c r="R46" s="425">
        <f>CUA!$C$9-O46</f>
        <v>-277954.58757129993</v>
      </c>
      <c r="S46" s="425"/>
      <c r="T46" s="425"/>
      <c r="U46" s="425"/>
      <c r="V46" s="425"/>
      <c r="W46">
        <f>(CUA!$C$9-'Parameters &amp; DSA'!N46)/CUA!$C$9</f>
        <v>1</v>
      </c>
      <c r="X46">
        <f>(CUA!$C$9-'Parameters &amp; DSA'!O46)/CUA!$C$9</f>
        <v>1</v>
      </c>
    </row>
    <row r="47" spans="1:24" s="22" customFormat="1" ht="16.5" hidden="1" thickBot="1">
      <c r="A47" s="18" t="s">
        <v>248</v>
      </c>
      <c r="B47" s="23"/>
      <c r="C47" s="24"/>
      <c r="G47" s="495"/>
      <c r="K47" s="534"/>
      <c r="L47" s="535"/>
      <c r="M47" s="522"/>
      <c r="N47" s="427"/>
      <c r="O47" s="427"/>
      <c r="P47" s="457"/>
      <c r="Q47" s="427">
        <f>CUA!$C$9-N47</f>
        <v>-277954.58757129993</v>
      </c>
      <c r="R47" s="427">
        <f>CUA!$C$9-O47</f>
        <v>-277954.58757129993</v>
      </c>
      <c r="S47" s="427"/>
      <c r="T47" s="427"/>
      <c r="U47" s="427"/>
      <c r="V47" s="427"/>
      <c r="W47">
        <f>(CUA!$C$9-'Parameters &amp; DSA'!N47)/CUA!$C$9</f>
        <v>1</v>
      </c>
      <c r="X47">
        <f>(CUA!$C$9-'Parameters &amp; DSA'!O47)/CUA!$C$9</f>
        <v>1</v>
      </c>
    </row>
    <row r="48" spans="1:24" s="29" customFormat="1" ht="16.5" hidden="1" thickBot="1">
      <c r="A48" s="206" t="s">
        <v>77</v>
      </c>
      <c r="B48" s="113"/>
      <c r="C48" s="28"/>
      <c r="G48" s="507"/>
      <c r="K48" s="558"/>
      <c r="L48" s="559"/>
      <c r="M48" s="522"/>
      <c r="N48" s="428"/>
      <c r="O48" s="428"/>
      <c r="P48" s="458"/>
      <c r="Q48" s="428">
        <f>CUA!$C$9-N48</f>
        <v>-277954.58757129993</v>
      </c>
      <c r="R48" s="428">
        <f>CUA!$C$9-O48</f>
        <v>-277954.58757129993</v>
      </c>
      <c r="S48" s="428"/>
      <c r="T48" s="428"/>
      <c r="U48" s="428"/>
      <c r="V48" s="428"/>
      <c r="W48">
        <f>(CUA!$C$9-'Parameters &amp; DSA'!N48)/CUA!$C$9</f>
        <v>1</v>
      </c>
      <c r="X48">
        <f>(CUA!$C$9-'Parameters &amp; DSA'!O48)/CUA!$C$9</f>
        <v>1</v>
      </c>
    </row>
    <row r="49" spans="1:24" ht="16.5" hidden="1" thickBot="1">
      <c r="A49" s="231" t="s">
        <v>78</v>
      </c>
      <c r="B49" s="7">
        <f>$B$76+$B$84</f>
        <v>5889.84</v>
      </c>
      <c r="C49" s="4" t="s">
        <v>263</v>
      </c>
      <c r="D49" t="s">
        <v>261</v>
      </c>
      <c r="F49" s="2"/>
      <c r="G49" s="508"/>
      <c r="H49" s="2"/>
      <c r="I49" s="2"/>
      <c r="J49" s="2"/>
      <c r="K49" s="536"/>
      <c r="L49" s="537"/>
      <c r="M49" s="523"/>
      <c r="N49" s="33"/>
      <c r="O49" s="33"/>
      <c r="P49" s="452"/>
      <c r="Q49" s="33">
        <f>CUA!$C$9-N49</f>
        <v>-277954.58757129993</v>
      </c>
      <c r="R49" s="33">
        <f>CUA!$C$9-O49</f>
        <v>-277954.58757129993</v>
      </c>
      <c r="U49" s="33"/>
      <c r="V49" s="33"/>
      <c r="W49">
        <f>(CUA!$C$9-'Parameters &amp; DSA'!N49)/CUA!$C$9</f>
        <v>1</v>
      </c>
      <c r="X49">
        <f>(CUA!$C$9-'Parameters &amp; DSA'!O49)/CUA!$C$9</f>
        <v>1</v>
      </c>
    </row>
    <row r="50" spans="1:24" ht="16.5" hidden="1" thickBot="1">
      <c r="A50" s="231" t="s">
        <v>80</v>
      </c>
      <c r="B50" s="7">
        <f>$B$76+$B$84</f>
        <v>5889.84</v>
      </c>
      <c r="C50" s="4" t="s">
        <v>264</v>
      </c>
      <c r="D50" t="s">
        <v>261</v>
      </c>
      <c r="F50" s="2"/>
      <c r="G50" s="508"/>
      <c r="H50" s="2"/>
      <c r="I50" s="2"/>
      <c r="J50" s="2"/>
      <c r="K50" s="536"/>
      <c r="L50" s="537"/>
      <c r="M50" s="523"/>
      <c r="N50" s="33"/>
      <c r="O50" s="33"/>
      <c r="P50" s="452"/>
      <c r="Q50" s="33">
        <f>CUA!$C$9-N50</f>
        <v>-277954.58757129993</v>
      </c>
      <c r="R50" s="33">
        <f>CUA!$C$9-O50</f>
        <v>-277954.58757129993</v>
      </c>
      <c r="U50" s="33"/>
      <c r="V50" s="33"/>
      <c r="W50">
        <f>(CUA!$C$9-'Parameters &amp; DSA'!N50)/CUA!$C$9</f>
        <v>1</v>
      </c>
      <c r="X50">
        <f>(CUA!$C$9-'Parameters &amp; DSA'!O50)/CUA!$C$9</f>
        <v>1</v>
      </c>
    </row>
    <row r="51" spans="1:24" ht="16.5" hidden="1" thickBot="1">
      <c r="A51" s="231" t="s">
        <v>81</v>
      </c>
      <c r="B51" s="7">
        <f>$B$76+$B$84</f>
        <v>5889.84</v>
      </c>
      <c r="C51" s="4" t="s">
        <v>265</v>
      </c>
      <c r="D51" t="s">
        <v>261</v>
      </c>
      <c r="F51" s="2"/>
      <c r="G51" s="508"/>
      <c r="H51" s="2"/>
      <c r="I51" s="2"/>
      <c r="J51" s="2"/>
      <c r="K51" s="536"/>
      <c r="L51" s="537"/>
      <c r="M51" s="523"/>
      <c r="N51" s="33"/>
      <c r="O51" s="33"/>
      <c r="P51" s="452"/>
      <c r="Q51" s="33">
        <f>CUA!$C$9-N51</f>
        <v>-277954.58757129993</v>
      </c>
      <c r="R51" s="33">
        <f>CUA!$C$9-O51</f>
        <v>-277954.58757129993</v>
      </c>
      <c r="U51" s="33"/>
      <c r="V51" s="33"/>
      <c r="W51">
        <f>(CUA!$C$9-'Parameters &amp; DSA'!N51)/CUA!$C$9</f>
        <v>1</v>
      </c>
      <c r="X51">
        <f>(CUA!$C$9-'Parameters &amp; DSA'!O51)/CUA!$C$9</f>
        <v>1</v>
      </c>
    </row>
    <row r="52" spans="1:24" ht="16.5" hidden="1" thickBot="1">
      <c r="A52" s="231" t="s">
        <v>82</v>
      </c>
      <c r="B52" s="7">
        <f>$B$76+$B$84</f>
        <v>5889.84</v>
      </c>
      <c r="C52" s="4" t="s">
        <v>266</v>
      </c>
      <c r="D52" t="s">
        <v>261</v>
      </c>
      <c r="F52" s="2"/>
      <c r="G52" s="508"/>
      <c r="H52" s="2"/>
      <c r="I52" s="2"/>
      <c r="J52" s="2"/>
      <c r="K52" s="536"/>
      <c r="L52" s="537"/>
      <c r="M52" s="523"/>
      <c r="N52" s="33"/>
      <c r="O52" s="33"/>
      <c r="P52" s="452"/>
      <c r="Q52" s="33">
        <f>CUA!$C$9-N52</f>
        <v>-277954.58757129993</v>
      </c>
      <c r="R52" s="33">
        <f>CUA!$C$9-O52</f>
        <v>-277954.58757129993</v>
      </c>
      <c r="U52" s="33"/>
      <c r="V52" s="33"/>
      <c r="W52">
        <f>(CUA!$C$9-'Parameters &amp; DSA'!N52)/CUA!$C$9</f>
        <v>1</v>
      </c>
      <c r="X52">
        <f>(CUA!$C$9-'Parameters &amp; DSA'!O52)/CUA!$C$9</f>
        <v>1</v>
      </c>
    </row>
    <row r="53" spans="1:24" ht="16.5" hidden="1" thickBot="1">
      <c r="A53" s="231" t="s">
        <v>83</v>
      </c>
      <c r="B53" s="7">
        <f>IF(H1=1,0.5*(SUM(B96:B99))+0.5*(SUM(B104:B107))+((1-EXP(-B101))*0.5*(12*B100))+((1-EXP(-B109))*0.5*(12*B108)),0.5*(SUM(B96:B97))+0.5*(SUM(B104:B105))+((1-EXP(-B101))*0.5*(12*B100))+((1-EXP(-B109))*0.5*(12*B108)))</f>
        <v>518165.90162061516</v>
      </c>
      <c r="C53" s="4" t="s">
        <v>267</v>
      </c>
      <c r="D53" t="s">
        <v>261</v>
      </c>
      <c r="F53" s="2"/>
      <c r="G53" s="508"/>
      <c r="H53" s="2"/>
      <c r="I53" s="2"/>
      <c r="J53" s="2"/>
      <c r="K53" s="536"/>
      <c r="L53" s="537"/>
      <c r="M53" s="523"/>
      <c r="N53" s="33"/>
      <c r="O53" s="33"/>
      <c r="P53" s="452"/>
      <c r="Q53" s="33">
        <f>CUA!$C$9-N53</f>
        <v>-277954.58757129993</v>
      </c>
      <c r="R53" s="33">
        <f>CUA!$C$9-O53</f>
        <v>-277954.58757129993</v>
      </c>
      <c r="U53" s="33"/>
      <c r="V53" s="33"/>
      <c r="W53">
        <f>(CUA!$C$9-'Parameters &amp; DSA'!N53)/CUA!$C$9</f>
        <v>1</v>
      </c>
      <c r="X53">
        <f>(CUA!$C$9-'Parameters &amp; DSA'!O53)/CUA!$C$9</f>
        <v>1</v>
      </c>
    </row>
    <row r="54" spans="1:24" ht="16.5" hidden="1" thickBot="1">
      <c r="A54" s="231" t="s">
        <v>84</v>
      </c>
      <c r="B54" s="7">
        <f>IF(H1=1,0.5*(SUM(B97:B99))+0.5*(SUM(B105:B107))+((1-EXP(-B101))*0.5*(12*B100))+((1-EXP(-B109))*0.5*(12*B108)),0.5*(SUM(B97))+0.5*(SUM(B105))+((1-EXP(-B101))*0.5*(12*B100))+((1-EXP(-B109))*0.5*(12*B108)))</f>
        <v>484165.90162061516</v>
      </c>
      <c r="C54" s="4" t="s">
        <v>268</v>
      </c>
      <c r="D54" t="s">
        <v>261</v>
      </c>
      <c r="F54" s="2"/>
      <c r="G54" s="508"/>
      <c r="H54" s="2"/>
      <c r="I54" s="2"/>
      <c r="J54" s="2"/>
      <c r="K54" s="536"/>
      <c r="L54" s="537"/>
      <c r="M54" s="523"/>
      <c r="N54" s="33"/>
      <c r="O54" s="33"/>
      <c r="P54" s="452"/>
      <c r="Q54" s="33">
        <f>CUA!$C$9-N54</f>
        <v>-277954.58757129993</v>
      </c>
      <c r="R54" s="33">
        <f>CUA!$C$9-O54</f>
        <v>-277954.58757129993</v>
      </c>
      <c r="U54" s="33"/>
      <c r="V54" s="33"/>
      <c r="W54">
        <f>(CUA!$C$9-'Parameters &amp; DSA'!N54)/CUA!$C$9</f>
        <v>1</v>
      </c>
      <c r="X54">
        <f>(CUA!$C$9-'Parameters &amp; DSA'!O54)/CUA!$C$9</f>
        <v>1</v>
      </c>
    </row>
    <row r="55" spans="1:24" ht="16.899999999999999" hidden="1" customHeight="1">
      <c r="G55" s="508"/>
      <c r="H55" s="2"/>
      <c r="I55" s="114"/>
      <c r="J55" s="114"/>
      <c r="K55" s="536"/>
      <c r="L55" s="537"/>
      <c r="M55" s="523"/>
      <c r="N55" s="33"/>
      <c r="O55" s="33"/>
      <c r="P55" s="452"/>
      <c r="Q55" s="33">
        <f>CUA!$C$9-N55</f>
        <v>-277954.58757129993</v>
      </c>
      <c r="R55" s="33">
        <f>CUA!$C$9-O55</f>
        <v>-277954.58757129993</v>
      </c>
      <c r="U55" s="33"/>
      <c r="V55" s="33"/>
      <c r="W55">
        <f>(CUA!$C$9-'Parameters &amp; DSA'!N55)/CUA!$C$9</f>
        <v>1</v>
      </c>
      <c r="X55">
        <f>(CUA!$C$9-'Parameters &amp; DSA'!O55)/CUA!$C$9</f>
        <v>1</v>
      </c>
    </row>
    <row r="56" spans="1:24" s="29" customFormat="1" ht="16.5" hidden="1" thickBot="1">
      <c r="A56" s="207" t="s">
        <v>85</v>
      </c>
      <c r="B56" s="113"/>
      <c r="C56" s="28"/>
      <c r="G56" s="509"/>
      <c r="H56" s="209"/>
      <c r="I56" s="115"/>
      <c r="J56" s="115"/>
      <c r="K56" s="558"/>
      <c r="L56" s="559"/>
      <c r="M56" s="522"/>
      <c r="N56" s="428"/>
      <c r="O56" s="428"/>
      <c r="P56" s="458"/>
      <c r="Q56" s="428">
        <f>CUA!$C$9-N56</f>
        <v>-277954.58757129993</v>
      </c>
      <c r="R56" s="428">
        <f>CUA!$C$9-O56</f>
        <v>-277954.58757129993</v>
      </c>
      <c r="S56" s="428"/>
      <c r="T56" s="428"/>
      <c r="U56" s="428"/>
      <c r="V56" s="428"/>
      <c r="W56">
        <f>(CUA!$C$9-'Parameters &amp; DSA'!N56)/CUA!$C$9</f>
        <v>1</v>
      </c>
      <c r="X56">
        <f>(CUA!$C$9-'Parameters &amp; DSA'!O56)/CUA!$C$9</f>
        <v>1</v>
      </c>
    </row>
    <row r="57" spans="1:24" ht="16.5" hidden="1" thickBot="1">
      <c r="A57" s="231" t="s">
        <v>86</v>
      </c>
      <c r="B57" s="7">
        <f>$B$88+$B$92</f>
        <v>691.08</v>
      </c>
      <c r="C57" s="4" t="s">
        <v>269</v>
      </c>
      <c r="D57" t="s">
        <v>261</v>
      </c>
      <c r="F57" s="2"/>
      <c r="G57" s="508"/>
      <c r="H57" s="2"/>
      <c r="I57" s="2"/>
      <c r="J57" s="2"/>
      <c r="K57" s="536"/>
      <c r="L57" s="537"/>
      <c r="M57" s="523"/>
      <c r="N57" s="33"/>
      <c r="O57" s="33"/>
      <c r="P57" s="452"/>
      <c r="Q57" s="33">
        <f>CUA!$C$9-N57</f>
        <v>-277954.58757129993</v>
      </c>
      <c r="R57" s="33">
        <f>CUA!$C$9-O57</f>
        <v>-277954.58757129993</v>
      </c>
      <c r="U57" s="33"/>
      <c r="V57" s="33"/>
      <c r="W57">
        <f>(CUA!$C$9-'Parameters &amp; DSA'!N57)/CUA!$C$9</f>
        <v>1</v>
      </c>
      <c r="X57">
        <f>(CUA!$C$9-'Parameters &amp; DSA'!O57)/CUA!$C$9</f>
        <v>1</v>
      </c>
    </row>
    <row r="58" spans="1:24" ht="16.5" hidden="1" thickBot="1">
      <c r="A58" s="231" t="s">
        <v>87</v>
      </c>
      <c r="B58" s="7">
        <f>$B$88+$B$92</f>
        <v>691.08</v>
      </c>
      <c r="C58" s="4" t="s">
        <v>270</v>
      </c>
      <c r="D58" t="s">
        <v>261</v>
      </c>
      <c r="F58" s="2"/>
      <c r="G58" s="508"/>
      <c r="H58" s="2"/>
      <c r="I58" s="2"/>
      <c r="J58" s="2"/>
      <c r="K58" s="536"/>
      <c r="L58" s="537"/>
      <c r="M58" s="523"/>
      <c r="N58" s="33"/>
      <c r="O58" s="33"/>
      <c r="P58" s="452"/>
      <c r="Q58" s="33">
        <f>CUA!$C$9-N58</f>
        <v>-277954.58757129993</v>
      </c>
      <c r="R58" s="33">
        <f>CUA!$C$9-O58</f>
        <v>-277954.58757129993</v>
      </c>
      <c r="U58" s="33"/>
      <c r="V58" s="33"/>
      <c r="W58">
        <f>(CUA!$C$9-'Parameters &amp; DSA'!N58)/CUA!$C$9</f>
        <v>1</v>
      </c>
      <c r="X58">
        <f>(CUA!$C$9-'Parameters &amp; DSA'!O58)/CUA!$C$9</f>
        <v>1</v>
      </c>
    </row>
    <row r="59" spans="1:24" ht="16.5" hidden="1" thickBot="1">
      <c r="A59" s="231" t="s">
        <v>88</v>
      </c>
      <c r="B59" s="7">
        <f>$B$88+$B$92</f>
        <v>691.08</v>
      </c>
      <c r="C59" s="4" t="s">
        <v>271</v>
      </c>
      <c r="D59" t="s">
        <v>261</v>
      </c>
      <c r="F59" s="2"/>
      <c r="G59" s="508"/>
      <c r="H59" s="2"/>
      <c r="I59" s="2"/>
      <c r="J59" s="2"/>
      <c r="K59" s="536"/>
      <c r="L59" s="537"/>
      <c r="M59" s="523"/>
      <c r="N59" s="33"/>
      <c r="O59" s="33"/>
      <c r="P59" s="452"/>
      <c r="Q59" s="33">
        <f>CUA!$C$9-N59</f>
        <v>-277954.58757129993</v>
      </c>
      <c r="R59" s="33">
        <f>CUA!$C$9-O59</f>
        <v>-277954.58757129993</v>
      </c>
      <c r="U59" s="33"/>
      <c r="V59" s="33"/>
      <c r="W59">
        <f>(CUA!$C$9-'Parameters &amp; DSA'!N59)/CUA!$C$9</f>
        <v>1</v>
      </c>
      <c r="X59">
        <f>(CUA!$C$9-'Parameters &amp; DSA'!O59)/CUA!$C$9</f>
        <v>1</v>
      </c>
    </row>
    <row r="60" spans="1:24" ht="16.5" hidden="1" thickBot="1">
      <c r="A60" s="231" t="s">
        <v>89</v>
      </c>
      <c r="B60" s="7">
        <f>$B$88+$B$92</f>
        <v>691.08</v>
      </c>
      <c r="C60" s="4" t="s">
        <v>272</v>
      </c>
      <c r="D60" t="s">
        <v>261</v>
      </c>
      <c r="F60" s="2"/>
      <c r="G60" s="508"/>
      <c r="H60" s="2"/>
      <c r="I60" s="2"/>
      <c r="J60" s="2"/>
      <c r="K60" s="536"/>
      <c r="L60" s="537"/>
      <c r="M60" s="523"/>
      <c r="N60" s="33"/>
      <c r="O60" s="33"/>
      <c r="P60" s="452"/>
      <c r="Q60" s="33">
        <f>CUA!$C$9-N60</f>
        <v>-277954.58757129993</v>
      </c>
      <c r="R60" s="33">
        <f>CUA!$C$9-O60</f>
        <v>-277954.58757129993</v>
      </c>
      <c r="U60" s="33"/>
      <c r="V60" s="33"/>
      <c r="W60">
        <f>(CUA!$C$9-'Parameters &amp; DSA'!N60)/CUA!$C$9</f>
        <v>1</v>
      </c>
      <c r="X60">
        <f>(CUA!$C$9-'Parameters &amp; DSA'!O60)/CUA!$C$9</f>
        <v>1</v>
      </c>
    </row>
    <row r="61" spans="1:24" ht="16.5" hidden="1" thickBot="1">
      <c r="A61" s="231" t="s">
        <v>90</v>
      </c>
      <c r="B61" s="7">
        <f>B104+B106</f>
        <v>54000</v>
      </c>
      <c r="C61" s="4" t="s">
        <v>273</v>
      </c>
      <c r="D61" t="s">
        <v>261</v>
      </c>
      <c r="F61" s="2"/>
      <c r="G61" s="508"/>
      <c r="H61" s="2"/>
      <c r="I61" s="2"/>
      <c r="J61" s="2" t="e">
        <f>G61^2/H61</f>
        <v>#DIV/0!</v>
      </c>
      <c r="K61" s="536"/>
      <c r="L61" s="537"/>
      <c r="M61" s="523"/>
      <c r="N61" s="33"/>
      <c r="O61" s="33"/>
      <c r="P61" s="452"/>
      <c r="Q61" s="33">
        <f>CUA!$C$9-N61</f>
        <v>-277954.58757129993</v>
      </c>
      <c r="R61" s="33">
        <f>CUA!$C$9-O61</f>
        <v>-277954.58757129993</v>
      </c>
      <c r="U61" s="33"/>
      <c r="V61" s="33"/>
      <c r="W61">
        <f>(CUA!$C$9-'Parameters &amp; DSA'!N61)/CUA!$C$9</f>
        <v>1</v>
      </c>
      <c r="X61">
        <f>(CUA!$C$9-'Parameters &amp; DSA'!O61)/CUA!$C$9</f>
        <v>1</v>
      </c>
    </row>
    <row r="62" spans="1:24" ht="16.899999999999999" hidden="1" customHeight="1">
      <c r="B62" s="7"/>
      <c r="G62" s="508"/>
      <c r="H62" s="2"/>
      <c r="I62" s="114"/>
      <c r="J62" s="114"/>
      <c r="K62" s="536"/>
      <c r="L62" s="537"/>
      <c r="M62" s="523"/>
      <c r="N62" s="33"/>
      <c r="O62" s="33"/>
      <c r="P62" s="452"/>
      <c r="Q62" s="33">
        <f>CUA!$C$9-N62</f>
        <v>-277954.58757129993</v>
      </c>
      <c r="R62" s="33">
        <f>CUA!$C$9-O62</f>
        <v>-277954.58757129993</v>
      </c>
      <c r="U62" s="33"/>
      <c r="V62" s="33"/>
      <c r="W62">
        <f>(CUA!$C$9-'Parameters &amp; DSA'!N62)/CUA!$C$9</f>
        <v>1</v>
      </c>
      <c r="X62">
        <f>(CUA!$C$9-'Parameters &amp; DSA'!O62)/CUA!$C$9</f>
        <v>1</v>
      </c>
    </row>
    <row r="63" spans="1:24" s="29" customFormat="1" ht="16.5" hidden="1" thickBot="1">
      <c r="A63" s="207" t="s">
        <v>91</v>
      </c>
      <c r="B63" s="113"/>
      <c r="C63" s="28"/>
      <c r="G63" s="509"/>
      <c r="H63" s="209"/>
      <c r="I63" s="115"/>
      <c r="J63" s="115"/>
      <c r="K63" s="558"/>
      <c r="L63" s="559"/>
      <c r="M63" s="522"/>
      <c r="N63" s="428"/>
      <c r="O63" s="428"/>
      <c r="P63" s="458"/>
      <c r="Q63" s="428">
        <f>CUA!$C$9-N63</f>
        <v>-277954.58757129993</v>
      </c>
      <c r="R63" s="428">
        <f>CUA!$C$9-O63</f>
        <v>-277954.58757129993</v>
      </c>
      <c r="S63" s="428"/>
      <c r="T63" s="428"/>
      <c r="U63" s="428"/>
      <c r="V63" s="428"/>
      <c r="W63">
        <f>(CUA!$C$9-'Parameters &amp; DSA'!N63)/CUA!$C$9</f>
        <v>1</v>
      </c>
      <c r="X63">
        <f>(CUA!$C$9-'Parameters &amp; DSA'!O63)/CUA!$C$9</f>
        <v>1</v>
      </c>
    </row>
    <row r="64" spans="1:24" s="96" customFormat="1" ht="16.5" hidden="1" thickBot="1">
      <c r="A64" s="232" t="s">
        <v>92</v>
      </c>
      <c r="B64" s="110">
        <f>(B79-B76)+(B85-B84)+(B89-B88)+(B93-B92)</f>
        <v>2283.8400000000006</v>
      </c>
      <c r="C64" s="102" t="s">
        <v>247</v>
      </c>
      <c r="D64" s="96" t="s">
        <v>261</v>
      </c>
      <c r="F64" s="111"/>
      <c r="G64" s="508"/>
      <c r="H64" s="2"/>
      <c r="I64" s="2"/>
      <c r="J64" s="2"/>
      <c r="K64" s="538"/>
      <c r="L64" s="539"/>
      <c r="M64" s="244"/>
      <c r="N64" s="424"/>
      <c r="O64" s="424"/>
      <c r="P64" s="453"/>
      <c r="Q64" s="424">
        <f>CUA!$C$9-N64</f>
        <v>-277954.58757129993</v>
      </c>
      <c r="R64" s="424">
        <f>CUA!$C$9-O64</f>
        <v>-277954.58757129993</v>
      </c>
      <c r="S64" s="424"/>
      <c r="T64" s="424"/>
      <c r="U64" s="424"/>
      <c r="V64" s="424"/>
      <c r="W64">
        <f>(CUA!$C$9-'Parameters &amp; DSA'!N64)/CUA!$C$9</f>
        <v>1</v>
      </c>
      <c r="X64">
        <f>(CUA!$C$9-'Parameters &amp; DSA'!O64)/CUA!$C$9</f>
        <v>1</v>
      </c>
    </row>
    <row r="65" spans="1:24" s="104" customFormat="1" ht="7.9" customHeight="1" thickBot="1">
      <c r="A65" s="205"/>
      <c r="B65" s="112"/>
      <c r="C65" s="106"/>
      <c r="G65" s="490"/>
      <c r="K65" s="532"/>
      <c r="L65" s="533"/>
      <c r="M65" s="521"/>
      <c r="N65" s="425"/>
      <c r="O65" s="425"/>
      <c r="P65" s="456"/>
      <c r="Q65" s="425"/>
      <c r="R65" s="425"/>
      <c r="S65" s="425"/>
      <c r="T65" s="425"/>
      <c r="U65" s="425"/>
      <c r="V65" s="425"/>
      <c r="W65">
        <f>(CUA!$C$9-'Parameters &amp; DSA'!N65)/CUA!$C$9</f>
        <v>1</v>
      </c>
      <c r="X65">
        <f>(CUA!$C$9-'Parameters &amp; DSA'!O65)/CUA!$C$9</f>
        <v>1</v>
      </c>
    </row>
    <row r="66" spans="1:24" s="22" customFormat="1">
      <c r="A66" s="25" t="s">
        <v>300</v>
      </c>
      <c r="B66" s="26"/>
      <c r="C66" s="24"/>
      <c r="G66" s="495"/>
      <c r="K66" s="534"/>
      <c r="L66" s="535"/>
      <c r="M66" s="522"/>
      <c r="N66" s="427"/>
      <c r="O66" s="427"/>
      <c r="P66" s="457"/>
      <c r="Q66" s="427"/>
      <c r="R66" s="427"/>
      <c r="S66" s="427"/>
      <c r="T66" s="427"/>
      <c r="U66" s="427"/>
      <c r="V66" s="427"/>
      <c r="W66">
        <f>(CUA!$C$9-'Parameters &amp; DSA'!N66)/CUA!$C$9</f>
        <v>1</v>
      </c>
      <c r="X66">
        <f>(CUA!$C$9-'Parameters &amp; DSA'!O66)/CUA!$C$9</f>
        <v>1</v>
      </c>
    </row>
    <row r="67" spans="1:24">
      <c r="A67" s="8" t="s">
        <v>233</v>
      </c>
      <c r="B67" s="16">
        <f>IF($B$1=0,$F$67,$G$67)</f>
        <v>0.91693029999999998</v>
      </c>
      <c r="C67" s="4" t="s">
        <v>255</v>
      </c>
      <c r="D67" t="s">
        <v>238</v>
      </c>
      <c r="E67" t="s">
        <v>19</v>
      </c>
      <c r="F67" s="27">
        <f ca="1">BETAINV(RAND(),I67,J67)</f>
        <v>0.91693250100112755</v>
      </c>
      <c r="G67" s="510">
        <v>0.91693029999999998</v>
      </c>
      <c r="H67" s="27">
        <v>3.7491999999999998E-3</v>
      </c>
      <c r="I67" s="27">
        <f>G67*(G67*(1-G67)/(H67^2)-1)</f>
        <v>4967.7292763509786</v>
      </c>
      <c r="J67" s="27">
        <f>G67*(1-G67)/(H67^2)-1-I67</f>
        <v>450.05359804086856</v>
      </c>
      <c r="K67" s="541">
        <f t="shared" ref="K67" si="21">_xlfn.BETA.INV(0.025,I67,J67)</f>
        <v>0.90943761215074514</v>
      </c>
      <c r="L67" s="537">
        <f t="shared" ref="L67" si="22">_xlfn.BETA.INV(0.975,I67,J67)</f>
        <v>0.92413146407446067</v>
      </c>
      <c r="M67" s="523"/>
      <c r="N67" s="33">
        <v>-277954.58757130051</v>
      </c>
      <c r="O67" s="33">
        <v>-277954.58757130051</v>
      </c>
      <c r="P67" s="452" t="s">
        <v>233</v>
      </c>
      <c r="Q67" s="33">
        <f>CUA!$C$9-N67</f>
        <v>5.8207660913467407E-10</v>
      </c>
      <c r="R67" s="33">
        <f>CUA!$C$9-O67</f>
        <v>5.8207660913467407E-10</v>
      </c>
      <c r="S67" s="33">
        <v>1155193.5130761699</v>
      </c>
      <c r="T67" s="33">
        <v>1173077.604922543</v>
      </c>
      <c r="U67" s="33">
        <v>912292.34576852527</v>
      </c>
      <c r="V67" s="33">
        <v>930176.4376148975</v>
      </c>
      <c r="W67">
        <f>(CUA!$C$9-'Parameters &amp; DSA'!N67)/CUA!$C$9</f>
        <v>-2.094142839018125E-15</v>
      </c>
      <c r="X67">
        <f>(CUA!$C$9-'Parameters &amp; DSA'!O67)/CUA!$C$9</f>
        <v>-2.094142839018125E-15</v>
      </c>
    </row>
    <row r="68" spans="1:24">
      <c r="A68" s="8" t="s">
        <v>234</v>
      </c>
      <c r="B68" s="16">
        <f>IF($B$1=0,$F$68,$G$68)</f>
        <v>0.91451020000000005</v>
      </c>
      <c r="C68" s="4" t="s">
        <v>256</v>
      </c>
      <c r="D68" t="s">
        <v>238</v>
      </c>
      <c r="E68" t="s">
        <v>19</v>
      </c>
      <c r="F68" s="27">
        <f ca="1">BETAINV(RAND(),I68,J68)</f>
        <v>0.91385601084161772</v>
      </c>
      <c r="G68" s="510">
        <v>0.91451020000000005</v>
      </c>
      <c r="H68" s="27">
        <v>3.4979E-3</v>
      </c>
      <c r="I68" s="27">
        <f>G68*(G68*(1-G68)/(H68^2)-1)</f>
        <v>5842.6336765962096</v>
      </c>
      <c r="J68" s="27">
        <f>G68*(1-G68)/(H68^2)-1-I68</f>
        <v>546.17825420151075</v>
      </c>
      <c r="K68" s="541">
        <f t="shared" ref="K68:K70" si="23">_xlfn.BETA.INV(0.025,I68,J68)</f>
        <v>0.90753260224029297</v>
      </c>
      <c r="L68" s="537">
        <f t="shared" ref="L68:L70" si="24">_xlfn.BETA.INV(0.975,I68,J68)</f>
        <v>0.92124201229690139</v>
      </c>
      <c r="M68" s="523"/>
      <c r="N68" s="33">
        <v>-279904.81105611986</v>
      </c>
      <c r="O68" s="33">
        <v>-276098.6457281654</v>
      </c>
      <c r="P68" s="452" t="s">
        <v>234</v>
      </c>
      <c r="Q68" s="33">
        <f>CUA!$C$9-N68</f>
        <v>1950.2234848199296</v>
      </c>
      <c r="R68" s="33">
        <f>CUA!$C$9-O68</f>
        <v>-1855.9418431345257</v>
      </c>
      <c r="S68" s="33">
        <v>1161273.3353941597</v>
      </c>
      <c r="T68" s="33">
        <v>1167245.5293813918</v>
      </c>
      <c r="U68" s="33">
        <v>919727.94235651009</v>
      </c>
      <c r="V68" s="33">
        <v>923036.34487113822</v>
      </c>
      <c r="W68">
        <f>(CUA!$C$9-'Parameters &amp; DSA'!N68)/CUA!$C$9</f>
        <v>-7.0163385388257535E-3</v>
      </c>
      <c r="X68">
        <f>(CUA!$C$9-'Parameters &amp; DSA'!O68)/CUA!$C$9</f>
        <v>6.6771405334637478E-3</v>
      </c>
    </row>
    <row r="69" spans="1:24">
      <c r="A69" s="8" t="s">
        <v>235</v>
      </c>
      <c r="B69" s="16">
        <f>IF($B$1=0,$F$69,$G$69)</f>
        <v>0.90845659999999995</v>
      </c>
      <c r="C69" s="4" t="s">
        <v>257</v>
      </c>
      <c r="D69" t="s">
        <v>238</v>
      </c>
      <c r="E69" t="s">
        <v>19</v>
      </c>
      <c r="F69" s="27">
        <f ca="1">BETAINV(RAND(),I69,J69)</f>
        <v>0.90898562809759165</v>
      </c>
      <c r="G69" s="510">
        <v>0.90845659999999995</v>
      </c>
      <c r="H69" s="27">
        <v>5.0286999999999997E-3</v>
      </c>
      <c r="I69" s="27">
        <f>G69*(G69*(1-G69)/(H69^2)-1)</f>
        <v>2986.7018738937668</v>
      </c>
      <c r="J69" s="27">
        <f>G69*(1-G69)/(H69^2)-1-I69</f>
        <v>300.9641234623723</v>
      </c>
      <c r="K69" s="541">
        <f t="shared" si="23"/>
        <v>0.89836795897600819</v>
      </c>
      <c r="L69" s="537">
        <f t="shared" si="24"/>
        <v>0.91807462177456056</v>
      </c>
      <c r="M69" s="523"/>
      <c r="N69" s="33">
        <v>-279547.02161879482</v>
      </c>
      <c r="O69" s="33">
        <v>-276453.23962081299</v>
      </c>
      <c r="P69" s="452" t="s">
        <v>235</v>
      </c>
      <c r="Q69" s="33">
        <f>CUA!$C$9-N69</f>
        <v>1592.4340474948986</v>
      </c>
      <c r="R69" s="33">
        <f>CUA!$C$9-O69</f>
        <v>-1501.3479504869319</v>
      </c>
      <c r="S69" s="33">
        <v>1162413.9876793802</v>
      </c>
      <c r="T69" s="33">
        <v>1166123.3635268202</v>
      </c>
      <c r="U69" s="33">
        <v>918999.67938325298</v>
      </c>
      <c r="V69" s="33">
        <v>923711.39998694672</v>
      </c>
      <c r="W69">
        <f>(CUA!$C$9-'Parameters &amp; DSA'!N69)/CUA!$C$9</f>
        <v>-5.7291159013031692E-3</v>
      </c>
      <c r="X69">
        <f>(CUA!$C$9-'Parameters &amp; DSA'!O69)/CUA!$C$9</f>
        <v>5.4014145389912355E-3</v>
      </c>
    </row>
    <row r="70" spans="1:24">
      <c r="A70" s="8" t="s">
        <v>236</v>
      </c>
      <c r="B70" s="16">
        <f>IF($B$1=0,$F$70,$G$70)</f>
        <v>0.8660196</v>
      </c>
      <c r="C70" s="4" t="s">
        <v>258</v>
      </c>
      <c r="D70" t="s">
        <v>238</v>
      </c>
      <c r="E70" t="s">
        <v>19</v>
      </c>
      <c r="F70" s="27">
        <f ca="1">BETAINV(RAND(),I70,J70)</f>
        <v>0.85660303059501575</v>
      </c>
      <c r="G70" s="510">
        <v>0.8660196</v>
      </c>
      <c r="H70" s="27">
        <v>2.3361699999999999E-2</v>
      </c>
      <c r="I70" s="27">
        <f>G70*(G70*(1-G70)/(H70^2)-1)</f>
        <v>183.24841017242713</v>
      </c>
      <c r="J70" s="27">
        <f>G70*(1-G70)/(H70^2)-1-I70</f>
        <v>28.35004576601483</v>
      </c>
      <c r="K70" s="541">
        <f t="shared" si="23"/>
        <v>0.81709168064399995</v>
      </c>
      <c r="L70" s="537">
        <f t="shared" si="24"/>
        <v>0.90840287958193144</v>
      </c>
      <c r="M70" s="523"/>
      <c r="N70" s="33">
        <v>-276874.99525187188</v>
      </c>
      <c r="O70" s="33">
        <v>-278896.60097546672</v>
      </c>
      <c r="P70" s="452" t="s">
        <v>236</v>
      </c>
      <c r="Q70" s="33">
        <f>CUA!$C$9-N70</f>
        <v>-1079.5923194280476</v>
      </c>
      <c r="R70" s="33">
        <f>CUA!$C$9-O70</f>
        <v>942.01340416679159</v>
      </c>
      <c r="S70" s="33">
        <v>1161911.5191518464</v>
      </c>
      <c r="T70" s="33">
        <v>1166393.1966934332</v>
      </c>
      <c r="U70" s="33">
        <v>918340.66792233055</v>
      </c>
      <c r="V70" s="33">
        <v>924072.13582124887</v>
      </c>
      <c r="W70">
        <f>(CUA!$C$9-'Parameters &amp; DSA'!N70)/CUA!$C$9</f>
        <v>3.8840600864380927E-3</v>
      </c>
      <c r="X70">
        <f>(CUA!$C$9-'Parameters &amp; DSA'!O70)/CUA!$C$9</f>
        <v>-3.3890910468428576E-3</v>
      </c>
    </row>
    <row r="71" spans="1:24" s="96" customFormat="1" ht="16.5" thickBot="1">
      <c r="A71" s="227" t="s">
        <v>237</v>
      </c>
      <c r="B71" s="116">
        <f>0.5*($B$112)+0.5*($B$113)</f>
        <v>0.7</v>
      </c>
      <c r="C71" s="102" t="s">
        <v>259</v>
      </c>
      <c r="D71" s="96" t="s">
        <v>331</v>
      </c>
      <c r="F71" s="90"/>
      <c r="G71" s="511"/>
      <c r="H71" s="90"/>
      <c r="I71" s="90"/>
      <c r="J71" s="90"/>
      <c r="K71" s="538"/>
      <c r="L71" s="539"/>
      <c r="M71" s="244"/>
      <c r="N71" s="424"/>
      <c r="O71" s="424"/>
      <c r="P71" s="453"/>
      <c r="Q71" s="424"/>
      <c r="R71" s="424"/>
      <c r="S71" s="424"/>
      <c r="T71" s="424"/>
      <c r="U71" s="424"/>
      <c r="V71" s="424"/>
      <c r="W71">
        <f>(CUA!$C$9-'Parameters &amp; DSA'!N71)/CUA!$C$9</f>
        <v>1</v>
      </c>
      <c r="X71">
        <f>(CUA!$C$9-'Parameters &amp; DSA'!O71)/CUA!$C$9</f>
        <v>1</v>
      </c>
    </row>
    <row r="72" spans="1:24" ht="7.15" customHeight="1" thickBot="1">
      <c r="G72" s="510"/>
      <c r="K72" s="536"/>
      <c r="L72" s="537"/>
      <c r="M72" s="523"/>
      <c r="N72" s="33"/>
      <c r="O72" s="33"/>
      <c r="P72" s="452"/>
      <c r="Q72" s="33"/>
      <c r="R72" s="33"/>
      <c r="U72" s="33"/>
      <c r="V72" s="33"/>
      <c r="W72">
        <f>(CUA!$C$9-'Parameters &amp; DSA'!N72)/CUA!$C$9</f>
        <v>1</v>
      </c>
      <c r="X72">
        <f>(CUA!$C$9-'Parameters &amp; DSA'!O72)/CUA!$C$9</f>
        <v>1</v>
      </c>
    </row>
    <row r="73" spans="1:24" s="298" customFormat="1">
      <c r="A73" s="177" t="s">
        <v>301</v>
      </c>
      <c r="B73" s="296"/>
      <c r="C73" s="297"/>
      <c r="G73" s="504"/>
      <c r="K73" s="560"/>
      <c r="L73" s="556"/>
      <c r="M73" s="530"/>
      <c r="N73" s="426"/>
      <c r="O73" s="426"/>
      <c r="P73" s="455"/>
      <c r="Q73" s="426"/>
      <c r="R73" s="426"/>
      <c r="S73" s="426"/>
      <c r="T73" s="426"/>
      <c r="U73" s="426"/>
      <c r="V73" s="426"/>
      <c r="W73">
        <f>(CUA!$C$9-'Parameters &amp; DSA'!N73)/CUA!$C$9</f>
        <v>1</v>
      </c>
      <c r="X73">
        <f>(CUA!$C$9-'Parameters &amp; DSA'!O73)/CUA!$C$9</f>
        <v>1</v>
      </c>
    </row>
    <row r="74" spans="1:24" s="29" customFormat="1">
      <c r="A74" s="294" t="s">
        <v>254</v>
      </c>
      <c r="B74" s="113"/>
      <c r="C74" s="28"/>
      <c r="G74" s="507"/>
      <c r="K74" s="558"/>
      <c r="L74" s="559"/>
      <c r="M74" s="522"/>
      <c r="N74" s="428"/>
      <c r="O74" s="428"/>
      <c r="P74" s="458"/>
      <c r="Q74" s="428"/>
      <c r="R74" s="428"/>
      <c r="S74" s="428"/>
      <c r="T74" s="428"/>
      <c r="U74" s="428"/>
      <c r="V74" s="428"/>
      <c r="W74">
        <f>(CUA!$C$9-'Parameters &amp; DSA'!N74)/CUA!$C$9</f>
        <v>1</v>
      </c>
      <c r="X74">
        <f>(CUA!$C$9-'Parameters &amp; DSA'!O74)/CUA!$C$9</f>
        <v>1</v>
      </c>
    </row>
    <row r="75" spans="1:24" s="304" customFormat="1">
      <c r="A75" s="295" t="s">
        <v>252</v>
      </c>
      <c r="B75" s="302"/>
      <c r="C75" s="303"/>
      <c r="G75" s="512"/>
      <c r="K75" s="561"/>
      <c r="L75" s="562"/>
      <c r="M75" s="522"/>
      <c r="N75" s="429"/>
      <c r="O75" s="429"/>
      <c r="P75" s="459"/>
      <c r="Q75" s="429"/>
      <c r="R75" s="429"/>
      <c r="S75" s="429"/>
      <c r="T75" s="429"/>
      <c r="U75" s="429"/>
      <c r="V75" s="429"/>
      <c r="W75">
        <f>(CUA!$C$9-'Parameters &amp; DSA'!N75)/CUA!$C$9</f>
        <v>1</v>
      </c>
      <c r="X75">
        <f>(CUA!$C$9-'Parameters &amp; DSA'!O75)/CUA!$C$9</f>
        <v>1</v>
      </c>
    </row>
    <row r="76" spans="1:24">
      <c r="A76" s="230" t="s">
        <v>249</v>
      </c>
      <c r="B76" s="7">
        <f>IF($B$1=0,$F$76,$G$76)</f>
        <v>4908.2</v>
      </c>
      <c r="C76" s="4" t="s">
        <v>282</v>
      </c>
      <c r="F76" s="2">
        <f ca="1">SUM(F77:F78)</f>
        <v>8998.7851544961941</v>
      </c>
      <c r="G76" s="508">
        <f>SUM($G$77:$G$78)</f>
        <v>4908.2</v>
      </c>
      <c r="H76" s="2"/>
      <c r="K76" s="536"/>
      <c r="L76" s="537"/>
      <c r="M76" s="523"/>
      <c r="N76" s="33"/>
      <c r="O76" s="33"/>
      <c r="P76" s="452"/>
      <c r="Q76" s="33"/>
      <c r="R76" s="33"/>
      <c r="U76" s="33"/>
      <c r="V76" s="33"/>
      <c r="W76">
        <f>(CUA!$C$9-'Parameters &amp; DSA'!N76)/CUA!$C$9</f>
        <v>1</v>
      </c>
      <c r="X76">
        <f>(CUA!$C$9-'Parameters &amp; DSA'!O76)/CUA!$C$9</f>
        <v>1</v>
      </c>
    </row>
    <row r="77" spans="1:24">
      <c r="A77" s="147" t="s">
        <v>288</v>
      </c>
      <c r="B77" s="7">
        <f>IF($B$1=0,$F$77,$G$77)</f>
        <v>740.37</v>
      </c>
      <c r="C77" s="4" t="s">
        <v>283</v>
      </c>
      <c r="D77" t="s">
        <v>246</v>
      </c>
      <c r="E77" t="s">
        <v>79</v>
      </c>
      <c r="F77" s="2">
        <f t="shared" ref="F77:F78" ca="1" si="25">GAMMAINV(RAND(),I77,J77)</f>
        <v>1316.4135188357286</v>
      </c>
      <c r="G77" s="508">
        <v>740.37</v>
      </c>
      <c r="H77" s="305">
        <f t="shared" ref="H77:H81" si="26">G77</f>
        <v>740.37</v>
      </c>
      <c r="I77" s="389">
        <f t="shared" ref="I77:I81" si="27">(G77/H77)^2</f>
        <v>1</v>
      </c>
      <c r="J77" s="389">
        <f t="shared" ref="J77:J85" si="28">H77^2/G77</f>
        <v>740.37</v>
      </c>
      <c r="K77" s="563">
        <f>_xlfn.GAMMA.INV(0.025,I77,J77)</f>
        <v>18.744545497328694</v>
      </c>
      <c r="L77" s="564">
        <f>_xlfn.GAMMA.INV(0.975,I77,J77)</f>
        <v>2731.1356814423343</v>
      </c>
      <c r="M77" s="523"/>
      <c r="N77" s="33">
        <v>-272609.47635721316</v>
      </c>
      <c r="O77" s="33">
        <v>-292700.2757979295</v>
      </c>
      <c r="P77" s="460" t="s">
        <v>288</v>
      </c>
      <c r="Q77" s="33">
        <f>CUA!$C$9-N77</f>
        <v>-5345.1112140867626</v>
      </c>
      <c r="R77" s="33">
        <f>CUA!$C$9-O77</f>
        <v>14745.688226629572</v>
      </c>
      <c r="S77" s="33">
        <v>1164312.9678228192</v>
      </c>
      <c r="T77" s="33">
        <v>1164312.9678228192</v>
      </c>
      <c r="U77" s="33">
        <v>930152.81418566697</v>
      </c>
      <c r="V77" s="33">
        <v>897297.7536399411</v>
      </c>
      <c r="W77">
        <f>(CUA!$C$9-'Parameters &amp; DSA'!N77)/CUA!$C$9</f>
        <v>1.9230160080432757E-2</v>
      </c>
      <c r="X77">
        <f>(CUA!$C$9-'Parameters &amp; DSA'!O77)/CUA!$C$9</f>
        <v>-5.3050710029554957E-2</v>
      </c>
    </row>
    <row r="78" spans="1:24">
      <c r="A78" s="147" t="s">
        <v>289</v>
      </c>
      <c r="B78" s="7">
        <f>IF($B$1=0,$F$78,$G$78)</f>
        <v>4167.83</v>
      </c>
      <c r="C78" s="4" t="s">
        <v>284</v>
      </c>
      <c r="D78" t="s">
        <v>246</v>
      </c>
      <c r="E78" t="s">
        <v>79</v>
      </c>
      <c r="F78" s="2">
        <f t="shared" ca="1" si="25"/>
        <v>7682.3716356604655</v>
      </c>
      <c r="G78" s="508">
        <v>4167.83</v>
      </c>
      <c r="H78" s="305">
        <f t="shared" si="26"/>
        <v>4167.83</v>
      </c>
      <c r="I78" s="389">
        <f t="shared" si="27"/>
        <v>1</v>
      </c>
      <c r="J78" s="389">
        <f t="shared" si="28"/>
        <v>4167.83</v>
      </c>
      <c r="K78" s="563">
        <f t="shared" ref="K78:K85" si="29">_xlfn.GAMMA.INV(0.025,I78,J78)</f>
        <v>105.52031965116288</v>
      </c>
      <c r="L78" s="564">
        <f>_xlfn.GAMMA.INV(0.975,I78,J78)</f>
        <v>15374.622455239683</v>
      </c>
      <c r="M78" s="523"/>
      <c r="N78" s="33">
        <v>-247864.88259756129</v>
      </c>
      <c r="O78" s="33">
        <v>-360963.78805429308</v>
      </c>
      <c r="P78" s="460" t="s">
        <v>289</v>
      </c>
      <c r="Q78" s="33">
        <f>CUA!$C$9-N78</f>
        <v>-30089.704973738641</v>
      </c>
      <c r="R78" s="33">
        <f>CUA!$C$9-O78</f>
        <v>83009.200482993154</v>
      </c>
      <c r="S78" s="33">
        <v>1164312.9678228192</v>
      </c>
      <c r="T78" s="33">
        <v>1164312.9678228192</v>
      </c>
      <c r="U78" s="33">
        <v>970618.35805572034</v>
      </c>
      <c r="V78" s="33">
        <v>785664.47419455275</v>
      </c>
      <c r="W78">
        <f>(CUA!$C$9-'Parameters &amp; DSA'!N78)/CUA!$C$9</f>
        <v>0.1082540325621362</v>
      </c>
      <c r="X78">
        <f>(CUA!$C$9-'Parameters &amp; DSA'!O78)/CUA!$C$9</f>
        <v>-0.29864303089331068</v>
      </c>
    </row>
    <row r="79" spans="1:24">
      <c r="A79" s="230" t="s">
        <v>250</v>
      </c>
      <c r="B79" s="7">
        <f>IF($B$1=0,$F$79,$G$79)</f>
        <v>6165.63</v>
      </c>
      <c r="C79" s="4" t="s">
        <v>285</v>
      </c>
      <c r="F79" s="2">
        <f ca="1">SUM(F80:F81)</f>
        <v>9759.1209983757217</v>
      </c>
      <c r="G79" s="508">
        <f>SUM($G$80:$G$81)</f>
        <v>6165.63</v>
      </c>
      <c r="H79" s="2"/>
      <c r="K79" s="565"/>
      <c r="L79" s="566"/>
      <c r="M79" s="523"/>
      <c r="N79" s="33"/>
      <c r="O79" s="33"/>
      <c r="P79" s="461"/>
      <c r="Q79" s="33"/>
      <c r="R79" s="33"/>
      <c r="U79" s="33"/>
      <c r="V79" s="33"/>
      <c r="W79">
        <f>(CUA!$C$9-'Parameters &amp; DSA'!N79)/CUA!$C$9</f>
        <v>1</v>
      </c>
      <c r="X79">
        <f>(CUA!$C$9-'Parameters &amp; DSA'!O79)/CUA!$C$9</f>
        <v>1</v>
      </c>
    </row>
    <row r="80" spans="1:24">
      <c r="A80" s="147" t="s">
        <v>290</v>
      </c>
      <c r="B80" s="7">
        <f>IF($B$1=0,$F$80,$G$80)</f>
        <v>1561.12</v>
      </c>
      <c r="C80" s="4" t="s">
        <v>286</v>
      </c>
      <c r="D80" t="s">
        <v>246</v>
      </c>
      <c r="E80" t="s">
        <v>79</v>
      </c>
      <c r="F80" s="2">
        <f t="shared" ref="F80:F81" ca="1" si="30">GAMMAINV(RAND(),I80,J80)</f>
        <v>7757.6508190072582</v>
      </c>
      <c r="G80" s="508">
        <v>1561.12</v>
      </c>
      <c r="H80" s="305">
        <f t="shared" si="26"/>
        <v>1561.12</v>
      </c>
      <c r="I80" s="389">
        <f t="shared" si="27"/>
        <v>1</v>
      </c>
      <c r="J80" s="389">
        <f t="shared" si="28"/>
        <v>1561.1200000000001</v>
      </c>
      <c r="K80" s="563">
        <f t="shared" si="29"/>
        <v>39.524136400434614</v>
      </c>
      <c r="L80" s="564">
        <f t="shared" ref="L80:L85" si="31">_xlfn.GAMMA.INV(0.975,I80,J80)</f>
        <v>5758.7834934063476</v>
      </c>
      <c r="M80" s="523"/>
      <c r="N80" s="33">
        <v>-291710.3601007862</v>
      </c>
      <c r="O80" s="33">
        <v>-240006.20354110948</v>
      </c>
      <c r="P80" s="460" t="s">
        <v>290</v>
      </c>
      <c r="Q80" s="33">
        <f>CUA!$C$9-N80</f>
        <v>13755.772529486276</v>
      </c>
      <c r="R80" s="33">
        <f>CUA!$C$9-O80</f>
        <v>-37948.384030190442</v>
      </c>
      <c r="S80" s="33">
        <v>1184102.553428588</v>
      </c>
      <c r="T80" s="33">
        <v>1109718.9569989061</v>
      </c>
      <c r="U80" s="33">
        <v>921411.800515173</v>
      </c>
      <c r="V80" s="33">
        <v>921411.800515173</v>
      </c>
      <c r="W80">
        <f>(CUA!$C$9-'Parameters &amp; DSA'!N80)/CUA!$C$9</f>
        <v>-4.9489280424118542E-2</v>
      </c>
      <c r="X80">
        <f>(CUA!$C$9-'Parameters &amp; DSA'!O80)/CUA!$C$9</f>
        <v>0.13652728081149607</v>
      </c>
    </row>
    <row r="81" spans="1:24">
      <c r="A81" s="147" t="s">
        <v>291</v>
      </c>
      <c r="B81" s="7">
        <f>IF($B$1=0,$F$81,$G$81)</f>
        <v>4604.51</v>
      </c>
      <c r="C81" s="4" t="s">
        <v>287</v>
      </c>
      <c r="D81" t="s">
        <v>246</v>
      </c>
      <c r="E81" t="s">
        <v>79</v>
      </c>
      <c r="F81" s="2">
        <f t="shared" ca="1" si="30"/>
        <v>2001.4701793684642</v>
      </c>
      <c r="G81" s="508">
        <v>4604.51</v>
      </c>
      <c r="H81" s="305">
        <f t="shared" si="26"/>
        <v>4604.51</v>
      </c>
      <c r="I81" s="389">
        <f t="shared" si="27"/>
        <v>1</v>
      </c>
      <c r="J81" s="389">
        <f t="shared" si="28"/>
        <v>4604.51</v>
      </c>
      <c r="K81" s="563">
        <f t="shared" si="29"/>
        <v>116.57610004174258</v>
      </c>
      <c r="L81" s="564">
        <f t="shared" si="31"/>
        <v>16985.482335262157</v>
      </c>
      <c r="M81" s="523"/>
      <c r="N81" s="33">
        <v>-318527.12022077217</v>
      </c>
      <c r="O81" s="33">
        <v>-166026.15557961943</v>
      </c>
      <c r="P81" s="460" t="s">
        <v>291</v>
      </c>
      <c r="Q81" s="33">
        <f>CUA!$C$9-N81</f>
        <v>40572.532649472239</v>
      </c>
      <c r="R81" s="33">
        <f>CUA!$C$9-O81</f>
        <v>-111928.4319916805</v>
      </c>
      <c r="S81" s="33">
        <v>1222682.1801944622</v>
      </c>
      <c r="T81" s="33">
        <v>1003288.4029086449</v>
      </c>
      <c r="U81" s="33">
        <v>921411.800515173</v>
      </c>
      <c r="V81" s="33">
        <v>921411.800515173</v>
      </c>
      <c r="W81">
        <f>(CUA!$C$9-'Parameters &amp; DSA'!N81)/CUA!$C$9</f>
        <v>-0.14596820654764231</v>
      </c>
      <c r="X81">
        <f>(CUA!$C$9-'Parameters &amp; DSA'!O81)/CUA!$C$9</f>
        <v>0.40268603936234371</v>
      </c>
    </row>
    <row r="82" spans="1:24">
      <c r="A82" s="230"/>
      <c r="F82" s="2"/>
      <c r="G82" s="508"/>
      <c r="K82" s="565"/>
      <c r="L82" s="566"/>
      <c r="M82" s="523"/>
      <c r="N82" s="33"/>
      <c r="O82" s="33"/>
      <c r="P82" s="452"/>
      <c r="Q82" s="33"/>
      <c r="R82" s="33"/>
      <c r="U82" s="33"/>
      <c r="V82" s="33"/>
      <c r="W82">
        <f>(CUA!$C$9-'Parameters &amp; DSA'!N82)/CUA!$C$9</f>
        <v>1</v>
      </c>
      <c r="X82">
        <f>(CUA!$C$9-'Parameters &amp; DSA'!O82)/CUA!$C$9</f>
        <v>1</v>
      </c>
    </row>
    <row r="83" spans="1:24" s="304" customFormat="1">
      <c r="A83" s="295" t="s">
        <v>251</v>
      </c>
      <c r="B83" s="302"/>
      <c r="C83" s="303"/>
      <c r="F83" s="306"/>
      <c r="G83" s="513"/>
      <c r="K83" s="567"/>
      <c r="L83" s="568"/>
      <c r="M83" s="522"/>
      <c r="N83" s="429"/>
      <c r="O83" s="429"/>
      <c r="P83" s="459"/>
      <c r="Q83" s="429"/>
      <c r="R83" s="429"/>
      <c r="S83" s="429"/>
      <c r="T83" s="429"/>
      <c r="U83" s="429"/>
      <c r="V83" s="429"/>
      <c r="W83">
        <f>(CUA!$C$9-'Parameters &amp; DSA'!N83)/CUA!$C$9</f>
        <v>1</v>
      </c>
      <c r="X83">
        <f>(CUA!$C$9-'Parameters &amp; DSA'!O83)/CUA!$C$9</f>
        <v>1</v>
      </c>
    </row>
    <row r="84" spans="1:24">
      <c r="A84" s="230" t="s">
        <v>294</v>
      </c>
      <c r="B84" s="7">
        <f>IF($B$1=0,$F$84,$G$84)</f>
        <v>981.64</v>
      </c>
      <c r="C84" s="4" t="s">
        <v>292</v>
      </c>
      <c r="D84" t="s">
        <v>246</v>
      </c>
      <c r="E84" t="s">
        <v>79</v>
      </c>
      <c r="F84" s="2">
        <f t="shared" ref="F84:F85" ca="1" si="32">GAMMAINV(RAND(),I84,J84)</f>
        <v>138.04868564839495</v>
      </c>
      <c r="G84" s="508">
        <v>981.64</v>
      </c>
      <c r="H84" s="305">
        <f>G84</f>
        <v>981.64</v>
      </c>
      <c r="I84" s="389">
        <f t="shared" ref="I84:I85" si="33">(G84/H84)^2</f>
        <v>1</v>
      </c>
      <c r="J84" s="389">
        <f t="shared" si="28"/>
        <v>981.64</v>
      </c>
      <c r="K84" s="563">
        <f t="shared" si="29"/>
        <v>24.852973029698315</v>
      </c>
      <c r="L84" s="564">
        <f t="shared" si="31"/>
        <v>3621.1516273364036</v>
      </c>
      <c r="M84" s="523"/>
      <c r="N84" s="33">
        <v>-270867.62433373497</v>
      </c>
      <c r="O84" s="577">
        <v>-297505.56531322474</v>
      </c>
      <c r="P84" s="452" t="s">
        <v>294</v>
      </c>
      <c r="Q84" s="33">
        <f>CUA!$C$9-N84</f>
        <v>-7086.9632375649526</v>
      </c>
      <c r="R84" s="33">
        <f>CUA!$C$9-O84</f>
        <v>19550.977741924813</v>
      </c>
      <c r="S84" s="33">
        <v>1164312.9678228192</v>
      </c>
      <c r="T84" s="33">
        <v>1164312.9678228192</v>
      </c>
      <c r="U84" s="33">
        <v>933001.31475738133</v>
      </c>
      <c r="V84" s="33">
        <v>889439.5258760025</v>
      </c>
      <c r="W84">
        <f>(CUA!$C$9-'Parameters &amp; DSA'!N84)/CUA!$C$9</f>
        <v>2.5496838528513331E-2</v>
      </c>
      <c r="X84">
        <f>(CUA!$C$9-'Parameters &amp; DSA'!O84)/CUA!$C$9</f>
        <v>-7.0338748184574085E-2</v>
      </c>
    </row>
    <row r="85" spans="1:24">
      <c r="A85" s="230" t="s">
        <v>295</v>
      </c>
      <c r="B85" s="7">
        <f>IF($B$1=0,$F$85,$G$85)</f>
        <v>1233.1300000000001</v>
      </c>
      <c r="C85" s="4" t="s">
        <v>293</v>
      </c>
      <c r="D85" t="s">
        <v>246</v>
      </c>
      <c r="E85" t="s">
        <v>79</v>
      </c>
      <c r="F85" s="2">
        <f t="shared" ca="1" si="32"/>
        <v>3574.5577127346337</v>
      </c>
      <c r="G85" s="508">
        <v>1233.1300000000001</v>
      </c>
      <c r="H85" s="305">
        <f>G85</f>
        <v>1233.1300000000001</v>
      </c>
      <c r="I85" s="389">
        <f t="shared" si="33"/>
        <v>1</v>
      </c>
      <c r="J85" s="389">
        <f t="shared" si="28"/>
        <v>1233.1300000000001</v>
      </c>
      <c r="K85" s="563">
        <f t="shared" si="29"/>
        <v>31.220148559667379</v>
      </c>
      <c r="L85" s="564">
        <f t="shared" si="31"/>
        <v>4548.8679212515171</v>
      </c>
      <c r="M85" s="523"/>
      <c r="N85" s="33">
        <v>-288820.28385299857</v>
      </c>
      <c r="O85" s="33">
        <v>-247979.12713318574</v>
      </c>
      <c r="P85" s="452" t="s">
        <v>295</v>
      </c>
      <c r="Q85" s="33">
        <f>CUA!$C$9-N85</f>
        <v>10865.696281698649</v>
      </c>
      <c r="R85" s="33">
        <f>CUA!$C$9-O85</f>
        <v>-29975.460438114183</v>
      </c>
      <c r="S85" s="33">
        <v>1179944.7781244242</v>
      </c>
      <c r="T85" s="33">
        <v>1121189.1127909881</v>
      </c>
      <c r="U85" s="33">
        <v>921411.800515173</v>
      </c>
      <c r="V85" s="33">
        <v>921411.800515173</v>
      </c>
      <c r="W85">
        <f>(CUA!$C$9-'Parameters &amp; DSA'!N85)/CUA!$C$9</f>
        <v>-3.9091624198904142E-2</v>
      </c>
      <c r="X85">
        <f>(CUA!$C$9-'Parameters &amp; DSA'!O85)/CUA!$C$9</f>
        <v>0.10784301385356694</v>
      </c>
    </row>
    <row r="86" spans="1:24">
      <c r="A86" s="230"/>
      <c r="F86" s="2"/>
      <c r="G86" s="508"/>
      <c r="K86" s="565"/>
      <c r="L86" s="566"/>
      <c r="M86" s="523"/>
      <c r="N86" s="33"/>
      <c r="O86" s="33"/>
      <c r="P86" s="452"/>
      <c r="Q86" s="33"/>
      <c r="R86" s="33"/>
      <c r="U86" s="33"/>
      <c r="V86" s="33"/>
      <c r="W86">
        <f>(CUA!$C$9-'Parameters &amp; DSA'!N86)/CUA!$C$9</f>
        <v>1</v>
      </c>
      <c r="X86">
        <f>(CUA!$C$9-'Parameters &amp; DSA'!O86)/CUA!$C$9</f>
        <v>1</v>
      </c>
    </row>
    <row r="87" spans="1:24" s="304" customFormat="1">
      <c r="A87" s="295" t="s">
        <v>253</v>
      </c>
      <c r="B87" s="302"/>
      <c r="C87" s="303"/>
      <c r="F87" s="306"/>
      <c r="G87" s="513"/>
      <c r="K87" s="567"/>
      <c r="L87" s="568"/>
      <c r="M87" s="522"/>
      <c r="N87" s="429"/>
      <c r="O87" s="429"/>
      <c r="P87" s="459"/>
      <c r="Q87" s="429"/>
      <c r="R87" s="429"/>
      <c r="S87" s="429"/>
      <c r="T87" s="429"/>
      <c r="U87" s="429"/>
      <c r="V87" s="429"/>
      <c r="W87">
        <f>(CUA!$C$9-'Parameters &amp; DSA'!N87)/CUA!$C$9</f>
        <v>1</v>
      </c>
      <c r="X87">
        <f>(CUA!$C$9-'Parameters &amp; DSA'!O87)/CUA!$C$9</f>
        <v>1</v>
      </c>
    </row>
    <row r="88" spans="1:24">
      <c r="A88" s="230" t="s">
        <v>297</v>
      </c>
      <c r="B88" s="7">
        <f>IF($B$1=0,$F$88,$G$88)</f>
        <v>564.83000000000004</v>
      </c>
      <c r="C88" s="4" t="s">
        <v>296</v>
      </c>
      <c r="D88" t="s">
        <v>246</v>
      </c>
      <c r="E88" t="s">
        <v>79</v>
      </c>
      <c r="F88" s="2">
        <f t="shared" ref="F88:F89" ca="1" si="34">GAMMAINV(RAND(),I88,J88)</f>
        <v>525.43173683566488</v>
      </c>
      <c r="G88" s="508">
        <v>564.83000000000004</v>
      </c>
      <c r="H88" s="2">
        <f>324.54/(SQRT(60))</f>
        <v>41.897933839271836</v>
      </c>
      <c r="I88" s="2">
        <f>(G88/H88)^2</f>
        <v>181.73990541590885</v>
      </c>
      <c r="J88" s="2">
        <f>H88^2/G88</f>
        <v>3.1079030150664799</v>
      </c>
      <c r="K88" s="565">
        <f>_xlfn.GAMMA.INV(0.025,I88,J88)</f>
        <v>485.69365120099218</v>
      </c>
      <c r="L88" s="566">
        <f t="shared" ref="L88:L109" si="35">_xlfn.GAMMA.INV(0.975,I88,J88)</f>
        <v>649.85133404489659</v>
      </c>
      <c r="M88" s="523"/>
      <c r="N88" s="33">
        <v>-277368.42118433549</v>
      </c>
      <c r="O88" s="33">
        <v>-278584.34430064529</v>
      </c>
      <c r="P88" s="452" t="s">
        <v>297</v>
      </c>
      <c r="Q88" s="33">
        <f>CUA!$C$9-N88</f>
        <v>-586.16638696443988</v>
      </c>
      <c r="R88" s="33">
        <f>CUA!$C$9-O88</f>
        <v>629.75672934536124</v>
      </c>
      <c r="S88" s="33">
        <v>1164312.9678228192</v>
      </c>
      <c r="T88" s="33">
        <v>1164312.9678228192</v>
      </c>
      <c r="U88" s="33">
        <v>922370.37521950051</v>
      </c>
      <c r="V88" s="33">
        <v>920381.94127374375</v>
      </c>
      <c r="W88">
        <f>(CUA!$C$9-'Parameters &amp; DSA'!N88)/CUA!$C$9</f>
        <v>2.1088566736250703E-3</v>
      </c>
      <c r="X88">
        <f>(CUA!$C$9-'Parameters &amp; DSA'!O88)/CUA!$C$9</f>
        <v>-2.265682084429775E-3</v>
      </c>
    </row>
    <row r="89" spans="1:24">
      <c r="A89" s="230" t="s">
        <v>298</v>
      </c>
      <c r="B89" s="7">
        <f>IF($B$1=0,$F$89,$G$89)</f>
        <v>1046.83</v>
      </c>
      <c r="C89" s="4" t="s">
        <v>346</v>
      </c>
      <c r="D89" t="s">
        <v>246</v>
      </c>
      <c r="E89" t="s">
        <v>79</v>
      </c>
      <c r="F89" s="2">
        <f t="shared" ca="1" si="34"/>
        <v>964.5893427854445</v>
      </c>
      <c r="G89" s="508">
        <v>1046.83</v>
      </c>
      <c r="H89" s="2">
        <f>1209.41/(SQRT(60))</f>
        <v>156.13415962455707</v>
      </c>
      <c r="I89" s="2">
        <f t="shared" ref="I89:I93" si="36">(G89/H89)^2</f>
        <v>44.952770200965524</v>
      </c>
      <c r="J89" s="2">
        <f>H89^2/G89</f>
        <v>23.287330131603671</v>
      </c>
      <c r="K89" s="565">
        <f t="shared" ref="K89:K109" si="37">_xlfn.GAMMA.INV(0.025,I89,J89)</f>
        <v>763.42836041580938</v>
      </c>
      <c r="L89" s="566">
        <f t="shared" si="35"/>
        <v>1374.2738454908124</v>
      </c>
      <c r="M89" s="523"/>
      <c r="N89" s="33">
        <v>-280516.64007279743</v>
      </c>
      <c r="O89" s="33">
        <v>-274994.37772681721</v>
      </c>
      <c r="P89" s="452" t="s">
        <v>298</v>
      </c>
      <c r="Q89" s="33">
        <f>CUA!$C$9-N89</f>
        <v>2562.0525014974992</v>
      </c>
      <c r="R89" s="33">
        <f>CUA!$C$9-O89</f>
        <v>-2960.2098444827134</v>
      </c>
      <c r="S89" s="33">
        <v>1167998.8354973663</v>
      </c>
      <c r="T89" s="33">
        <v>1160054.2956179054</v>
      </c>
      <c r="U89" s="33">
        <v>921411.800515173</v>
      </c>
      <c r="V89" s="33">
        <v>921411.800515173</v>
      </c>
      <c r="W89">
        <f>(CUA!$C$9-'Parameters &amp; DSA'!N89)/CUA!$C$9</f>
        <v>-9.2175219120651884E-3</v>
      </c>
      <c r="X89">
        <f>(CUA!$C$9-'Parameters &amp; DSA'!O89)/CUA!$C$9</f>
        <v>1.0649976567569228E-2</v>
      </c>
    </row>
    <row r="90" spans="1:24">
      <c r="A90" s="230"/>
      <c r="F90" s="2"/>
      <c r="G90" s="508"/>
      <c r="H90" s="2"/>
      <c r="I90" s="2"/>
      <c r="J90" s="2"/>
      <c r="K90" s="565"/>
      <c r="L90" s="566"/>
      <c r="M90" s="523"/>
      <c r="N90" s="33"/>
      <c r="O90" s="33"/>
      <c r="P90" s="452"/>
      <c r="Q90" s="33"/>
      <c r="R90" s="33"/>
      <c r="U90" s="33"/>
      <c r="V90" s="33"/>
      <c r="W90">
        <f>(CUA!$C$9-'Parameters &amp; DSA'!N90)/CUA!$C$9</f>
        <v>1</v>
      </c>
      <c r="X90">
        <f>(CUA!$C$9-'Parameters &amp; DSA'!O90)/CUA!$C$9</f>
        <v>1</v>
      </c>
    </row>
    <row r="91" spans="1:24" s="304" customFormat="1">
      <c r="A91" s="295" t="s">
        <v>262</v>
      </c>
      <c r="B91" s="302"/>
      <c r="C91" s="303"/>
      <c r="F91" s="306"/>
      <c r="G91" s="578"/>
      <c r="H91" s="579"/>
      <c r="I91" s="579"/>
      <c r="J91" s="579"/>
      <c r="K91" s="580"/>
      <c r="L91" s="581"/>
      <c r="M91" s="522"/>
      <c r="N91" s="429"/>
      <c r="O91" s="429"/>
      <c r="P91" s="459"/>
      <c r="Q91" s="429"/>
      <c r="R91" s="429"/>
      <c r="S91" s="429"/>
      <c r="T91" s="429"/>
      <c r="U91" s="429"/>
      <c r="V91" s="429"/>
      <c r="W91">
        <f>(CUA!$C$9-'Parameters &amp; DSA'!N91)/CUA!$C$9</f>
        <v>1</v>
      </c>
      <c r="X91">
        <f>(CUA!$C$9-'Parameters &amp; DSA'!O91)/CUA!$C$9</f>
        <v>1</v>
      </c>
    </row>
    <row r="92" spans="1:24">
      <c r="A92" s="230" t="s">
        <v>302</v>
      </c>
      <c r="B92" s="7">
        <f>IF($B$1=0,$F$92,$G$92)</f>
        <v>126.25</v>
      </c>
      <c r="C92" s="4" t="s">
        <v>304</v>
      </c>
      <c r="D92" t="s">
        <v>246</v>
      </c>
      <c r="E92" t="s">
        <v>79</v>
      </c>
      <c r="F92" s="2">
        <f t="shared" ref="F92:F93" ca="1" si="38">GAMMAINV(RAND(),I92,J92)</f>
        <v>118.69684744158344</v>
      </c>
      <c r="G92" s="508">
        <v>126.25</v>
      </c>
      <c r="H92" s="2">
        <f>316.48/(SQRT(60))</f>
        <v>40.857392313590779</v>
      </c>
      <c r="I92" s="2">
        <f t="shared" si="36"/>
        <v>9.5481994902407266</v>
      </c>
      <c r="J92" s="2">
        <f t="shared" ref="J92:J109" si="39">H92^2/G92</f>
        <v>13.222388171617162</v>
      </c>
      <c r="K92" s="565">
        <f t="shared" si="37"/>
        <v>59.316422781844864</v>
      </c>
      <c r="L92" s="566">
        <f t="shared" si="35"/>
        <v>218.03505031096046</v>
      </c>
      <c r="M92" s="523"/>
      <c r="N92" s="33">
        <v>-277458.8076456401</v>
      </c>
      <c r="O92" s="33">
        <v>-278634.44344201696</v>
      </c>
      <c r="P92" s="452" t="s">
        <v>302</v>
      </c>
      <c r="Q92" s="33">
        <f>CUA!$C$9-N92</f>
        <v>-495.77992565982277</v>
      </c>
      <c r="R92" s="33">
        <f>CUA!$C$9-O92</f>
        <v>679.85587071703048</v>
      </c>
      <c r="S92" s="33">
        <v>1164312.9678228192</v>
      </c>
      <c r="T92" s="33">
        <v>1164312.9678228192</v>
      </c>
      <c r="U92" s="33">
        <v>922222.56364697265</v>
      </c>
      <c r="V92" s="33">
        <v>920300.01271097455</v>
      </c>
      <c r="W92">
        <f>(CUA!$C$9-'Parameters &amp; DSA'!N92)/CUA!$C$9</f>
        <v>1.7836723976813193E-3</v>
      </c>
      <c r="X92">
        <f>(CUA!$C$9-'Parameters &amp; DSA'!O92)/CUA!$C$9</f>
        <v>-2.4459242664690191E-3</v>
      </c>
    </row>
    <row r="93" spans="1:24">
      <c r="A93" s="230" t="s">
        <v>303</v>
      </c>
      <c r="B93" s="7">
        <f>IF($B$1=0,$F$93,$G$93)</f>
        <v>419.17</v>
      </c>
      <c r="C93" s="4" t="s">
        <v>305</v>
      </c>
      <c r="D93" t="s">
        <v>246</v>
      </c>
      <c r="E93" t="s">
        <v>79</v>
      </c>
      <c r="F93" s="2">
        <f t="shared" ca="1" si="38"/>
        <v>290.04624331355848</v>
      </c>
      <c r="G93" s="508">
        <v>419.17</v>
      </c>
      <c r="H93" s="2">
        <f>1125.72/(SQRT(60))</f>
        <v>145.32982708308711</v>
      </c>
      <c r="I93" s="2">
        <f t="shared" si="36"/>
        <v>8.3189951599200693</v>
      </c>
      <c r="J93" s="2">
        <f t="shared" si="39"/>
        <v>50.38709506882649</v>
      </c>
      <c r="K93" s="565">
        <f t="shared" si="37"/>
        <v>184.55061665141409</v>
      </c>
      <c r="L93" s="566">
        <f t="shared" si="35"/>
        <v>748.37698843920077</v>
      </c>
      <c r="M93" s="523"/>
      <c r="N93" s="33">
        <v>-280075.63097418932</v>
      </c>
      <c r="O93" s="33">
        <v>-274978.43828197796</v>
      </c>
      <c r="P93" s="452" t="s">
        <v>303</v>
      </c>
      <c r="Q93" s="33">
        <f>CUA!$C$9-N93</f>
        <v>2121.0434028893942</v>
      </c>
      <c r="R93" s="33">
        <f>CUA!$C$9-O93</f>
        <v>-2976.1492893219693</v>
      </c>
      <c r="S93" s="33">
        <v>1167364.3827764362</v>
      </c>
      <c r="T93" s="33">
        <v>1160031.3645169828</v>
      </c>
      <c r="U93" s="33">
        <v>921411.800515173</v>
      </c>
      <c r="V93" s="33">
        <v>921411.800515173</v>
      </c>
      <c r="W93">
        <f>(CUA!$C$9-'Parameters &amp; DSA'!N93)/CUA!$C$9</f>
        <v>-7.6308990667236665E-3</v>
      </c>
      <c r="X93">
        <f>(CUA!$C$9-'Parameters &amp; DSA'!O93)/CUA!$C$9</f>
        <v>1.0707322067704812E-2</v>
      </c>
    </row>
    <row r="94" spans="1:24" ht="7.9" customHeight="1">
      <c r="A94" s="230"/>
      <c r="F94" s="2"/>
      <c r="G94" s="508"/>
      <c r="H94" s="2"/>
      <c r="I94" s="2"/>
      <c r="J94" s="2"/>
      <c r="K94" s="565"/>
      <c r="L94" s="566"/>
      <c r="M94" s="523"/>
      <c r="N94" s="33"/>
      <c r="O94" s="33"/>
      <c r="P94" s="452"/>
      <c r="Q94" s="33"/>
      <c r="R94" s="33"/>
      <c r="U94" s="33"/>
      <c r="V94" s="33"/>
      <c r="W94">
        <f>(CUA!$C$9-'Parameters &amp; DSA'!N94)/CUA!$C$9</f>
        <v>1</v>
      </c>
      <c r="X94">
        <f>(CUA!$C$9-'Parameters &amp; DSA'!O94)/CUA!$C$9</f>
        <v>1</v>
      </c>
    </row>
    <row r="95" spans="1:24" s="29" customFormat="1">
      <c r="A95" s="294" t="s">
        <v>280</v>
      </c>
      <c r="B95" s="113"/>
      <c r="C95" s="28"/>
      <c r="F95" s="209"/>
      <c r="G95" s="509"/>
      <c r="H95" s="209"/>
      <c r="I95" s="209"/>
      <c r="J95" s="209"/>
      <c r="K95" s="569"/>
      <c r="L95" s="570"/>
      <c r="M95" s="522"/>
      <c r="N95" s="428"/>
      <c r="O95" s="428"/>
      <c r="P95" s="458"/>
      <c r="Q95" s="428"/>
      <c r="R95" s="428"/>
      <c r="S95" s="428"/>
      <c r="T95" s="428"/>
      <c r="U95" s="428"/>
      <c r="V95" s="428"/>
      <c r="W95">
        <f>(CUA!$C$9-'Parameters &amp; DSA'!N95)/CUA!$C$9</f>
        <v>1</v>
      </c>
      <c r="X95">
        <f>(CUA!$C$9-'Parameters &amp; DSA'!O95)/CUA!$C$9</f>
        <v>1</v>
      </c>
    </row>
    <row r="96" spans="1:24">
      <c r="A96" s="230" t="s">
        <v>318</v>
      </c>
      <c r="B96" s="7">
        <f>IF($B$1=0,$F$96,$G$96)</f>
        <v>47000</v>
      </c>
      <c r="C96" t="s">
        <v>306</v>
      </c>
      <c r="D96" t="s">
        <v>330</v>
      </c>
      <c r="E96" t="s">
        <v>79</v>
      </c>
      <c r="F96" s="2">
        <f t="shared" ref="F96:F101" ca="1" si="40">GAMMAINV(RAND(),I96,J96)</f>
        <v>26065.88119426935</v>
      </c>
      <c r="G96" s="508">
        <v>47000</v>
      </c>
      <c r="H96" s="2">
        <v>15000</v>
      </c>
      <c r="I96" s="2">
        <f t="shared" ref="I96" si="41">(G96/H96)^2</f>
        <v>9.8177777777777777</v>
      </c>
      <c r="J96" s="2">
        <f t="shared" si="39"/>
        <v>4787.2340425531911</v>
      </c>
      <c r="K96" s="565">
        <f t="shared" si="37"/>
        <v>22357.485401828457</v>
      </c>
      <c r="L96" s="566">
        <f t="shared" si="35"/>
        <v>80642.135251743734</v>
      </c>
      <c r="M96" s="523"/>
      <c r="N96" s="33">
        <v>-277732.22376530769</v>
      </c>
      <c r="O96" s="33">
        <v>-278258.1602122527</v>
      </c>
      <c r="P96" s="452" t="s">
        <v>318</v>
      </c>
      <c r="Q96" s="33">
        <f>CUA!$C$9-N96</f>
        <v>-222.36380599223776</v>
      </c>
      <c r="R96" s="33">
        <f>CUA!$C$9-O96</f>
        <v>303.5726409527706</v>
      </c>
      <c r="S96" s="33">
        <v>1164715.1908116643</v>
      </c>
      <c r="T96" s="33">
        <v>1163763.850153103</v>
      </c>
      <c r="U96" s="33">
        <v>921955.62287723459</v>
      </c>
      <c r="V96" s="33">
        <v>920669.37037946074</v>
      </c>
      <c r="W96">
        <f>(CUA!$C$9-'Parameters &amp; DSA'!N96)/CUA!$C$9</f>
        <v>8.0000048905542087E-4</v>
      </c>
      <c r="X96">
        <f>(CUA!$C$9-'Parameters &amp; DSA'!O96)/CUA!$C$9</f>
        <v>-1.0921663269000705E-3</v>
      </c>
    </row>
    <row r="97" spans="1:24">
      <c r="A97" s="230" t="s">
        <v>319</v>
      </c>
      <c r="B97" s="7">
        <f>IF($B$1=0,$F$97,$G$97)</f>
        <v>356000</v>
      </c>
      <c r="C97" s="4" t="s">
        <v>307</v>
      </c>
      <c r="D97" t="s">
        <v>330</v>
      </c>
      <c r="E97" t="s">
        <v>79</v>
      </c>
      <c r="F97" s="2">
        <f t="shared" ca="1" si="40"/>
        <v>359286.94065642852</v>
      </c>
      <c r="G97" s="508">
        <v>356000</v>
      </c>
      <c r="H97" s="2">
        <v>7000</v>
      </c>
      <c r="I97" s="2">
        <f t="shared" ref="I97:I101" si="42">(G97/H97)^2</f>
        <v>2586.4489795918366</v>
      </c>
      <c r="J97" s="2">
        <f t="shared" si="39"/>
        <v>137.64044943820224</v>
      </c>
      <c r="K97" s="565">
        <f t="shared" si="37"/>
        <v>342411.08040393784</v>
      </c>
      <c r="L97" s="566">
        <f t="shared" si="35"/>
        <v>369849.6454598491</v>
      </c>
      <c r="M97" s="523"/>
      <c r="N97" s="33">
        <v>-273621.98736690631</v>
      </c>
      <c r="O97" s="33">
        <v>-282370.31586566044</v>
      </c>
      <c r="P97" s="452" t="s">
        <v>319</v>
      </c>
      <c r="Q97" s="33">
        <f>CUA!$C$9-N97</f>
        <v>-4332.6002043936169</v>
      </c>
      <c r="R97" s="33">
        <f>CUA!$C$9-O97</f>
        <v>4415.7282943605096</v>
      </c>
      <c r="S97" s="33">
        <v>1172149.9959574395</v>
      </c>
      <c r="T97" s="33">
        <v>1156325.5733610252</v>
      </c>
      <c r="U97" s="33">
        <v>932007.79147022136</v>
      </c>
      <c r="V97" s="33">
        <v>910612.50797496841</v>
      </c>
      <c r="W97">
        <f>(CUA!$C$9-'Parameters &amp; DSA'!N97)/CUA!$C$9</f>
        <v>1.5587439093021746E-2</v>
      </c>
      <c r="X97">
        <f>(CUA!$C$9-'Parameters &amp; DSA'!O97)/CUA!$C$9</f>
        <v>-1.5886509853800499E-2</v>
      </c>
    </row>
    <row r="98" spans="1:24">
      <c r="A98" s="230" t="s">
        <v>320</v>
      </c>
      <c r="B98" s="7">
        <f>IF($B$1=0,$F$98,$G$98)</f>
        <v>5000</v>
      </c>
      <c r="C98" s="4" t="s">
        <v>308</v>
      </c>
      <c r="D98" t="s">
        <v>330</v>
      </c>
      <c r="E98" t="s">
        <v>79</v>
      </c>
      <c r="F98" s="2">
        <f t="shared" ca="1" si="40"/>
        <v>5996.4377025013891</v>
      </c>
      <c r="G98" s="508">
        <v>5000</v>
      </c>
      <c r="H98" s="2">
        <v>1000</v>
      </c>
      <c r="I98" s="2">
        <f t="shared" si="42"/>
        <v>25</v>
      </c>
      <c r="J98" s="2">
        <f t="shared" si="39"/>
        <v>200</v>
      </c>
      <c r="K98" s="565">
        <f t="shared" si="37"/>
        <v>3235.7363695658651</v>
      </c>
      <c r="L98" s="566">
        <f t="shared" si="35"/>
        <v>7142.0195187506424</v>
      </c>
      <c r="M98" s="523"/>
      <c r="N98" s="33">
        <v>-277392.08155956102</v>
      </c>
      <c r="O98" s="33">
        <v>-278637.53474301269</v>
      </c>
      <c r="P98" s="452" t="s">
        <v>320</v>
      </c>
      <c r="Q98" s="33">
        <f>CUA!$C$9-N98</f>
        <v>-562.50601173890755</v>
      </c>
      <c r="R98" s="33">
        <f>CUA!$C$9-O98</f>
        <v>682.94717171275988</v>
      </c>
      <c r="S98" s="33">
        <v>1165330.4573745718</v>
      </c>
      <c r="T98" s="33">
        <v>1163077.6181605682</v>
      </c>
      <c r="U98" s="33">
        <v>922787.48909278598</v>
      </c>
      <c r="V98" s="33">
        <v>919741.55592466134</v>
      </c>
      <c r="W98">
        <f>(CUA!$C$9-'Parameters &amp; DSA'!N98)/CUA!$C$9</f>
        <v>2.0237335050086753E-3</v>
      </c>
      <c r="X98">
        <f>(CUA!$C$9-'Parameters &amp; DSA'!O98)/CUA!$C$9</f>
        <v>-2.4570458709826932E-3</v>
      </c>
    </row>
    <row r="99" spans="1:24">
      <c r="A99" s="230" t="s">
        <v>321</v>
      </c>
      <c r="B99" s="7">
        <f>IF($B$1=0,$F$99,$G$99)</f>
        <v>3000</v>
      </c>
      <c r="C99" s="4" t="s">
        <v>309</v>
      </c>
      <c r="D99" t="s">
        <v>330</v>
      </c>
      <c r="E99" t="s">
        <v>79</v>
      </c>
      <c r="F99" s="2">
        <f t="shared" ca="1" si="40"/>
        <v>3590.8716535476856</v>
      </c>
      <c r="G99" s="508">
        <v>3000</v>
      </c>
      <c r="H99" s="2">
        <v>600</v>
      </c>
      <c r="I99" s="2">
        <f t="shared" si="42"/>
        <v>25</v>
      </c>
      <c r="J99" s="2">
        <f t="shared" si="39"/>
        <v>120</v>
      </c>
      <c r="K99" s="565">
        <f t="shared" si="37"/>
        <v>1941.4418217395189</v>
      </c>
      <c r="L99" s="566">
        <f t="shared" si="35"/>
        <v>4285.2117112503856</v>
      </c>
      <c r="M99" s="523"/>
      <c r="N99" s="33">
        <v>-277617.08396425686</v>
      </c>
      <c r="O99" s="33">
        <v>-278364.35587432666</v>
      </c>
      <c r="P99" s="452" t="s">
        <v>321</v>
      </c>
      <c r="Q99" s="33">
        <f>CUA!$C$9-N99</f>
        <v>-337.50360704306513</v>
      </c>
      <c r="R99" s="33">
        <f>CUA!$C$9-O99</f>
        <v>409.76830302673625</v>
      </c>
      <c r="S99" s="33">
        <v>1164923.4615538707</v>
      </c>
      <c r="T99" s="33">
        <v>1163571.7580254686</v>
      </c>
      <c r="U99" s="33">
        <v>922237.21366174042</v>
      </c>
      <c r="V99" s="33">
        <v>920409.65376086568</v>
      </c>
      <c r="W99">
        <f>(CUA!$C$9-'Parameters &amp; DSA'!N99)/CUA!$C$9</f>
        <v>1.2142401030041999E-3</v>
      </c>
      <c r="X99">
        <f>(CUA!$C$9-'Parameters &amp; DSA'!O99)/CUA!$C$9</f>
        <v>-1.4742275225863072E-3</v>
      </c>
    </row>
    <row r="100" spans="1:24">
      <c r="A100" s="230" t="s">
        <v>328</v>
      </c>
      <c r="B100" s="7">
        <f>IF($B$1=0,$F$100,$G$100)</f>
        <v>32000</v>
      </c>
      <c r="C100" s="4" t="s">
        <v>310</v>
      </c>
      <c r="D100" t="s">
        <v>330</v>
      </c>
      <c r="E100" t="s">
        <v>79</v>
      </c>
      <c r="F100" s="2">
        <f t="shared" ca="1" si="40"/>
        <v>6936.2814739377827</v>
      </c>
      <c r="G100" s="508">
        <v>32000</v>
      </c>
      <c r="H100" s="2">
        <v>24000</v>
      </c>
      <c r="I100" s="2">
        <f t="shared" si="42"/>
        <v>1.7777777777777777</v>
      </c>
      <c r="J100" s="2">
        <f t="shared" si="39"/>
        <v>18000</v>
      </c>
      <c r="K100" s="565">
        <f t="shared" si="37"/>
        <v>3185.9591458978384</v>
      </c>
      <c r="L100" s="566">
        <f t="shared" si="35"/>
        <v>93253.291019857279</v>
      </c>
      <c r="M100" s="523"/>
      <c r="N100" s="33">
        <v>-247015.60172742259</v>
      </c>
      <c r="O100" s="33">
        <v>-343725.11636835552</v>
      </c>
      <c r="P100" s="452" t="s">
        <v>328</v>
      </c>
      <c r="Q100" s="33">
        <f>CUA!$C$9-N100</f>
        <v>-30938.985843877337</v>
      </c>
      <c r="R100" s="33">
        <f>CUA!$C$9-O100</f>
        <v>65770.528797055595</v>
      </c>
      <c r="S100" s="33">
        <v>1220276.9827506682</v>
      </c>
      <c r="T100" s="33">
        <v>1045343.8822172114</v>
      </c>
      <c r="U100" s="33">
        <v>997077.49748570262</v>
      </c>
      <c r="V100" s="33">
        <v>760560.60368984635</v>
      </c>
      <c r="W100">
        <f>(CUA!$C$9-'Parameters &amp; DSA'!N100)/CUA!$C$9</f>
        <v>0.11130949884373101</v>
      </c>
      <c r="X100">
        <f>(CUA!$C$9-'Parameters &amp; DSA'!O100)/CUA!$C$9</f>
        <v>-0.23662328933565224</v>
      </c>
    </row>
    <row r="101" spans="1:24">
      <c r="A101" s="230" t="s">
        <v>322</v>
      </c>
      <c r="B101" s="16">
        <f>IF($B$1=0,$F$101,$G$101)</f>
        <v>0.32940000000000003</v>
      </c>
      <c r="C101" s="4" t="s">
        <v>311</v>
      </c>
      <c r="D101" t="s">
        <v>330</v>
      </c>
      <c r="E101" t="s">
        <v>79</v>
      </c>
      <c r="F101" s="292">
        <f t="shared" ca="1" si="40"/>
        <v>1.854408607115262E-2</v>
      </c>
      <c r="G101" s="514">
        <v>0.32940000000000003</v>
      </c>
      <c r="H101" s="292">
        <v>0.57389999999999997</v>
      </c>
      <c r="I101" s="292">
        <f t="shared" si="42"/>
        <v>0.3294387945684315</v>
      </c>
      <c r="J101" s="292">
        <f t="shared" si="39"/>
        <v>0.99988224043715823</v>
      </c>
      <c r="K101" s="565">
        <f t="shared" si="37"/>
        <v>9.7369867282695871E-6</v>
      </c>
      <c r="L101" s="566">
        <f t="shared" si="35"/>
        <v>2.0005815071167938</v>
      </c>
      <c r="M101" s="523"/>
      <c r="N101" s="33">
        <v>-243595.88021650276</v>
      </c>
      <c r="O101" s="33">
        <v>-349466.94312553236</v>
      </c>
      <c r="P101" s="452" t="s">
        <v>322</v>
      </c>
      <c r="Q101" s="33">
        <f>CUA!$C$9-N101</f>
        <v>-34358.707354797167</v>
      </c>
      <c r="R101" s="33">
        <f>CUA!$C$9-O101</f>
        <v>71512.355554232432</v>
      </c>
      <c r="S101" s="33">
        <v>1226462.7493640906</v>
      </c>
      <c r="T101" s="33">
        <v>1034957.7732486345</v>
      </c>
      <c r="U101" s="33">
        <v>1005440.9135612843</v>
      </c>
      <c r="V101" s="33">
        <v>746518.14846335037</v>
      </c>
      <c r="W101">
        <f>(CUA!$C$9-'Parameters &amp; DSA'!N101)/CUA!$C$9</f>
        <v>0.12361266512999572</v>
      </c>
      <c r="X101">
        <f>(CUA!$C$9-'Parameters &amp; DSA'!O101)/CUA!$C$9</f>
        <v>-0.25728071689368442</v>
      </c>
    </row>
    <row r="102" spans="1:24">
      <c r="A102" s="10"/>
      <c r="B102"/>
      <c r="C102"/>
      <c r="G102" s="510"/>
      <c r="K102" s="565"/>
      <c r="L102" s="566"/>
      <c r="M102" s="523"/>
      <c r="N102" s="33"/>
      <c r="O102" s="33"/>
      <c r="P102" s="452"/>
      <c r="Q102" s="33"/>
      <c r="R102" s="33"/>
      <c r="U102" s="33"/>
      <c r="V102" s="33"/>
      <c r="W102">
        <f>(CUA!$C$9-'Parameters &amp; DSA'!N102)/CUA!$C$9</f>
        <v>1</v>
      </c>
      <c r="X102">
        <f>(CUA!$C$9-'Parameters &amp; DSA'!O102)/CUA!$C$9</f>
        <v>1</v>
      </c>
    </row>
    <row r="103" spans="1:24" s="301" customFormat="1">
      <c r="A103" s="300" t="s">
        <v>281</v>
      </c>
      <c r="G103" s="515"/>
      <c r="K103" s="571"/>
      <c r="L103" s="572"/>
      <c r="M103" s="531"/>
      <c r="N103" s="430"/>
      <c r="O103" s="430"/>
      <c r="P103" s="462"/>
      <c r="Q103" s="430"/>
      <c r="R103" s="430"/>
      <c r="S103" s="430"/>
      <c r="T103" s="430"/>
      <c r="U103" s="430"/>
      <c r="V103" s="430"/>
      <c r="W103">
        <f>(CUA!$C$9-'Parameters &amp; DSA'!N103)/CUA!$C$9</f>
        <v>1</v>
      </c>
      <c r="X103">
        <f>(CUA!$C$9-'Parameters &amp; DSA'!O103)/CUA!$C$9</f>
        <v>1</v>
      </c>
    </row>
    <row r="104" spans="1:24">
      <c r="A104" s="230" t="s">
        <v>323</v>
      </c>
      <c r="B104" s="7">
        <f>IF($B$1=0,$F$104,$G$104)</f>
        <v>21000</v>
      </c>
      <c r="C104" s="4" t="s">
        <v>312</v>
      </c>
      <c r="D104" t="s">
        <v>330</v>
      </c>
      <c r="E104" t="s">
        <v>79</v>
      </c>
      <c r="F104" s="2">
        <f t="shared" ref="F104:F109" ca="1" si="43">GAMMAINV(RAND(),I104,J104)</f>
        <v>23753.119931963847</v>
      </c>
      <c r="G104" s="508">
        <v>21000</v>
      </c>
      <c r="H104" s="2">
        <v>7000</v>
      </c>
      <c r="I104" s="2">
        <f t="shared" ref="I104" si="44">(G104/H104)^2</f>
        <v>9</v>
      </c>
      <c r="J104" s="2">
        <f t="shared" si="39"/>
        <v>2333.3333333333335</v>
      </c>
      <c r="K104" s="565">
        <f t="shared" si="37"/>
        <v>9602.5372272161094</v>
      </c>
      <c r="L104" s="566">
        <f t="shared" si="35"/>
        <v>36780.77484711774</v>
      </c>
      <c r="M104" s="523"/>
      <c r="N104" s="33">
        <v>-277851.74160601868</v>
      </c>
      <c r="O104" s="33">
        <v>-278096.9867222684</v>
      </c>
      <c r="P104" s="452" t="s">
        <v>323</v>
      </c>
      <c r="Q104" s="33">
        <f>CUA!$C$9-N104</f>
        <v>-102.8459652812453</v>
      </c>
      <c r="R104" s="33">
        <f>CUA!$C$9-O104</f>
        <v>142.39915096847108</v>
      </c>
      <c r="S104" s="33">
        <v>1164499.0008481203</v>
      </c>
      <c r="T104" s="33">
        <v>1164055.3889787444</v>
      </c>
      <c r="U104" s="33">
        <v>921663.32497311383</v>
      </c>
      <c r="V104" s="33">
        <v>921063.5431074989</v>
      </c>
      <c r="W104">
        <f>(CUA!$C$9-'Parameters &amp; DSA'!N104)/CUA!$C$9</f>
        <v>3.7000995802907412E-4</v>
      </c>
      <c r="X104">
        <f>(CUA!$C$9-'Parameters &amp; DSA'!O104)/CUA!$C$9</f>
        <v>-5.1231084981442638E-4</v>
      </c>
    </row>
    <row r="105" spans="1:24">
      <c r="A105" s="230" t="s">
        <v>324</v>
      </c>
      <c r="B105" s="7">
        <f>IF($B$1=0,$F$105,$G$105)</f>
        <v>380000</v>
      </c>
      <c r="C105" s="4" t="s">
        <v>313</v>
      </c>
      <c r="D105" t="s">
        <v>330</v>
      </c>
      <c r="E105" t="s">
        <v>79</v>
      </c>
      <c r="F105" s="2">
        <f t="shared" ca="1" si="43"/>
        <v>244077.11907050619</v>
      </c>
      <c r="G105" s="508">
        <v>380000</v>
      </c>
      <c r="H105" s="2">
        <v>132000</v>
      </c>
      <c r="I105" s="2">
        <f t="shared" ref="I105:I109" si="45">(G105/H105)^2</f>
        <v>8.2874196510560161</v>
      </c>
      <c r="J105" s="2">
        <f t="shared" si="39"/>
        <v>45852.631578947367</v>
      </c>
      <c r="K105" s="565">
        <f t="shared" si="37"/>
        <v>166990.24372821927</v>
      </c>
      <c r="L105" s="566">
        <f t="shared" si="35"/>
        <v>679082.06908409181</v>
      </c>
      <c r="M105" s="523"/>
      <c r="N105" s="33">
        <v>-210039.98206959537</v>
      </c>
      <c r="O105" s="33">
        <v>-373311.91340459842</v>
      </c>
      <c r="P105" s="452" t="s">
        <v>324</v>
      </c>
      <c r="Q105" s="33">
        <f>CUA!$C$9-N105</f>
        <v>-67914.605501704558</v>
      </c>
      <c r="R105" s="33">
        <f>CUA!$C$9-O105</f>
        <v>95357.325833298499</v>
      </c>
      <c r="S105" s="33">
        <v>1287160.3686812576</v>
      </c>
      <c r="T105" s="33">
        <v>991825.77534199227</v>
      </c>
      <c r="U105" s="33">
        <v>1087506.6423337189</v>
      </c>
      <c r="V105" s="33">
        <v>688201.8770602881</v>
      </c>
      <c r="W105">
        <f>(CUA!$C$9-'Parameters &amp; DSA'!N105)/CUA!$C$9</f>
        <v>0.24433705554251139</v>
      </c>
      <c r="X105">
        <f>(CUA!$C$9-'Parameters &amp; DSA'!O105)/CUA!$C$9</f>
        <v>-0.34306800498062573</v>
      </c>
    </row>
    <row r="106" spans="1:24">
      <c r="A106" s="230" t="s">
        <v>325</v>
      </c>
      <c r="B106" s="7">
        <f>IF($B$1=0,$F$106,$G$106)</f>
        <v>33000</v>
      </c>
      <c r="C106" s="4" t="s">
        <v>314</v>
      </c>
      <c r="D106" t="s">
        <v>330</v>
      </c>
      <c r="E106" t="s">
        <v>79</v>
      </c>
      <c r="F106" s="2">
        <f t="shared" ca="1" si="43"/>
        <v>39353.38827045769</v>
      </c>
      <c r="G106" s="508">
        <v>33000</v>
      </c>
      <c r="H106" s="2">
        <v>8000</v>
      </c>
      <c r="I106" s="2">
        <f t="shared" si="45"/>
        <v>17.015625</v>
      </c>
      <c r="J106" s="2">
        <f t="shared" si="39"/>
        <v>1939.3939393939395</v>
      </c>
      <c r="K106" s="565">
        <f t="shared" si="37"/>
        <v>19229.13735949578</v>
      </c>
      <c r="L106" s="566">
        <f t="shared" si="35"/>
        <v>50428.815101016298</v>
      </c>
      <c r="M106" s="523"/>
      <c r="N106" s="33">
        <v>-273563.97786394611</v>
      </c>
      <c r="O106" s="33">
        <v>-283511.47436683916</v>
      </c>
      <c r="P106" s="452" t="s">
        <v>325</v>
      </c>
      <c r="Q106" s="33">
        <f>CUA!$C$9-N106</f>
        <v>-4390.6097073538112</v>
      </c>
      <c r="R106" s="33">
        <f>CUA!$C$9-O106</f>
        <v>5556.8867955392343</v>
      </c>
      <c r="S106" s="33">
        <v>1172254.926503839</v>
      </c>
      <c r="T106" s="33">
        <v>1154261.3876854745</v>
      </c>
      <c r="U106" s="33">
        <v>932149.66197284765</v>
      </c>
      <c r="V106" s="33">
        <v>907821.64230854856</v>
      </c>
      <c r="W106">
        <f>(CUA!$C$9-'Parameters &amp; DSA'!N106)/CUA!$C$9</f>
        <v>1.5796140462072956E-2</v>
      </c>
      <c r="X106">
        <f>(CUA!$C$9-'Parameters &amp; DSA'!O106)/CUA!$C$9</f>
        <v>-1.999206720815069E-2</v>
      </c>
    </row>
    <row r="107" spans="1:24">
      <c r="A107" s="230" t="s">
        <v>326</v>
      </c>
      <c r="B107" s="7">
        <f>IF($B$1=0,$F$107,$G$107)</f>
        <v>41000</v>
      </c>
      <c r="C107" s="4" t="s">
        <v>315</v>
      </c>
      <c r="D107" t="s">
        <v>330</v>
      </c>
      <c r="E107" t="s">
        <v>79</v>
      </c>
      <c r="F107" s="2">
        <f t="shared" ca="1" si="43"/>
        <v>28082.573065355558</v>
      </c>
      <c r="G107" s="508">
        <v>41000</v>
      </c>
      <c r="H107" s="2">
        <v>8000</v>
      </c>
      <c r="I107" s="2">
        <f t="shared" si="45"/>
        <v>26.265625</v>
      </c>
      <c r="J107" s="2">
        <f t="shared" si="39"/>
        <v>1560.9756097560976</v>
      </c>
      <c r="K107" s="565">
        <f t="shared" si="37"/>
        <v>26846.638354389186</v>
      </c>
      <c r="L107" s="566">
        <f t="shared" si="35"/>
        <v>58102.121610889153</v>
      </c>
      <c r="M107" s="523"/>
      <c r="N107" s="33">
        <v>-273442.02444035007</v>
      </c>
      <c r="O107" s="33">
        <v>-283407.31360026047</v>
      </c>
      <c r="P107" s="452" t="s">
        <v>326</v>
      </c>
      <c r="Q107" s="33">
        <f>CUA!$C$9-N107</f>
        <v>-4512.5631309498567</v>
      </c>
      <c r="R107" s="33">
        <f>CUA!$C$9-O107</f>
        <v>5452.7260289605474</v>
      </c>
      <c r="S107" s="33">
        <v>1172475.5220738756</v>
      </c>
      <c r="T107" s="33">
        <v>1154449.7989903926</v>
      </c>
      <c r="U107" s="33">
        <v>932447.91644184885</v>
      </c>
      <c r="V107" s="33">
        <v>908076.38230034802</v>
      </c>
      <c r="W107">
        <f>(CUA!$C$9-'Parameters &amp; DSA'!N107)/CUA!$C$9</f>
        <v>1.6234893514007247E-2</v>
      </c>
      <c r="X107">
        <f>(CUA!$C$9-'Parameters &amp; DSA'!O107)/CUA!$C$9</f>
        <v>-1.9617326976342254E-2</v>
      </c>
    </row>
    <row r="108" spans="1:24">
      <c r="A108" s="230" t="s">
        <v>327</v>
      </c>
      <c r="B108" s="7">
        <f>IF($B$1=0,$F$108,$G$108)</f>
        <v>15000</v>
      </c>
      <c r="C108" s="4" t="s">
        <v>316</v>
      </c>
      <c r="D108" t="s">
        <v>330</v>
      </c>
      <c r="E108" t="s">
        <v>79</v>
      </c>
      <c r="F108" s="2">
        <f t="shared" ca="1" si="43"/>
        <v>3214.348769819851</v>
      </c>
      <c r="G108" s="508">
        <v>15000</v>
      </c>
      <c r="H108" s="2">
        <v>15000</v>
      </c>
      <c r="I108" s="2">
        <f t="shared" si="45"/>
        <v>1</v>
      </c>
      <c r="J108" s="2">
        <f t="shared" si="39"/>
        <v>15000</v>
      </c>
      <c r="K108" s="565">
        <f t="shared" si="37"/>
        <v>379.76711976434814</v>
      </c>
      <c r="L108" s="566">
        <f t="shared" si="35"/>
        <v>55333.191811709032</v>
      </c>
      <c r="M108" s="523"/>
      <c r="N108" s="33">
        <v>-264727.28582852567</v>
      </c>
      <c r="O108" s="33">
        <v>-314445.06639697432</v>
      </c>
      <c r="P108" s="452" t="s">
        <v>327</v>
      </c>
      <c r="Q108" s="33">
        <f>CUA!$C$9-N108</f>
        <v>-13227.30174277426</v>
      </c>
      <c r="R108" s="33">
        <f>CUA!$C$9-O108</f>
        <v>36490.478825674392</v>
      </c>
      <c r="S108" s="33">
        <v>1188239.1855703304</v>
      </c>
      <c r="T108" s="33">
        <v>1098307.1293629103</v>
      </c>
      <c r="U108" s="33">
        <v>953761.05108391994</v>
      </c>
      <c r="V108" s="33">
        <v>832169.13667784492</v>
      </c>
      <c r="W108">
        <f>(CUA!$C$9-'Parameters &amp; DSA'!N108)/CUA!$C$9</f>
        <v>4.7587995788633063E-2</v>
      </c>
      <c r="X108">
        <f>(CUA!$C$9-'Parameters &amp; DSA'!O108)/CUA!$C$9</f>
        <v>-0.13128216067422879</v>
      </c>
    </row>
    <row r="109" spans="1:24" s="96" customFormat="1" ht="16.5" thickBot="1">
      <c r="A109" s="227" t="s">
        <v>329</v>
      </c>
      <c r="B109" s="103">
        <f>IF($B$1=0,$F$109,$G$109)</f>
        <v>0.26979999999999998</v>
      </c>
      <c r="C109" s="102" t="s">
        <v>317</v>
      </c>
      <c r="D109" s="96" t="s">
        <v>330</v>
      </c>
      <c r="E109" s="96" t="s">
        <v>79</v>
      </c>
      <c r="F109" s="293">
        <f t="shared" ca="1" si="43"/>
        <v>5.6239458237519607E-3</v>
      </c>
      <c r="G109" s="516">
        <v>0.26979999999999998</v>
      </c>
      <c r="H109" s="293">
        <v>0.51939999999999997</v>
      </c>
      <c r="I109" s="293">
        <f t="shared" si="45"/>
        <v>0.26982364207152915</v>
      </c>
      <c r="J109" s="293">
        <f t="shared" si="39"/>
        <v>0.99991237954040035</v>
      </c>
      <c r="K109" s="573">
        <f t="shared" si="37"/>
        <v>7.8972092732905666E-7</v>
      </c>
      <c r="L109" s="574">
        <f t="shared" si="35"/>
        <v>1.7914646699408032</v>
      </c>
      <c r="M109" s="244"/>
      <c r="N109" s="424">
        <v>-264383.74604313826</v>
      </c>
      <c r="O109" s="424">
        <v>-312205.8769428893</v>
      </c>
      <c r="P109" s="453" t="s">
        <v>329</v>
      </c>
      <c r="Q109" s="424">
        <f>CUA!$C$9-N109</f>
        <v>-13570.841528161662</v>
      </c>
      <c r="R109" s="424">
        <f>CUA!$C$9-O109</f>
        <v>34251.289371589373</v>
      </c>
      <c r="S109" s="424">
        <v>1188860.597848508</v>
      </c>
      <c r="T109" s="424">
        <v>1102357.4894059664</v>
      </c>
      <c r="U109" s="424">
        <v>954601.22656444961</v>
      </c>
      <c r="V109" s="424">
        <v>837645.39344810217</v>
      </c>
      <c r="W109">
        <f>(CUA!$C$9-'Parameters &amp; DSA'!N109)/CUA!$C$9</f>
        <v>4.8823952310844729E-2</v>
      </c>
      <c r="X109">
        <f>(CUA!$C$9-'Parameters &amp; DSA'!O109)/CUA!$C$9</f>
        <v>-0.1232262063773398</v>
      </c>
    </row>
    <row r="110" spans="1:24" ht="7.15" customHeight="1" thickBot="1">
      <c r="A110" s="230"/>
      <c r="G110" s="508"/>
      <c r="H110" s="2"/>
      <c r="I110" s="2"/>
      <c r="J110" s="2"/>
      <c r="K110" s="536"/>
      <c r="L110" s="537"/>
      <c r="M110" s="523"/>
      <c r="N110" s="33"/>
      <c r="O110" s="33"/>
      <c r="P110" s="452"/>
      <c r="Q110" s="33"/>
      <c r="R110" s="33"/>
      <c r="U110" s="33"/>
      <c r="V110" s="33"/>
      <c r="W110">
        <f>(CUA!$C$9-'Parameters &amp; DSA'!N110)/CUA!$C$9</f>
        <v>1</v>
      </c>
      <c r="X110">
        <f>(CUA!$C$9-'Parameters &amp; DSA'!O110)/CUA!$C$9</f>
        <v>1</v>
      </c>
    </row>
    <row r="111" spans="1:24" s="298" customFormat="1">
      <c r="A111" s="239" t="s">
        <v>340</v>
      </c>
      <c r="B111" s="296"/>
      <c r="C111" s="297"/>
      <c r="G111" s="517"/>
      <c r="H111" s="299"/>
      <c r="I111" s="299"/>
      <c r="J111" s="299"/>
      <c r="K111" s="560"/>
      <c r="L111" s="556"/>
      <c r="M111" s="530"/>
      <c r="N111" s="426"/>
      <c r="O111" s="426"/>
      <c r="P111" s="455"/>
      <c r="Q111" s="426"/>
      <c r="R111" s="426"/>
      <c r="S111" s="426"/>
      <c r="T111" s="426"/>
      <c r="U111" s="426"/>
      <c r="V111" s="426"/>
      <c r="W111">
        <f>(CUA!$C$9-'Parameters &amp; DSA'!N111)/CUA!$C$9</f>
        <v>1</v>
      </c>
      <c r="X111">
        <f>(CUA!$C$9-'Parameters &amp; DSA'!O111)/CUA!$C$9</f>
        <v>1</v>
      </c>
    </row>
    <row r="112" spans="1:24">
      <c r="A112" s="230" t="s">
        <v>277</v>
      </c>
      <c r="B112" s="309">
        <f>IF($B$1=0,$F$112,$G$112)</f>
        <v>0.72</v>
      </c>
      <c r="D112" t="s">
        <v>330</v>
      </c>
      <c r="E112" t="s">
        <v>19</v>
      </c>
      <c r="F112" s="27">
        <f ca="1">BETAINV(RAND(),I112,J112)</f>
        <v>0.62610504998992023</v>
      </c>
      <c r="G112" s="510">
        <v>0.72</v>
      </c>
      <c r="H112" s="27">
        <v>0.08</v>
      </c>
      <c r="I112" s="27">
        <f>G112*(G112*(1-G112)/(H112^2)-1)</f>
        <v>21.96</v>
      </c>
      <c r="J112" s="27">
        <f>G112*(1-G112)/(H112^2)-1-I112</f>
        <v>8.5399999999999991</v>
      </c>
      <c r="K112" s="541">
        <f>_xlfn.BETA.INV(0.025,I112,J112)</f>
        <v>0.55112031847656473</v>
      </c>
      <c r="L112" s="552">
        <f>_xlfn.BETA.INV(0.975,I112,J112)</f>
        <v>0.86159471211223604</v>
      </c>
      <c r="M112" s="523"/>
      <c r="N112" s="33">
        <v>-266475.2025256129</v>
      </c>
      <c r="O112" s="33">
        <v>-288370.12593904563</v>
      </c>
      <c r="P112" s="452" t="s">
        <v>277</v>
      </c>
      <c r="Q112" s="33">
        <f>CUA!$C$9-N112</f>
        <v>-11479.385045687028</v>
      </c>
      <c r="R112" s="33">
        <f>CUA!$C$9-O112</f>
        <v>10415.538367745699</v>
      </c>
      <c r="S112" s="33">
        <v>1150889.8807518547</v>
      </c>
      <c r="T112" s="33">
        <v>1175567.3598984377</v>
      </c>
      <c r="U112" s="33">
        <v>903387.49470124464</v>
      </c>
      <c r="V112" s="33">
        <v>936524.01750731608</v>
      </c>
      <c r="W112">
        <f>(CUA!$C$9-'Parameters &amp; DSA'!N112)/CUA!$C$9</f>
        <v>4.1299498403646162E-2</v>
      </c>
      <c r="X112">
        <f>(CUA!$C$9-'Parameters &amp; DSA'!O112)/CUA!$C$9</f>
        <v>-3.7472086569083671E-2</v>
      </c>
    </row>
    <row r="113" spans="1:28" ht="16.5" thickBot="1">
      <c r="A113" s="230" t="s">
        <v>278</v>
      </c>
      <c r="B113" s="309">
        <f>IF($B$1=0,$F$113,$G$113)</f>
        <v>0.68</v>
      </c>
      <c r="D113" t="s">
        <v>330</v>
      </c>
      <c r="E113" t="s">
        <v>19</v>
      </c>
      <c r="F113" s="27">
        <f ca="1">BETAINV(RAND(),I113,J113)</f>
        <v>0.7707190863980391</v>
      </c>
      <c r="G113" s="510">
        <v>0.68</v>
      </c>
      <c r="H113" s="27">
        <v>0.1</v>
      </c>
      <c r="I113" s="27">
        <f>G113*(G113*(1-G113)/(H113^2)-1)</f>
        <v>14.116799999999998</v>
      </c>
      <c r="J113" s="27">
        <f>G113*(1-G113)/(H113^2)-1-I113</f>
        <v>6.6431999999999967</v>
      </c>
      <c r="K113" s="541">
        <f t="shared" ref="K113:K114" si="46">_xlfn.BETA.INV(0.025,I113,J113)</f>
        <v>0.47023798238390768</v>
      </c>
      <c r="L113" s="552">
        <f t="shared" ref="L113:L114" si="47">_xlfn.BETA.INV(0.975,I113,J113)</f>
        <v>0.85696714736652002</v>
      </c>
      <c r="M113" s="523"/>
      <c r="N113" s="33">
        <v>-263837.41708612017</v>
      </c>
      <c r="O113" s="33">
        <v>-291095.08938878356</v>
      </c>
      <c r="P113" s="452" t="s">
        <v>278</v>
      </c>
      <c r="Q113" s="33">
        <f>CUA!$C$9-N113</f>
        <v>-14117.170485179755</v>
      </c>
      <c r="R113" s="33">
        <f>CUA!$C$9-O113</f>
        <v>13140.50181748363</v>
      </c>
      <c r="S113" s="33">
        <v>1147640.4243809897</v>
      </c>
      <c r="T113" s="33">
        <v>1178378.8720593266</v>
      </c>
      <c r="U113" s="33">
        <v>899024.17685581255</v>
      </c>
      <c r="V113" s="33">
        <v>940299.2708986972</v>
      </c>
      <c r="W113">
        <f>(CUA!$C$9-'Parameters &amp; DSA'!N113)/CUA!$C$9</f>
        <v>5.0789485464270194E-2</v>
      </c>
      <c r="X113">
        <f>(CUA!$C$9-'Parameters &amp; DSA'!O113)/CUA!$C$9</f>
        <v>-4.7275714829181852E-2</v>
      </c>
    </row>
    <row r="114" spans="1:28" s="443" customFormat="1" ht="16.5" hidden="1" thickBot="1">
      <c r="A114" s="643" t="s">
        <v>279</v>
      </c>
      <c r="B114" s="644">
        <f t="shared" ref="B114" si="48">IF($B$1=0,F114,G114)</f>
        <v>0.6</v>
      </c>
      <c r="C114" s="624"/>
      <c r="D114" s="443" t="s">
        <v>330</v>
      </c>
      <c r="E114" s="443" t="s">
        <v>19</v>
      </c>
      <c r="F114" s="645">
        <f ca="1">BETAINV(RAND(),I114,J114)</f>
        <v>0.58197075651397456</v>
      </c>
      <c r="G114" s="646">
        <v>0.6</v>
      </c>
      <c r="H114" s="645">
        <v>0.15</v>
      </c>
      <c r="I114" s="645">
        <f>G114*(G114*(1-G114)/(H114^2)-1)</f>
        <v>5.8</v>
      </c>
      <c r="J114" s="645">
        <f>G114*(1-G114)/(H114^2)-1-I114</f>
        <v>3.8666666666666663</v>
      </c>
      <c r="K114" s="627">
        <f t="shared" si="46"/>
        <v>0.29458789900231069</v>
      </c>
      <c r="L114" s="647">
        <f t="shared" si="47"/>
        <v>0.8664322775337292</v>
      </c>
      <c r="M114" s="244"/>
      <c r="N114" s="633"/>
      <c r="O114" s="633"/>
      <c r="P114" s="634"/>
      <c r="Q114" s="633">
        <f>CUA!$C$9-N114</f>
        <v>-277954.58757129993</v>
      </c>
      <c r="R114" s="633">
        <f>CUA!$C$9-O114</f>
        <v>-277954.58757129993</v>
      </c>
      <c r="S114" s="633"/>
      <c r="T114" s="633"/>
      <c r="U114" s="633"/>
      <c r="V114" s="633"/>
      <c r="W114">
        <f>(CUA!$C$9-'Parameters &amp; DSA'!N114)/CUA!$C$9</f>
        <v>1</v>
      </c>
      <c r="X114">
        <f>(CUA!$C$9-'Parameters &amp; DSA'!O114)/CUA!$C$9</f>
        <v>1</v>
      </c>
    </row>
    <row r="115" spans="1:28" s="104" customFormat="1" ht="7.15" customHeight="1" thickBot="1">
      <c r="A115" s="307"/>
      <c r="B115" s="107"/>
      <c r="C115" s="106"/>
      <c r="G115" s="518"/>
      <c r="H115" s="308"/>
      <c r="I115" s="308"/>
      <c r="J115" s="308"/>
      <c r="K115" s="532"/>
      <c r="L115" s="533"/>
      <c r="M115" s="521"/>
      <c r="N115" s="425"/>
      <c r="O115" s="425"/>
      <c r="P115" s="456"/>
      <c r="Q115" s="425"/>
      <c r="R115" s="425"/>
      <c r="S115" s="425"/>
      <c r="T115" s="425"/>
      <c r="U115" s="425"/>
      <c r="V115" s="425"/>
      <c r="W115">
        <f>(CUA!$C$9-'Parameters &amp; DSA'!N115)/CUA!$C$9</f>
        <v>1</v>
      </c>
      <c r="X115">
        <f>(CUA!$C$9-'Parameters &amp; DSA'!O115)/CUA!$C$9</f>
        <v>1</v>
      </c>
    </row>
    <row r="116" spans="1:28" s="298" customFormat="1">
      <c r="A116" s="239" t="s">
        <v>345</v>
      </c>
      <c r="B116" s="296"/>
      <c r="C116" s="297"/>
      <c r="G116" s="517"/>
      <c r="H116" s="299"/>
      <c r="I116" s="299"/>
      <c r="J116" s="299"/>
      <c r="K116" s="560"/>
      <c r="L116" s="556"/>
      <c r="M116" s="530"/>
      <c r="N116" s="426"/>
      <c r="O116" s="426"/>
      <c r="P116" s="455"/>
      <c r="Q116" s="426"/>
      <c r="R116" s="426"/>
      <c r="S116" s="426"/>
      <c r="T116" s="426"/>
      <c r="U116" s="426"/>
      <c r="V116" s="426"/>
      <c r="W116">
        <f>(CUA!$C$9-'Parameters &amp; DSA'!N116)/CUA!$C$9</f>
        <v>1</v>
      </c>
      <c r="X116">
        <f>(CUA!$C$9-'Parameters &amp; DSA'!O116)/CUA!$C$9</f>
        <v>1</v>
      </c>
    </row>
    <row r="117" spans="1:28">
      <c r="A117" s="230" t="s">
        <v>332</v>
      </c>
      <c r="B117" s="309">
        <f>IF($B$1=0,$F$117,$G$117)</f>
        <v>-11.17709</v>
      </c>
      <c r="C117" s="4" t="s">
        <v>333</v>
      </c>
      <c r="D117" t="s">
        <v>330</v>
      </c>
      <c r="E117" t="s">
        <v>223</v>
      </c>
      <c r="F117" s="358">
        <f ca="1">'Hazard f_n of dialysis cohort'!G65</f>
        <v>-10.79547232798862</v>
      </c>
      <c r="G117" s="496">
        <f>'Hazard f_n of dialysis cohort'!$C$45</f>
        <v>-11.17709</v>
      </c>
      <c r="H117" s="358">
        <f>'Hazard f_n of dialysis cohort'!D45</f>
        <v>0.24387030000000001</v>
      </c>
      <c r="I117" s="2"/>
      <c r="J117" s="2"/>
      <c r="K117" s="541">
        <f>'Hazard f_n of dialysis cohort'!F33</f>
        <v>-11.65507</v>
      </c>
      <c r="L117" s="552">
        <f>'Hazard f_n of dialysis cohort'!G33</f>
        <v>-10.699120000000001</v>
      </c>
      <c r="M117" s="523"/>
      <c r="N117" s="33">
        <v>-366504.42472558533</v>
      </c>
      <c r="O117" s="33">
        <v>-191919.52946542809</v>
      </c>
      <c r="P117" s="452" t="s">
        <v>332</v>
      </c>
      <c r="Q117" s="33">
        <f>CUA!$C$9-N117</f>
        <v>88549.8371542854</v>
      </c>
      <c r="R117" s="33">
        <f>CUA!$C$9-O117</f>
        <v>-86035.058105871838</v>
      </c>
      <c r="S117" s="33">
        <v>1111148.7183910029</v>
      </c>
      <c r="T117" s="33">
        <v>1233012.5065066977</v>
      </c>
      <c r="U117" s="33">
        <v>847022.52717775223</v>
      </c>
      <c r="V117" s="33">
        <v>1016876.2801019835</v>
      </c>
      <c r="W117">
        <f>(CUA!$C$9-'Parameters &amp; DSA'!N117)/CUA!$C$9</f>
        <v>-0.31857663486691296</v>
      </c>
      <c r="X117">
        <f>(CUA!$C$9-'Parameters &amp; DSA'!O117)/CUA!$C$9</f>
        <v>0.30952918912986976</v>
      </c>
    </row>
    <row r="118" spans="1:28">
      <c r="A118" s="230" t="s">
        <v>334</v>
      </c>
      <c r="B118" s="309">
        <f>IF($B$1=0,$F$118,$G$118)</f>
        <v>3.4733199999999999E-2</v>
      </c>
      <c r="C118" s="4" t="s">
        <v>335</v>
      </c>
      <c r="D118" t="s">
        <v>330</v>
      </c>
      <c r="E118" t="s">
        <v>223</v>
      </c>
      <c r="F118" s="358">
        <f ca="1">'Hazard f_n of dialysis cohort'!G66</f>
        <v>3.2404773796946937E-2</v>
      </c>
      <c r="G118" s="496">
        <f>'Hazard f_n of dialysis cohort'!$C$46</f>
        <v>3.4733199999999999E-2</v>
      </c>
      <c r="H118" s="358">
        <f>'Hazard f_n of dialysis cohort'!D46</f>
        <v>2.1258000000000002E-3</v>
      </c>
      <c r="I118" s="2"/>
      <c r="J118" s="2"/>
      <c r="K118" s="536">
        <f>'Hazard f_n of dialysis cohort'!F32</f>
        <v>3.0566800000000002E-2</v>
      </c>
      <c r="L118" s="537">
        <f>'Hazard f_n of dialysis cohort'!G32</f>
        <v>3.8899599999999999E-2</v>
      </c>
      <c r="M118" s="523"/>
      <c r="N118" s="33">
        <v>-310736.58553047967</v>
      </c>
      <c r="O118" s="33">
        <v>-245508.22645711026</v>
      </c>
      <c r="P118" s="452" t="s">
        <v>334</v>
      </c>
      <c r="Q118" s="33">
        <f>CUA!$C$9-N118</f>
        <v>32781.997959179746</v>
      </c>
      <c r="R118" s="33">
        <f>CUA!$C$9-O118</f>
        <v>-32446.361114189669</v>
      </c>
      <c r="S118" s="33">
        <v>1142998.8690694347</v>
      </c>
      <c r="T118" s="33">
        <v>1187755.4734560538</v>
      </c>
      <c r="U118" s="33">
        <v>891639.73783100804</v>
      </c>
      <c r="V118" s="33">
        <v>954074.45626044529</v>
      </c>
      <c r="W118">
        <f>(CUA!$C$9-'Parameters &amp; DSA'!N118)/CUA!$C$9</f>
        <v>-0.11794012196604103</v>
      </c>
      <c r="X118">
        <f>(CUA!$C$9-'Parameters &amp; DSA'!O118)/CUA!$C$9</f>
        <v>0.11673259793154751</v>
      </c>
    </row>
    <row r="119" spans="1:28">
      <c r="A119" s="230" t="s">
        <v>336</v>
      </c>
      <c r="B119" s="309">
        <f>EXP($B$117+$B$118*'MM Conventional'!$C$4)</f>
        <v>6.0172471156348588E-5</v>
      </c>
      <c r="C119" s="4" t="s">
        <v>337</v>
      </c>
      <c r="D119" t="s">
        <v>330</v>
      </c>
      <c r="F119" s="358"/>
      <c r="G119" s="496"/>
      <c r="H119" s="358"/>
      <c r="I119" s="2"/>
      <c r="J119" s="2"/>
      <c r="K119" s="536"/>
      <c r="L119" s="537"/>
      <c r="M119" s="523"/>
      <c r="N119" s="33"/>
      <c r="O119" s="33"/>
      <c r="P119" s="452"/>
      <c r="Q119" s="33"/>
      <c r="R119" s="33"/>
      <c r="U119" s="33"/>
      <c r="V119" s="33"/>
      <c r="W119">
        <f>(CUA!$C$9-'Parameters &amp; DSA'!N119)/CUA!$C$9</f>
        <v>1</v>
      </c>
      <c r="X119">
        <f>(CUA!$C$9-'Parameters &amp; DSA'!O119)/CUA!$C$9</f>
        <v>1</v>
      </c>
    </row>
    <row r="120" spans="1:28" s="96" customFormat="1" ht="16.5" thickBot="1">
      <c r="A120" s="227" t="s">
        <v>338</v>
      </c>
      <c r="B120" s="360">
        <f>EXP(IF($B$1=0,$F$120,$G$120))</f>
        <v>1.074865137262125</v>
      </c>
      <c r="C120" s="102" t="s">
        <v>339</v>
      </c>
      <c r="D120" s="96" t="s">
        <v>330</v>
      </c>
      <c r="E120" s="96" t="s">
        <v>223</v>
      </c>
      <c r="F120" s="359">
        <f ca="1">'Hazard f_n of dialysis cohort'!G64</f>
        <v>3.9926720505317495E-2</v>
      </c>
      <c r="G120" s="519">
        <f>'Hazard f_n of dialysis cohort'!$C$44</f>
        <v>7.2195200000000001E-2</v>
      </c>
      <c r="H120" s="359">
        <f>'Hazard f_n of dialysis cohort'!D44</f>
        <v>2.4672800000000002E-2</v>
      </c>
      <c r="K120" s="575">
        <f>'Hazard f_n of dialysis cohort'!F35</f>
        <v>2.3837400000000002E-2</v>
      </c>
      <c r="L120" s="576">
        <f>'Hazard f_n of dialysis cohort'!G35</f>
        <v>0.1205531</v>
      </c>
      <c r="M120" s="244"/>
      <c r="N120" s="424">
        <v>-366901.38678041246</v>
      </c>
      <c r="O120" s="424">
        <v>-189140.05881397676</v>
      </c>
      <c r="P120" s="453" t="s">
        <v>338</v>
      </c>
      <c r="Q120" s="424">
        <f>CUA!$C$9-N120</f>
        <v>88946.799209112534</v>
      </c>
      <c r="R120" s="424">
        <f>CUA!$C$9-O120</f>
        <v>-88814.528757323162</v>
      </c>
      <c r="S120" s="424">
        <v>1109943.8733798387</v>
      </c>
      <c r="T120" s="424">
        <v>1238345.7755937884</v>
      </c>
      <c r="U120" s="424">
        <v>845748.03509379318</v>
      </c>
      <c r="V120" s="424">
        <v>1023449.7912650917</v>
      </c>
      <c r="W120">
        <f>(CUA!$C$9-'Parameters &amp; DSA'!N120)/CUA!$C$9</f>
        <v>-0.32000478922225456</v>
      </c>
      <c r="X120">
        <f>(CUA!$C$9-'Parameters &amp; DSA'!O120)/CUA!$C$9</f>
        <v>0.31952891849479109</v>
      </c>
    </row>
    <row r="121" spans="1:28">
      <c r="A121" s="230"/>
      <c r="G121" s="2"/>
      <c r="H121" s="2"/>
      <c r="N121" s="33"/>
      <c r="O121" s="33"/>
      <c r="P121" s="452"/>
      <c r="Q121" s="33"/>
      <c r="R121" s="33"/>
    </row>
    <row r="122" spans="1:28" s="11" customFormat="1" ht="16.5" thickBot="1">
      <c r="G122" s="482"/>
      <c r="H122" s="482"/>
      <c r="M122" s="483"/>
      <c r="N122" s="311"/>
      <c r="O122" s="311"/>
      <c r="P122" s="484"/>
      <c r="Q122" s="311"/>
      <c r="R122" s="311"/>
      <c r="S122" s="311"/>
      <c r="T122" s="311"/>
    </row>
    <row r="123" spans="1:28" ht="16.5" thickBot="1">
      <c r="A123" s="712" t="s">
        <v>434</v>
      </c>
      <c r="B123" s="713"/>
      <c r="C123" s="713"/>
      <c r="D123" s="713"/>
      <c r="E123" s="713"/>
      <c r="F123" s="714"/>
      <c r="G123" s="8"/>
      <c r="H123" s="408"/>
      <c r="I123" s="8"/>
      <c r="J123" s="408"/>
      <c r="K123" s="8"/>
      <c r="L123" s="408"/>
      <c r="M123" s="415"/>
      <c r="N123" s="431"/>
      <c r="O123" s="432"/>
      <c r="P123" s="463"/>
      <c r="Q123" s="431"/>
      <c r="R123" s="432"/>
      <c r="S123" s="431"/>
      <c r="T123" s="432"/>
      <c r="U123" s="408"/>
      <c r="V123" s="8"/>
      <c r="W123" s="408"/>
      <c r="X123" s="408"/>
      <c r="Z123" s="11"/>
      <c r="AA123" s="408"/>
      <c r="AB123" s="11"/>
    </row>
    <row r="124" spans="1:28">
      <c r="A124" s="487" t="s">
        <v>475</v>
      </c>
      <c r="B124" s="20" t="s">
        <v>197</v>
      </c>
      <c r="C124" s="20" t="s">
        <v>433</v>
      </c>
      <c r="D124" s="20" t="s">
        <v>435</v>
      </c>
      <c r="E124" s="20" t="s">
        <v>436</v>
      </c>
      <c r="F124" s="696" t="s">
        <v>57</v>
      </c>
      <c r="G124" s="8"/>
      <c r="H124" s="408"/>
      <c r="I124" s="8"/>
      <c r="J124" s="408"/>
      <c r="K124" s="8"/>
      <c r="L124" s="408"/>
      <c r="M124" s="415"/>
      <c r="N124" s="431"/>
      <c r="O124" s="432"/>
      <c r="P124" s="463"/>
      <c r="Q124" s="431"/>
      <c r="R124" s="432"/>
      <c r="S124" s="431"/>
      <c r="T124" s="432"/>
      <c r="U124" s="408"/>
      <c r="V124" s="8"/>
      <c r="W124" s="408"/>
      <c r="X124" s="408"/>
      <c r="Z124" s="11"/>
      <c r="AA124" s="408"/>
      <c r="AB124" s="11"/>
    </row>
    <row r="125" spans="1:28">
      <c r="A125" s="488"/>
      <c r="B125" s="693">
        <f>CUA!$C$9</f>
        <v>-277954.58757129993</v>
      </c>
      <c r="C125" s="693">
        <f>CUA!$C$11</f>
        <v>976100.77844458329</v>
      </c>
      <c r="D125" s="693">
        <f>CUA!$C$12</f>
        <v>171633.62086029164</v>
      </c>
      <c r="E125" s="693">
        <f t="shared" ref="E125:E155" si="49">C125-D125</f>
        <v>804467.15758429165</v>
      </c>
      <c r="F125" s="697" t="s">
        <v>23</v>
      </c>
      <c r="G125" s="409"/>
      <c r="H125" s="408"/>
      <c r="I125" s="409"/>
      <c r="J125" s="408"/>
      <c r="K125" s="409"/>
      <c r="L125" s="408"/>
      <c r="M125" s="416"/>
      <c r="N125" s="431"/>
      <c r="O125" s="432"/>
      <c r="P125" s="463"/>
      <c r="Q125" s="431"/>
      <c r="R125" s="432"/>
      <c r="S125" s="431"/>
      <c r="T125" s="432"/>
      <c r="U125" s="408"/>
      <c r="V125" s="409"/>
      <c r="W125" s="408"/>
      <c r="X125" s="409"/>
      <c r="Y125" s="408"/>
      <c r="Z125" s="409"/>
      <c r="AA125" s="408"/>
      <c r="AB125" s="409"/>
    </row>
    <row r="126" spans="1:28">
      <c r="A126" s="230">
        <v>0.81</v>
      </c>
      <c r="B126" s="694"/>
      <c r="C126" s="694"/>
      <c r="D126" s="694"/>
      <c r="E126" s="694">
        <f t="shared" si="49"/>
        <v>0</v>
      </c>
      <c r="F126" s="256">
        <f>EXP(A126)</f>
        <v>2.2479079866764717</v>
      </c>
      <c r="G126" s="4"/>
      <c r="H126" s="410"/>
      <c r="I126" s="4"/>
      <c r="J126" s="410"/>
      <c r="K126" s="4"/>
      <c r="L126" s="410"/>
      <c r="M126" s="417"/>
      <c r="N126" s="433"/>
      <c r="O126" s="434"/>
      <c r="P126" s="464"/>
      <c r="Q126" s="433"/>
      <c r="R126" s="434"/>
      <c r="S126" s="433"/>
      <c r="T126" s="434"/>
      <c r="U126" s="410"/>
      <c r="V126" s="4"/>
      <c r="W126" s="410"/>
      <c r="Y126" s="410"/>
      <c r="AA126" s="410"/>
    </row>
    <row r="127" spans="1:28">
      <c r="A127" s="230">
        <v>0.8</v>
      </c>
      <c r="B127" s="694"/>
      <c r="C127" s="694"/>
      <c r="D127" s="694"/>
      <c r="E127" s="694">
        <f t="shared" si="49"/>
        <v>0</v>
      </c>
      <c r="F127" s="256">
        <f t="shared" ref="F127:F155" si="50">EXP(A127)</f>
        <v>2.2255409284924679</v>
      </c>
      <c r="G127" s="4"/>
      <c r="H127" s="410"/>
      <c r="I127" s="4"/>
      <c r="J127" s="410"/>
      <c r="K127" s="4"/>
      <c r="L127" s="410"/>
      <c r="M127" s="417"/>
      <c r="N127" s="433"/>
      <c r="O127" s="434"/>
      <c r="P127" s="464"/>
      <c r="Q127" s="433"/>
      <c r="R127" s="434"/>
      <c r="S127" s="433"/>
      <c r="T127" s="434"/>
      <c r="U127" s="410"/>
      <c r="V127" s="4"/>
      <c r="W127" s="410"/>
      <c r="Y127" s="410"/>
      <c r="AA127" s="410"/>
    </row>
    <row r="128" spans="1:28">
      <c r="A128" s="230">
        <v>0.75</v>
      </c>
      <c r="B128" s="694"/>
      <c r="C128" s="694"/>
      <c r="D128" s="694"/>
      <c r="E128" s="694">
        <f t="shared" si="49"/>
        <v>0</v>
      </c>
      <c r="F128" s="256">
        <f t="shared" si="50"/>
        <v>2.1170000166126748</v>
      </c>
      <c r="G128" s="4"/>
      <c r="H128" s="410"/>
      <c r="I128" s="4"/>
      <c r="J128" s="410"/>
      <c r="K128" s="4"/>
      <c r="L128" s="410"/>
      <c r="M128" s="417"/>
      <c r="N128" s="433"/>
      <c r="O128" s="434"/>
      <c r="P128" s="464"/>
      <c r="Q128" s="433"/>
      <c r="R128" s="434"/>
      <c r="S128" s="433"/>
      <c r="T128" s="434"/>
      <c r="U128" s="410"/>
      <c r="V128" s="4"/>
      <c r="W128" s="410"/>
      <c r="Y128" s="410"/>
      <c r="AA128" s="410"/>
    </row>
    <row r="129" spans="1:27">
      <c r="A129" s="230">
        <v>0.7</v>
      </c>
      <c r="B129" s="694"/>
      <c r="C129" s="694"/>
      <c r="D129" s="694"/>
      <c r="E129" s="694">
        <f t="shared" si="49"/>
        <v>0</v>
      </c>
      <c r="F129" s="256">
        <f t="shared" si="50"/>
        <v>2.0137527074704766</v>
      </c>
      <c r="G129" s="4"/>
      <c r="H129" s="410"/>
      <c r="I129" s="4"/>
      <c r="J129" s="410"/>
      <c r="K129" s="4"/>
      <c r="L129" s="410"/>
      <c r="M129" s="417"/>
      <c r="N129" s="433"/>
      <c r="O129" s="434"/>
      <c r="P129" s="464"/>
      <c r="Q129" s="433"/>
      <c r="R129" s="434"/>
      <c r="S129" s="433"/>
      <c r="T129" s="434"/>
      <c r="U129" s="410"/>
      <c r="V129" s="4"/>
      <c r="W129" s="410"/>
      <c r="Y129" s="410"/>
      <c r="AA129" s="410"/>
    </row>
    <row r="130" spans="1:27">
      <c r="A130" s="230">
        <v>0.65</v>
      </c>
      <c r="B130" s="694"/>
      <c r="C130" s="694"/>
      <c r="D130" s="694"/>
      <c r="E130" s="694">
        <f t="shared" si="49"/>
        <v>0</v>
      </c>
      <c r="F130" s="256">
        <f t="shared" si="50"/>
        <v>1.9155408290138962</v>
      </c>
      <c r="G130" s="4"/>
      <c r="H130" s="410"/>
      <c r="I130" s="4"/>
      <c r="J130" s="410"/>
      <c r="K130" s="4"/>
      <c r="L130" s="410"/>
      <c r="M130" s="417"/>
      <c r="N130" s="433"/>
      <c r="O130" s="434"/>
      <c r="P130" s="464"/>
      <c r="Q130" s="433"/>
      <c r="R130" s="434"/>
      <c r="S130" s="433"/>
      <c r="T130" s="434"/>
      <c r="U130" s="410"/>
      <c r="V130" s="4"/>
      <c r="W130" s="410"/>
      <c r="Y130" s="410"/>
      <c r="AA130" s="410"/>
    </row>
    <row r="131" spans="1:27">
      <c r="A131" s="230">
        <v>0.6</v>
      </c>
      <c r="B131" s="694"/>
      <c r="C131" s="694"/>
      <c r="D131" s="694"/>
      <c r="E131" s="694">
        <f t="shared" si="49"/>
        <v>0</v>
      </c>
      <c r="F131" s="256">
        <f t="shared" si="50"/>
        <v>1.8221188003905089</v>
      </c>
      <c r="G131" s="4"/>
      <c r="H131" s="410"/>
      <c r="I131" s="4"/>
      <c r="J131" s="410"/>
      <c r="K131" s="4"/>
      <c r="L131" s="410"/>
      <c r="M131" s="417"/>
      <c r="N131" s="433"/>
      <c r="O131" s="434"/>
      <c r="P131" s="464"/>
      <c r="Q131" s="433"/>
      <c r="R131" s="434"/>
      <c r="S131" s="433"/>
      <c r="T131" s="434"/>
      <c r="U131" s="410"/>
      <c r="V131" s="4"/>
      <c r="W131" s="410"/>
      <c r="Y131" s="410"/>
      <c r="AA131" s="410"/>
    </row>
    <row r="132" spans="1:27">
      <c r="A132" s="230">
        <v>0.55000000000000004</v>
      </c>
      <c r="B132" s="694"/>
      <c r="C132" s="694"/>
      <c r="D132" s="694"/>
      <c r="E132" s="694">
        <f t="shared" si="49"/>
        <v>0</v>
      </c>
      <c r="F132" s="256">
        <f t="shared" si="50"/>
        <v>1.7332530178673953</v>
      </c>
      <c r="G132" s="4"/>
      <c r="H132" s="410"/>
      <c r="I132" s="4"/>
      <c r="J132" s="410"/>
      <c r="K132" s="4"/>
      <c r="L132" s="410"/>
      <c r="M132" s="417"/>
      <c r="N132" s="433"/>
      <c r="O132" s="434"/>
      <c r="P132" s="464"/>
      <c r="Q132" s="433"/>
      <c r="R132" s="434"/>
      <c r="S132" s="433"/>
      <c r="T132" s="434"/>
      <c r="U132" s="410"/>
      <c r="V132" s="4"/>
      <c r="W132" s="410"/>
      <c r="Y132" s="410"/>
      <c r="AA132" s="410"/>
    </row>
    <row r="133" spans="1:27">
      <c r="A133" s="230">
        <v>0.5</v>
      </c>
      <c r="B133" s="694"/>
      <c r="C133" s="694"/>
      <c r="D133" s="694"/>
      <c r="E133" s="694">
        <f t="shared" si="49"/>
        <v>0</v>
      </c>
      <c r="F133" s="256">
        <f t="shared" si="50"/>
        <v>1.6487212707001282</v>
      </c>
      <c r="G133" s="4"/>
      <c r="H133" s="410"/>
      <c r="I133" s="4"/>
      <c r="J133" s="410"/>
      <c r="K133" s="4"/>
      <c r="L133" s="410"/>
      <c r="M133" s="417"/>
      <c r="N133" s="433"/>
      <c r="O133" s="434"/>
      <c r="P133" s="464"/>
      <c r="Q133" s="433"/>
      <c r="R133" s="434"/>
      <c r="S133" s="433"/>
      <c r="T133" s="434"/>
      <c r="U133" s="410"/>
      <c r="V133" s="4"/>
      <c r="W133" s="410"/>
      <c r="Y133" s="410"/>
      <c r="AA133" s="410"/>
    </row>
    <row r="134" spans="1:27">
      <c r="A134" s="230">
        <v>0.45</v>
      </c>
      <c r="B134" s="694"/>
      <c r="C134" s="694"/>
      <c r="D134" s="694"/>
      <c r="E134" s="694">
        <f t="shared" si="49"/>
        <v>0</v>
      </c>
      <c r="F134" s="256">
        <f t="shared" si="50"/>
        <v>1.5683121854901689</v>
      </c>
      <c r="G134" s="4"/>
      <c r="H134" s="410"/>
      <c r="I134" s="4"/>
      <c r="J134" s="410"/>
      <c r="K134" s="4"/>
      <c r="L134" s="410"/>
      <c r="M134" s="417"/>
      <c r="N134" s="433"/>
      <c r="O134" s="434"/>
      <c r="P134" s="464"/>
      <c r="Q134" s="433"/>
      <c r="R134" s="434"/>
      <c r="S134" s="433"/>
      <c r="T134" s="434"/>
      <c r="U134" s="410"/>
      <c r="V134" s="4"/>
      <c r="W134" s="410"/>
      <c r="Y134" s="410"/>
      <c r="AA134" s="410"/>
    </row>
    <row r="135" spans="1:27">
      <c r="A135" s="230">
        <v>0.4</v>
      </c>
      <c r="B135" s="694"/>
      <c r="C135" s="694"/>
      <c r="D135" s="694"/>
      <c r="E135" s="694">
        <f t="shared" si="49"/>
        <v>0</v>
      </c>
      <c r="F135" s="256">
        <f t="shared" si="50"/>
        <v>1.4918246976412703</v>
      </c>
      <c r="G135" s="4"/>
      <c r="H135" s="410"/>
      <c r="I135" s="4"/>
      <c r="J135" s="410"/>
      <c r="K135" s="4"/>
      <c r="L135" s="410"/>
      <c r="M135" s="417"/>
      <c r="N135" s="433"/>
      <c r="O135" s="434"/>
      <c r="P135" s="464"/>
      <c r="Q135" s="433"/>
      <c r="R135" s="434"/>
      <c r="S135" s="433"/>
      <c r="T135" s="434"/>
      <c r="U135" s="410"/>
      <c r="V135" s="4"/>
      <c r="W135" s="410"/>
      <c r="Y135" s="410"/>
      <c r="AA135" s="410"/>
    </row>
    <row r="136" spans="1:27">
      <c r="A136" s="230">
        <v>0.35</v>
      </c>
      <c r="B136" s="694"/>
      <c r="C136" s="694"/>
      <c r="D136" s="694"/>
      <c r="E136" s="694">
        <f t="shared" si="49"/>
        <v>0</v>
      </c>
      <c r="F136" s="256">
        <f t="shared" si="50"/>
        <v>1.4190675485932571</v>
      </c>
      <c r="G136" s="4"/>
      <c r="H136" s="410"/>
      <c r="I136" s="4"/>
      <c r="J136" s="410"/>
      <c r="K136" s="4"/>
      <c r="L136" s="410"/>
      <c r="M136" s="417"/>
      <c r="N136" s="433"/>
      <c r="O136" s="434"/>
      <c r="P136" s="464"/>
      <c r="Q136" s="433"/>
      <c r="R136" s="434"/>
      <c r="S136" s="433"/>
      <c r="T136" s="434"/>
      <c r="U136" s="410"/>
      <c r="V136" s="4"/>
      <c r="W136" s="410"/>
      <c r="Y136" s="410"/>
      <c r="AA136" s="410"/>
    </row>
    <row r="137" spans="1:27">
      <c r="A137" s="230">
        <v>0.3</v>
      </c>
      <c r="B137" s="694"/>
      <c r="C137" s="694"/>
      <c r="D137" s="694"/>
      <c r="E137" s="694">
        <f t="shared" si="49"/>
        <v>0</v>
      </c>
      <c r="F137" s="256">
        <f t="shared" si="50"/>
        <v>1.3498588075760032</v>
      </c>
      <c r="G137" s="4"/>
      <c r="H137" s="410"/>
      <c r="I137" s="4"/>
      <c r="J137" s="410"/>
      <c r="K137" s="4"/>
      <c r="L137" s="410"/>
      <c r="M137" s="417"/>
      <c r="N137" s="433"/>
      <c r="O137" s="434"/>
      <c r="P137" s="464"/>
      <c r="Q137" s="433"/>
      <c r="R137" s="434"/>
      <c r="S137" s="433"/>
      <c r="T137" s="434"/>
      <c r="U137" s="410"/>
      <c r="V137" s="4"/>
      <c r="W137" s="410"/>
      <c r="Y137" s="410"/>
      <c r="AA137" s="410"/>
    </row>
    <row r="138" spans="1:27">
      <c r="A138" s="230">
        <v>0.25</v>
      </c>
      <c r="B138" s="694"/>
      <c r="C138" s="694"/>
      <c r="D138" s="694"/>
      <c r="E138" s="694">
        <f t="shared" si="49"/>
        <v>0</v>
      </c>
      <c r="F138" s="256">
        <f t="shared" si="50"/>
        <v>1.2840254166877414</v>
      </c>
      <c r="G138" s="4"/>
      <c r="H138" s="410"/>
      <c r="I138" s="4"/>
      <c r="J138" s="410"/>
      <c r="K138" s="4"/>
      <c r="L138" s="410"/>
      <c r="M138" s="417"/>
      <c r="N138" s="433"/>
      <c r="O138" s="434"/>
      <c r="P138" s="464"/>
      <c r="Q138" s="433"/>
      <c r="R138" s="434"/>
      <c r="S138" s="433"/>
      <c r="T138" s="434"/>
      <c r="U138" s="410"/>
      <c r="V138" s="4"/>
      <c r="W138" s="410"/>
      <c r="Y138" s="410"/>
      <c r="AA138" s="410"/>
    </row>
    <row r="139" spans="1:27">
      <c r="A139" s="230">
        <v>0.2</v>
      </c>
      <c r="B139" s="694"/>
      <c r="C139" s="694"/>
      <c r="D139" s="694"/>
      <c r="E139" s="694">
        <f t="shared" si="49"/>
        <v>0</v>
      </c>
      <c r="F139" s="256">
        <f t="shared" si="50"/>
        <v>1.2214027581601699</v>
      </c>
      <c r="G139" s="4"/>
      <c r="H139" s="410"/>
      <c r="I139" s="4"/>
      <c r="J139" s="410"/>
      <c r="K139" s="4"/>
      <c r="L139" s="410"/>
      <c r="M139" s="417"/>
      <c r="N139" s="433"/>
      <c r="O139" s="434"/>
      <c r="P139" s="464"/>
      <c r="Q139" s="433"/>
      <c r="R139" s="434"/>
      <c r="S139" s="433"/>
      <c r="T139" s="434"/>
      <c r="U139" s="410"/>
      <c r="V139" s="4"/>
      <c r="W139" s="410"/>
      <c r="Y139" s="410"/>
      <c r="AA139" s="410"/>
    </row>
    <row r="140" spans="1:27">
      <c r="A140" s="230">
        <v>0.15</v>
      </c>
      <c r="B140" s="694"/>
      <c r="C140" s="694"/>
      <c r="D140" s="694"/>
      <c r="E140" s="694">
        <f t="shared" si="49"/>
        <v>0</v>
      </c>
      <c r="F140" s="256">
        <f t="shared" si="50"/>
        <v>1.1618342427282831</v>
      </c>
      <c r="G140" s="4"/>
      <c r="H140" s="410"/>
      <c r="I140" s="4"/>
      <c r="J140" s="410"/>
      <c r="K140" s="4"/>
      <c r="L140" s="410"/>
      <c r="M140" s="417"/>
      <c r="N140" s="433"/>
      <c r="O140" s="434"/>
      <c r="P140" s="464"/>
      <c r="Q140" s="433"/>
      <c r="R140" s="434"/>
      <c r="S140" s="433"/>
      <c r="T140" s="434"/>
      <c r="U140" s="410"/>
      <c r="V140" s="4"/>
      <c r="W140" s="410"/>
      <c r="Y140" s="410"/>
      <c r="AA140" s="410"/>
    </row>
    <row r="141" spans="1:27">
      <c r="A141" s="230">
        <v>0.1</v>
      </c>
      <c r="B141" s="694"/>
      <c r="C141" s="694"/>
      <c r="D141" s="694"/>
      <c r="E141" s="694">
        <f t="shared" si="49"/>
        <v>0</v>
      </c>
      <c r="F141" s="256">
        <f t="shared" si="50"/>
        <v>1.1051709180756477</v>
      </c>
      <c r="G141" s="4"/>
      <c r="H141" s="410"/>
      <c r="I141" s="4"/>
      <c r="J141" s="410"/>
      <c r="K141" s="4"/>
      <c r="L141" s="410"/>
      <c r="M141" s="417"/>
      <c r="N141" s="433"/>
      <c r="O141" s="434"/>
      <c r="P141" s="464"/>
      <c r="Q141" s="433"/>
      <c r="R141" s="434"/>
      <c r="S141" s="433"/>
      <c r="T141" s="434"/>
      <c r="U141" s="410"/>
      <c r="V141" s="4"/>
      <c r="W141" s="410"/>
      <c r="Y141" s="410"/>
      <c r="AA141" s="410"/>
    </row>
    <row r="142" spans="1:27">
      <c r="A142" s="230">
        <v>0.05</v>
      </c>
      <c r="B142" s="694"/>
      <c r="C142" s="694"/>
      <c r="D142" s="694"/>
      <c r="E142" s="694">
        <f t="shared" si="49"/>
        <v>0</v>
      </c>
      <c r="F142" s="256">
        <f t="shared" si="50"/>
        <v>1.0512710963760241</v>
      </c>
      <c r="G142" s="4"/>
      <c r="H142" s="410"/>
      <c r="I142" s="4"/>
      <c r="J142" s="410"/>
      <c r="K142" s="4"/>
      <c r="L142" s="410"/>
      <c r="M142" s="417"/>
      <c r="N142" s="433"/>
      <c r="O142" s="434"/>
      <c r="P142" s="464"/>
      <c r="Q142" s="433"/>
      <c r="R142" s="434"/>
      <c r="S142" s="433"/>
      <c r="T142" s="434"/>
      <c r="U142" s="410"/>
      <c r="V142" s="4"/>
      <c r="W142" s="410"/>
      <c r="Y142" s="410"/>
      <c r="AA142" s="410"/>
    </row>
    <row r="143" spans="1:27">
      <c r="A143" s="230">
        <v>0</v>
      </c>
      <c r="B143" s="694"/>
      <c r="C143" s="694"/>
      <c r="D143" s="694"/>
      <c r="E143" s="694">
        <f t="shared" si="49"/>
        <v>0</v>
      </c>
      <c r="F143" s="256">
        <f t="shared" si="50"/>
        <v>1</v>
      </c>
      <c r="G143" s="4"/>
      <c r="H143" s="410"/>
      <c r="I143" s="4"/>
      <c r="J143" s="410"/>
      <c r="K143" s="4"/>
      <c r="L143" s="410"/>
      <c r="M143" s="417"/>
      <c r="N143" s="433"/>
      <c r="O143" s="434"/>
      <c r="P143" s="464"/>
      <c r="Q143" s="433"/>
      <c r="R143" s="434"/>
      <c r="S143" s="433"/>
      <c r="T143" s="434"/>
      <c r="U143" s="410"/>
      <c r="V143" s="4"/>
      <c r="W143" s="410"/>
      <c r="Y143" s="410"/>
      <c r="AA143" s="410"/>
    </row>
    <row r="144" spans="1:27">
      <c r="A144" s="485"/>
      <c r="B144" s="695"/>
      <c r="C144" s="695"/>
      <c r="D144" s="695"/>
      <c r="E144" s="695"/>
      <c r="F144" s="698"/>
      <c r="G144" s="4"/>
      <c r="H144" s="410"/>
      <c r="I144" s="4"/>
      <c r="J144" s="410"/>
      <c r="K144" s="4"/>
      <c r="L144" s="410"/>
      <c r="M144" s="417"/>
      <c r="N144" s="433"/>
      <c r="O144" s="434"/>
      <c r="P144" s="464"/>
      <c r="Q144" s="433"/>
      <c r="R144" s="434"/>
      <c r="S144" s="433"/>
      <c r="T144" s="434"/>
      <c r="U144" s="410"/>
      <c r="V144" s="4"/>
      <c r="W144" s="410"/>
      <c r="Y144" s="410"/>
      <c r="AA144" s="410"/>
    </row>
    <row r="145" spans="1:27">
      <c r="A145" s="230">
        <v>0.1</v>
      </c>
      <c r="B145" s="694"/>
      <c r="C145" s="694"/>
      <c r="D145" s="694"/>
      <c r="E145" s="694">
        <f t="shared" si="49"/>
        <v>0</v>
      </c>
      <c r="F145" s="702">
        <f t="shared" si="50"/>
        <v>1.1051709180756477</v>
      </c>
      <c r="G145" s="4"/>
      <c r="H145" s="410"/>
      <c r="I145" s="4"/>
      <c r="J145" s="410"/>
      <c r="K145" s="4"/>
      <c r="L145" s="410"/>
      <c r="M145" s="417"/>
      <c r="N145" s="433"/>
      <c r="O145" s="434"/>
      <c r="P145" s="464"/>
      <c r="Q145" s="433"/>
      <c r="R145" s="434"/>
      <c r="S145" s="433"/>
      <c r="T145" s="434"/>
      <c r="U145" s="410"/>
      <c r="V145" s="4"/>
      <c r="W145" s="410"/>
      <c r="Y145" s="410"/>
      <c r="AA145" s="410"/>
    </row>
    <row r="146" spans="1:27">
      <c r="A146" s="230">
        <v>9.5000000000000001E-2</v>
      </c>
      <c r="B146" s="694"/>
      <c r="C146" s="694"/>
      <c r="D146" s="694"/>
      <c r="E146" s="694">
        <f t="shared" si="49"/>
        <v>0</v>
      </c>
      <c r="F146" s="702">
        <f t="shared" si="50"/>
        <v>1.0996588551261028</v>
      </c>
      <c r="G146" s="4"/>
      <c r="H146" s="410"/>
      <c r="I146" s="4"/>
      <c r="J146" s="410"/>
      <c r="K146" s="4"/>
      <c r="L146" s="410"/>
      <c r="M146" s="417"/>
      <c r="N146" s="433"/>
      <c r="O146" s="434"/>
      <c r="P146" s="464"/>
      <c r="Q146" s="433"/>
      <c r="R146" s="434"/>
      <c r="S146" s="433"/>
      <c r="T146" s="434"/>
      <c r="U146" s="410"/>
      <c r="V146" s="4"/>
      <c r="W146" s="410"/>
      <c r="Y146" s="410"/>
      <c r="AA146" s="410"/>
    </row>
    <row r="147" spans="1:27">
      <c r="A147" s="230">
        <v>0.09</v>
      </c>
      <c r="B147" s="694"/>
      <c r="C147" s="694"/>
      <c r="D147" s="694"/>
      <c r="E147" s="694">
        <f t="shared" si="49"/>
        <v>0</v>
      </c>
      <c r="F147" s="702">
        <f t="shared" si="50"/>
        <v>1.0941742837052104</v>
      </c>
      <c r="G147" s="4"/>
      <c r="H147" s="410"/>
      <c r="I147" s="4"/>
      <c r="J147" s="410"/>
      <c r="K147" s="4"/>
      <c r="L147" s="410"/>
      <c r="M147" s="417"/>
      <c r="N147" s="433"/>
      <c r="O147" s="434"/>
      <c r="P147" s="464"/>
      <c r="Q147" s="433"/>
      <c r="R147" s="434"/>
      <c r="S147" s="433"/>
      <c r="T147" s="434"/>
      <c r="U147" s="410"/>
      <c r="V147" s="4"/>
      <c r="W147" s="410"/>
      <c r="Y147" s="410"/>
      <c r="AA147" s="410"/>
    </row>
    <row r="148" spans="1:27">
      <c r="A148" s="230">
        <v>8.5000000000000006E-2</v>
      </c>
      <c r="B148" s="694"/>
      <c r="C148" s="694"/>
      <c r="D148" s="694"/>
      <c r="E148" s="694">
        <f t="shared" si="49"/>
        <v>0</v>
      </c>
      <c r="F148" s="702">
        <f t="shared" si="50"/>
        <v>1.0887170666983987</v>
      </c>
      <c r="G148" s="4"/>
      <c r="H148" s="410"/>
      <c r="I148" s="4"/>
      <c r="J148" s="410"/>
      <c r="K148" s="4"/>
      <c r="L148" s="410"/>
      <c r="M148" s="417"/>
      <c r="N148" s="433"/>
      <c r="O148" s="434"/>
      <c r="P148" s="464"/>
      <c r="Q148" s="433"/>
      <c r="R148" s="434"/>
      <c r="S148" s="433"/>
      <c r="T148" s="434"/>
      <c r="U148" s="410"/>
      <c r="V148" s="4"/>
      <c r="W148" s="410"/>
      <c r="Y148" s="410"/>
      <c r="AA148" s="410"/>
    </row>
    <row r="149" spans="1:27">
      <c r="A149" s="230">
        <v>0.08</v>
      </c>
      <c r="B149" s="694"/>
      <c r="C149" s="694"/>
      <c r="D149" s="694"/>
      <c r="E149" s="694">
        <f t="shared" si="49"/>
        <v>0</v>
      </c>
      <c r="F149" s="702">
        <f t="shared" si="50"/>
        <v>1.0832870676749586</v>
      </c>
      <c r="G149" s="4"/>
      <c r="H149" s="410"/>
      <c r="I149" s="4"/>
      <c r="J149" s="410"/>
      <c r="K149" s="4"/>
      <c r="L149" s="410"/>
      <c r="M149" s="417"/>
      <c r="N149" s="433"/>
      <c r="O149" s="434"/>
      <c r="P149" s="464"/>
      <c r="Q149" s="433"/>
      <c r="R149" s="434"/>
      <c r="S149" s="433"/>
      <c r="T149" s="434"/>
      <c r="U149" s="410"/>
      <c r="V149" s="4"/>
      <c r="W149" s="410"/>
      <c r="Y149" s="410"/>
      <c r="AA149" s="410"/>
    </row>
    <row r="150" spans="1:27">
      <c r="A150" s="230">
        <v>7.4999999999999997E-2</v>
      </c>
      <c r="B150" s="694"/>
      <c r="C150" s="694"/>
      <c r="D150" s="694"/>
      <c r="E150" s="694">
        <f t="shared" si="49"/>
        <v>0</v>
      </c>
      <c r="F150" s="702">
        <f t="shared" si="50"/>
        <v>1.0778841508846315</v>
      </c>
      <c r="G150" s="4"/>
      <c r="H150" s="410"/>
      <c r="I150" s="4"/>
      <c r="J150" s="410"/>
      <c r="K150" s="4"/>
      <c r="L150" s="410"/>
      <c r="M150" s="417"/>
      <c r="N150" s="433"/>
      <c r="O150" s="434"/>
      <c r="P150" s="464"/>
      <c r="Q150" s="433"/>
      <c r="R150" s="434"/>
      <c r="S150" s="433"/>
      <c r="T150" s="434"/>
      <c r="U150" s="410"/>
      <c r="V150" s="4"/>
      <c r="W150" s="410"/>
      <c r="Y150" s="410"/>
      <c r="AA150" s="410"/>
    </row>
    <row r="151" spans="1:27">
      <c r="A151" s="230">
        <v>7.0000000000000007E-2</v>
      </c>
      <c r="B151" s="694"/>
      <c r="C151" s="694"/>
      <c r="D151" s="694"/>
      <c r="E151" s="694">
        <f t="shared" si="49"/>
        <v>0</v>
      </c>
      <c r="F151" s="702">
        <f t="shared" si="50"/>
        <v>1.0725081812542165</v>
      </c>
      <c r="G151" s="4"/>
      <c r="H151" s="410"/>
      <c r="I151" s="4"/>
      <c r="J151" s="410"/>
      <c r="K151" s="4"/>
      <c r="L151" s="410"/>
      <c r="M151" s="146"/>
      <c r="N151" s="433"/>
      <c r="O151" s="434"/>
      <c r="P151" s="464"/>
      <c r="Q151" s="433"/>
      <c r="R151" s="434"/>
      <c r="S151" s="433"/>
      <c r="T151" s="434"/>
      <c r="U151" s="410"/>
      <c r="V151" s="4"/>
      <c r="W151" s="410"/>
      <c r="Y151" s="410"/>
      <c r="AA151" s="410"/>
    </row>
    <row r="152" spans="1:27">
      <c r="A152" s="230">
        <v>6.5000000000000002E-2</v>
      </c>
      <c r="B152" s="433"/>
      <c r="C152" s="433"/>
      <c r="D152" s="3"/>
      <c r="E152" s="694">
        <f t="shared" si="49"/>
        <v>0</v>
      </c>
      <c r="F152" s="702">
        <f t="shared" si="50"/>
        <v>1.0671590243841926</v>
      </c>
      <c r="G152" s="4"/>
      <c r="H152" s="410"/>
      <c r="I152" s="4"/>
      <c r="J152" s="410"/>
      <c r="K152" s="4"/>
      <c r="L152" s="410"/>
      <c r="M152" s="417"/>
      <c r="N152" s="433"/>
      <c r="O152" s="434"/>
      <c r="P152" s="464"/>
      <c r="Q152" s="433"/>
      <c r="R152" s="434"/>
      <c r="S152" s="433"/>
      <c r="T152" s="434"/>
      <c r="U152" s="410"/>
      <c r="V152" s="4"/>
      <c r="W152" s="410"/>
      <c r="Y152" s="410"/>
      <c r="AA152" s="410"/>
    </row>
    <row r="153" spans="1:27">
      <c r="A153" s="230">
        <v>0.06</v>
      </c>
      <c r="B153" s="433"/>
      <c r="C153" s="433"/>
      <c r="D153" s="3"/>
      <c r="E153" s="694">
        <f t="shared" si="49"/>
        <v>0</v>
      </c>
      <c r="F153" s="702">
        <f t="shared" si="50"/>
        <v>1.0618365465453596</v>
      </c>
      <c r="G153" s="4"/>
      <c r="H153" s="410"/>
      <c r="I153" s="4"/>
      <c r="J153" s="410"/>
      <c r="K153" s="4"/>
      <c r="L153" s="410"/>
      <c r="M153" s="417"/>
      <c r="N153" s="433"/>
      <c r="O153" s="434"/>
      <c r="P153" s="464"/>
      <c r="Q153" s="433"/>
      <c r="R153" s="434"/>
      <c r="S153" s="433"/>
      <c r="T153" s="434"/>
      <c r="U153" s="410"/>
      <c r="V153" s="4"/>
      <c r="W153" s="410"/>
      <c r="Y153" s="410"/>
      <c r="AA153" s="410"/>
    </row>
    <row r="154" spans="1:27">
      <c r="A154" s="230">
        <v>5.5E-2</v>
      </c>
      <c r="B154" s="433"/>
      <c r="C154" s="433"/>
      <c r="D154" s="3"/>
      <c r="E154" s="694">
        <f t="shared" si="49"/>
        <v>0</v>
      </c>
      <c r="F154" s="702">
        <f t="shared" si="50"/>
        <v>1.0565406146754943</v>
      </c>
      <c r="G154" s="4"/>
      <c r="H154" s="410"/>
      <c r="I154" s="4"/>
      <c r="J154" s="410"/>
      <c r="K154" s="4"/>
      <c r="L154" s="410"/>
      <c r="M154" s="417"/>
      <c r="N154" s="433"/>
      <c r="O154" s="434"/>
      <c r="P154" s="464"/>
      <c r="Q154" s="433"/>
      <c r="R154" s="434"/>
      <c r="S154" s="433"/>
      <c r="T154" s="434"/>
      <c r="U154" s="410"/>
      <c r="V154" s="4"/>
      <c r="W154" s="410"/>
      <c r="Y154" s="410"/>
      <c r="AA154" s="410"/>
    </row>
    <row r="155" spans="1:27" ht="16.5" thickBot="1">
      <c r="A155" s="227">
        <v>0.05</v>
      </c>
      <c r="B155" s="699"/>
      <c r="C155" s="699"/>
      <c r="D155" s="103"/>
      <c r="E155" s="700">
        <f t="shared" si="49"/>
        <v>0</v>
      </c>
      <c r="F155" s="703">
        <f t="shared" si="50"/>
        <v>1.0512710963760241</v>
      </c>
      <c r="G155" s="4"/>
      <c r="H155" s="410"/>
      <c r="I155" s="4"/>
      <c r="J155" s="410"/>
      <c r="K155" s="4"/>
      <c r="L155" s="410"/>
      <c r="M155" s="417"/>
      <c r="N155" s="433"/>
      <c r="O155" s="434"/>
      <c r="P155" s="464"/>
      <c r="Q155" s="433"/>
      <c r="R155" s="434"/>
      <c r="S155" s="433"/>
      <c r="T155" s="434"/>
      <c r="U155" s="410"/>
      <c r="V155" s="4"/>
      <c r="W155" s="410"/>
      <c r="Y155" s="410"/>
      <c r="AA155" s="410"/>
    </row>
    <row r="156" spans="1:27">
      <c r="D156" s="3"/>
      <c r="E156" s="694"/>
      <c r="F156" s="410"/>
      <c r="G156" s="4"/>
      <c r="H156" s="410"/>
      <c r="I156" s="4"/>
      <c r="J156" s="410"/>
      <c r="K156" s="4"/>
      <c r="L156" s="410"/>
      <c r="M156" s="417"/>
      <c r="N156" s="433"/>
      <c r="O156" s="434"/>
      <c r="P156" s="464"/>
      <c r="Q156" s="433"/>
      <c r="R156" s="434"/>
      <c r="S156" s="433"/>
      <c r="T156" s="434"/>
      <c r="U156" s="410"/>
      <c r="V156" s="4"/>
      <c r="W156" s="410"/>
      <c r="Y156" s="410"/>
      <c r="AA156" s="410"/>
    </row>
    <row r="157" spans="1:27">
      <c r="D157" s="3"/>
      <c r="E157" s="694"/>
      <c r="F157" s="410"/>
      <c r="G157" s="4"/>
      <c r="H157" s="410"/>
      <c r="I157" s="4"/>
      <c r="J157" s="410"/>
      <c r="K157" s="4"/>
      <c r="L157" s="410"/>
      <c r="M157" s="417"/>
      <c r="N157" s="433"/>
      <c r="O157" s="434"/>
      <c r="P157" s="464"/>
      <c r="Q157" s="433"/>
      <c r="R157" s="434"/>
      <c r="S157" s="433"/>
      <c r="T157" s="434"/>
      <c r="U157" s="410"/>
      <c r="V157" s="4"/>
      <c r="W157" s="410"/>
      <c r="Y157" s="410"/>
      <c r="AA157" s="410"/>
    </row>
    <row r="158" spans="1:27">
      <c r="D158" s="3"/>
      <c r="E158" s="694"/>
      <c r="F158" s="410"/>
      <c r="G158" s="4"/>
      <c r="H158" s="410"/>
      <c r="I158" s="4"/>
      <c r="J158" s="410"/>
      <c r="K158" s="4"/>
      <c r="L158" s="410"/>
      <c r="M158" s="417"/>
      <c r="N158" s="433"/>
      <c r="O158" s="434"/>
      <c r="P158" s="464"/>
      <c r="Q158" s="433"/>
      <c r="R158" s="434"/>
      <c r="S158" s="433"/>
      <c r="T158" s="434"/>
      <c r="U158" s="410"/>
      <c r="V158" s="4"/>
      <c r="W158" s="410"/>
      <c r="Y158" s="410"/>
      <c r="AA158" s="410"/>
    </row>
    <row r="159" spans="1:27">
      <c r="D159" s="3"/>
      <c r="E159" s="694"/>
      <c r="F159" s="410"/>
      <c r="G159" s="4"/>
      <c r="H159" s="410"/>
      <c r="I159" s="4"/>
      <c r="J159" s="410"/>
      <c r="K159" s="4"/>
      <c r="L159" s="410"/>
      <c r="M159" s="417"/>
      <c r="N159" s="433"/>
      <c r="O159" s="434"/>
      <c r="P159" s="464"/>
      <c r="Q159" s="433"/>
      <c r="R159" s="434"/>
      <c r="S159" s="433"/>
      <c r="T159" s="434"/>
      <c r="U159" s="410"/>
      <c r="V159" s="4"/>
      <c r="W159" s="410"/>
      <c r="Y159" s="410"/>
      <c r="AA159" s="410"/>
    </row>
    <row r="160" spans="1:27">
      <c r="D160" s="3"/>
      <c r="E160" s="694"/>
      <c r="F160" s="410"/>
      <c r="G160" s="4"/>
      <c r="H160" s="410"/>
      <c r="I160" s="4"/>
      <c r="J160" s="410"/>
      <c r="K160" s="4"/>
      <c r="L160" s="410"/>
      <c r="M160" s="417"/>
      <c r="N160" s="433"/>
      <c r="O160" s="434"/>
      <c r="P160" s="464"/>
      <c r="Q160" s="433"/>
      <c r="R160" s="434"/>
      <c r="S160" s="433"/>
      <c r="T160" s="434"/>
      <c r="U160" s="410"/>
      <c r="V160" s="4"/>
      <c r="W160" s="410"/>
      <c r="Y160" s="410"/>
      <c r="AA160" s="410"/>
    </row>
    <row r="161" spans="4:27">
      <c r="D161" s="3"/>
      <c r="E161" s="694"/>
      <c r="F161" s="410"/>
      <c r="G161" s="4"/>
      <c r="H161" s="410"/>
      <c r="I161" s="4"/>
      <c r="J161" s="410"/>
      <c r="K161" s="4"/>
      <c r="L161" s="410"/>
      <c r="M161" s="417"/>
      <c r="N161" s="433"/>
      <c r="O161" s="434"/>
      <c r="P161" s="464"/>
      <c r="Q161" s="433"/>
      <c r="R161" s="434"/>
      <c r="S161" s="433"/>
      <c r="T161" s="434"/>
      <c r="U161" s="410"/>
      <c r="V161" s="4"/>
      <c r="W161" s="410"/>
      <c r="Y161" s="410"/>
      <c r="AA161" s="410"/>
    </row>
    <row r="162" spans="4:27">
      <c r="D162" s="3"/>
      <c r="E162" s="694"/>
      <c r="F162" s="410"/>
      <c r="G162" s="4"/>
      <c r="H162" s="410"/>
      <c r="I162" s="4"/>
      <c r="J162" s="410"/>
      <c r="K162" s="4"/>
      <c r="L162" s="410"/>
      <c r="M162" s="417"/>
      <c r="N162" s="433"/>
      <c r="O162" s="434"/>
      <c r="P162" s="464"/>
      <c r="Q162" s="433"/>
      <c r="R162" s="434"/>
      <c r="S162" s="433"/>
      <c r="T162" s="434"/>
      <c r="U162" s="410"/>
      <c r="V162" s="4"/>
      <c r="W162" s="410"/>
      <c r="Y162" s="410"/>
      <c r="AA162" s="410"/>
    </row>
    <row r="163" spans="4:27">
      <c r="D163" s="3"/>
      <c r="E163" s="694"/>
      <c r="F163" s="410"/>
      <c r="G163" s="4"/>
      <c r="H163" s="410"/>
      <c r="I163" s="4"/>
      <c r="J163" s="410"/>
      <c r="K163" s="4"/>
      <c r="L163" s="410"/>
      <c r="M163" s="417"/>
      <c r="N163" s="433"/>
      <c r="O163" s="434"/>
      <c r="P163" s="464"/>
      <c r="Q163" s="433"/>
      <c r="R163" s="434"/>
      <c r="S163" s="433"/>
      <c r="T163" s="434"/>
      <c r="U163" s="410"/>
      <c r="V163" s="4"/>
      <c r="W163" s="410"/>
      <c r="Y163" s="410"/>
      <c r="AA163" s="410"/>
    </row>
    <row r="164" spans="4:27">
      <c r="D164" s="3"/>
      <c r="E164" s="694"/>
      <c r="F164" s="410"/>
      <c r="G164" s="4"/>
      <c r="H164" s="410"/>
      <c r="I164" s="4"/>
      <c r="J164" s="410"/>
      <c r="K164" s="4"/>
      <c r="L164" s="410"/>
      <c r="M164" s="417"/>
      <c r="N164" s="410"/>
      <c r="O164" s="4"/>
      <c r="P164" s="460"/>
      <c r="Q164" s="410"/>
      <c r="R164" s="4"/>
      <c r="S164" s="433"/>
      <c r="T164" s="434"/>
      <c r="U164" s="410"/>
      <c r="V164" s="4"/>
      <c r="W164" s="410"/>
      <c r="Y164" s="410"/>
      <c r="AA164" s="410"/>
    </row>
    <row r="165" spans="4:27">
      <c r="D165" s="3"/>
      <c r="E165" s="694"/>
      <c r="F165" s="410"/>
      <c r="G165" s="4"/>
      <c r="H165" s="410"/>
      <c r="I165" s="4"/>
      <c r="J165" s="410"/>
      <c r="K165" s="4"/>
      <c r="L165" s="410"/>
      <c r="M165" s="417"/>
      <c r="N165" s="410"/>
      <c r="O165" s="4"/>
      <c r="P165" s="460"/>
      <c r="Q165" s="410"/>
      <c r="R165" s="4"/>
      <c r="S165" s="433"/>
      <c r="T165" s="434"/>
      <c r="U165" s="410"/>
      <c r="V165" s="4"/>
      <c r="W165" s="410"/>
      <c r="Y165" s="410"/>
      <c r="AA165" s="410"/>
    </row>
    <row r="166" spans="4:27">
      <c r="D166" s="3"/>
      <c r="E166" s="694"/>
      <c r="F166" s="410"/>
      <c r="G166" s="4"/>
      <c r="H166" s="410"/>
      <c r="I166" s="4"/>
      <c r="J166" s="410"/>
      <c r="K166" s="4"/>
      <c r="L166" s="410"/>
      <c r="M166" s="417"/>
      <c r="N166" s="410"/>
      <c r="O166" s="4"/>
      <c r="P166" s="460"/>
      <c r="Q166" s="410"/>
      <c r="R166" s="4"/>
      <c r="S166" s="433"/>
      <c r="T166" s="434"/>
      <c r="U166" s="410"/>
      <c r="V166" s="4"/>
      <c r="W166" s="410"/>
      <c r="Y166" s="410"/>
      <c r="AA166" s="410"/>
    </row>
    <row r="167" spans="4:27">
      <c r="D167" s="3"/>
      <c r="E167" s="694"/>
      <c r="F167" s="410"/>
      <c r="G167" s="4"/>
      <c r="H167" s="410"/>
      <c r="I167" s="4"/>
      <c r="J167" s="410"/>
      <c r="K167" s="4"/>
      <c r="L167" s="410"/>
      <c r="M167" s="417"/>
      <c r="N167" s="410"/>
      <c r="O167" s="4"/>
      <c r="P167" s="460"/>
      <c r="Q167" s="410"/>
      <c r="R167" s="4"/>
      <c r="S167" s="433"/>
      <c r="T167" s="434"/>
      <c r="U167" s="410"/>
      <c r="V167" s="4"/>
      <c r="W167" s="410"/>
      <c r="Y167" s="410"/>
      <c r="AA167" s="410"/>
    </row>
    <row r="168" spans="4:27">
      <c r="D168" s="3"/>
      <c r="E168" s="694"/>
      <c r="F168" s="410"/>
      <c r="G168" s="4"/>
      <c r="H168" s="410"/>
      <c r="I168" s="4"/>
      <c r="J168" s="410"/>
      <c r="K168" s="4"/>
      <c r="L168" s="410"/>
      <c r="M168" s="417"/>
      <c r="N168" s="410"/>
      <c r="O168" s="4"/>
      <c r="P168" s="460"/>
      <c r="Q168" s="410"/>
      <c r="R168" s="4"/>
      <c r="S168" s="433"/>
      <c r="T168" s="434"/>
      <c r="U168" s="410"/>
      <c r="V168" s="4"/>
      <c r="W168" s="410"/>
      <c r="Y168" s="410"/>
      <c r="AA168" s="410"/>
    </row>
    <row r="169" spans="4:27">
      <c r="D169" s="3"/>
      <c r="E169" s="694"/>
      <c r="F169" s="410"/>
      <c r="G169" s="4"/>
      <c r="H169" s="410"/>
      <c r="I169" s="4"/>
      <c r="J169" s="410"/>
      <c r="K169" s="4"/>
      <c r="L169" s="410"/>
      <c r="M169" s="417"/>
      <c r="N169" s="410"/>
      <c r="O169" s="4"/>
      <c r="P169" s="460"/>
      <c r="Q169" s="410"/>
      <c r="R169" s="4"/>
      <c r="S169" s="433"/>
      <c r="T169" s="434"/>
      <c r="U169" s="410"/>
      <c r="V169" s="4"/>
      <c r="W169" s="410"/>
      <c r="Y169" s="410"/>
      <c r="AA169" s="410"/>
    </row>
    <row r="170" spans="4:27">
      <c r="D170" s="3"/>
      <c r="E170" s="694"/>
      <c r="F170" s="410"/>
      <c r="G170" s="4"/>
      <c r="H170" s="410"/>
      <c r="I170" s="4"/>
      <c r="J170" s="410"/>
      <c r="K170" s="4"/>
      <c r="L170" s="410"/>
      <c r="M170" s="417"/>
      <c r="N170" s="410"/>
      <c r="O170" s="4"/>
      <c r="P170" s="460"/>
      <c r="Q170" s="410"/>
      <c r="R170" s="4"/>
      <c r="S170" s="433"/>
      <c r="T170" s="434"/>
      <c r="U170" s="410"/>
      <c r="V170" s="4"/>
      <c r="W170" s="410"/>
      <c r="Y170" s="410"/>
      <c r="AA170" s="410"/>
    </row>
    <row r="171" spans="4:27">
      <c r="D171" s="3"/>
      <c r="E171" s="694"/>
      <c r="F171" s="410"/>
      <c r="G171" s="4"/>
      <c r="H171" s="410"/>
      <c r="I171" s="4"/>
      <c r="J171" s="410"/>
      <c r="K171" s="4"/>
      <c r="L171" s="410"/>
      <c r="M171" s="417"/>
      <c r="N171" s="410"/>
      <c r="O171" s="4"/>
      <c r="P171" s="460"/>
      <c r="Q171" s="410"/>
      <c r="R171" s="4"/>
      <c r="S171" s="433"/>
      <c r="T171" s="434"/>
      <c r="U171" s="410"/>
      <c r="V171" s="4"/>
      <c r="W171" s="410"/>
      <c r="Y171" s="410"/>
      <c r="AA171" s="410"/>
    </row>
    <row r="172" spans="4:27">
      <c r="D172" s="3"/>
      <c r="E172" s="694"/>
      <c r="F172" s="410"/>
      <c r="G172" s="4"/>
      <c r="H172" s="410"/>
      <c r="I172" s="4"/>
      <c r="J172" s="410"/>
      <c r="K172" s="4"/>
      <c r="L172" s="410"/>
      <c r="M172" s="417"/>
      <c r="N172" s="410"/>
      <c r="O172" s="4"/>
      <c r="P172" s="460"/>
      <c r="Q172" s="410"/>
      <c r="R172" s="4"/>
      <c r="S172" s="433"/>
      <c r="T172" s="434"/>
      <c r="U172" s="410"/>
      <c r="V172" s="4"/>
      <c r="W172" s="410"/>
      <c r="Y172" s="410"/>
      <c r="AA172" s="410"/>
    </row>
    <row r="173" spans="4:27">
      <c r="D173" s="3"/>
      <c r="E173" s="694"/>
      <c r="F173" s="410"/>
      <c r="G173" s="4"/>
      <c r="H173" s="410"/>
      <c r="I173" s="4"/>
      <c r="J173" s="410"/>
      <c r="K173" s="4"/>
      <c r="L173" s="410"/>
      <c r="M173" s="417"/>
      <c r="N173" s="410"/>
      <c r="O173" s="4"/>
      <c r="P173" s="460"/>
      <c r="Q173" s="410"/>
      <c r="R173" s="4"/>
      <c r="S173" s="433"/>
      <c r="T173" s="434"/>
      <c r="U173" s="410"/>
      <c r="V173" s="4"/>
      <c r="W173" s="410"/>
      <c r="Y173" s="410"/>
      <c r="AA173" s="410"/>
    </row>
    <row r="174" spans="4:27">
      <c r="D174" s="3"/>
      <c r="E174" s="694"/>
      <c r="F174" s="410"/>
      <c r="G174" s="4"/>
      <c r="H174" s="410"/>
      <c r="I174" s="4"/>
      <c r="J174" s="410"/>
      <c r="K174" s="4"/>
      <c r="L174" s="410"/>
      <c r="M174" s="417"/>
      <c r="N174" s="410"/>
      <c r="O174" s="4"/>
      <c r="P174" s="460"/>
      <c r="Q174" s="410"/>
      <c r="R174" s="4"/>
      <c r="S174" s="433"/>
      <c r="T174" s="434"/>
      <c r="U174" s="410"/>
      <c r="V174" s="4"/>
      <c r="W174" s="410"/>
      <c r="Y174" s="410"/>
      <c r="AA174" s="410"/>
    </row>
    <row r="175" spans="4:27">
      <c r="D175" s="3"/>
      <c r="E175" s="694"/>
      <c r="F175" s="410"/>
      <c r="G175" s="4"/>
      <c r="H175" s="410"/>
      <c r="I175" s="4"/>
      <c r="J175" s="410"/>
      <c r="K175" s="4"/>
      <c r="L175" s="410"/>
      <c r="M175" s="417"/>
      <c r="N175" s="410"/>
      <c r="O175" s="4"/>
      <c r="P175" s="460"/>
      <c r="Q175" s="410"/>
      <c r="R175" s="4"/>
      <c r="S175" s="433"/>
      <c r="T175" s="434"/>
      <c r="U175" s="410"/>
      <c r="V175" s="4"/>
      <c r="W175" s="410"/>
      <c r="Y175" s="410"/>
      <c r="AA175" s="410"/>
    </row>
    <row r="176" spans="4:27">
      <c r="D176" s="3"/>
      <c r="E176" s="4"/>
      <c r="F176" s="410"/>
      <c r="G176" s="4"/>
      <c r="H176" s="410"/>
      <c r="I176" s="4"/>
      <c r="J176" s="410"/>
      <c r="K176" s="4"/>
      <c r="L176" s="410"/>
      <c r="M176" s="417"/>
      <c r="N176" s="410"/>
      <c r="O176" s="4"/>
      <c r="P176" s="460"/>
      <c r="Q176" s="410"/>
      <c r="R176" s="4"/>
      <c r="S176" s="433"/>
      <c r="T176" s="434"/>
      <c r="U176" s="410"/>
      <c r="V176" s="4"/>
      <c r="W176" s="410"/>
      <c r="Y176" s="410"/>
      <c r="AA176" s="410"/>
    </row>
    <row r="177" spans="4:27">
      <c r="D177" s="3"/>
      <c r="E177" s="4"/>
      <c r="F177" s="410"/>
      <c r="G177" s="4"/>
      <c r="H177" s="410"/>
      <c r="I177" s="4"/>
      <c r="J177" s="410"/>
      <c r="K177" s="4"/>
      <c r="L177" s="410"/>
      <c r="M177" s="417"/>
      <c r="N177" s="410"/>
      <c r="O177" s="4"/>
      <c r="P177" s="460"/>
      <c r="Q177" s="410"/>
      <c r="R177" s="4"/>
      <c r="S177" s="433"/>
      <c r="T177" s="434"/>
      <c r="U177" s="410"/>
      <c r="V177" s="4"/>
      <c r="W177" s="410"/>
      <c r="Y177" s="410"/>
      <c r="AA177" s="410"/>
    </row>
    <row r="178" spans="4:27">
      <c r="D178" s="3"/>
      <c r="E178" s="4"/>
      <c r="F178" s="410"/>
      <c r="G178" s="4"/>
      <c r="H178" s="410"/>
      <c r="I178" s="4"/>
      <c r="J178" s="410"/>
      <c r="K178" s="4"/>
      <c r="L178" s="410"/>
      <c r="M178" s="417"/>
      <c r="N178" s="410"/>
      <c r="O178" s="4"/>
      <c r="P178" s="460"/>
      <c r="Q178" s="410"/>
      <c r="R178" s="4"/>
      <c r="S178" s="433"/>
      <c r="T178" s="434"/>
      <c r="U178" s="410"/>
      <c r="V178" s="4"/>
      <c r="W178" s="410"/>
      <c r="Y178" s="410"/>
      <c r="AA178" s="410"/>
    </row>
    <row r="179" spans="4:27">
      <c r="D179" s="3"/>
      <c r="E179" s="4"/>
      <c r="F179" s="410"/>
      <c r="G179" s="4"/>
      <c r="H179" s="410"/>
      <c r="I179" s="4"/>
      <c r="J179" s="410"/>
      <c r="K179" s="4"/>
      <c r="L179" s="410"/>
      <c r="M179" s="417"/>
      <c r="N179" s="410"/>
      <c r="O179" s="4"/>
      <c r="P179" s="460"/>
      <c r="Q179" s="410"/>
      <c r="R179" s="4"/>
      <c r="S179" s="433"/>
      <c r="T179" s="434"/>
      <c r="U179" s="410"/>
      <c r="V179" s="4"/>
      <c r="W179" s="410"/>
      <c r="Y179" s="410"/>
      <c r="AA179" s="410"/>
    </row>
    <row r="180" spans="4:27">
      <c r="D180" s="3"/>
      <c r="E180" s="4"/>
      <c r="F180" s="410"/>
      <c r="G180" s="4"/>
      <c r="H180" s="410"/>
      <c r="I180" s="4"/>
      <c r="J180" s="410"/>
      <c r="K180" s="4"/>
      <c r="L180" s="410"/>
      <c r="M180" s="417"/>
      <c r="N180" s="410"/>
      <c r="O180" s="4"/>
      <c r="P180" s="460"/>
      <c r="Q180" s="410"/>
      <c r="R180" s="4"/>
      <c r="S180" s="433"/>
      <c r="T180" s="434"/>
      <c r="U180" s="410"/>
      <c r="V180" s="4"/>
      <c r="W180" s="410"/>
      <c r="Y180" s="410"/>
      <c r="AA180" s="410"/>
    </row>
    <row r="181" spans="4:27">
      <c r="D181" s="3"/>
      <c r="E181" s="4"/>
      <c r="F181" s="410"/>
      <c r="G181" s="4"/>
      <c r="H181" s="410"/>
      <c r="I181" s="4"/>
      <c r="J181" s="410"/>
      <c r="K181" s="4"/>
      <c r="L181" s="410"/>
      <c r="M181" s="417"/>
      <c r="N181" s="410"/>
      <c r="O181" s="4"/>
      <c r="P181" s="460"/>
      <c r="Q181" s="410"/>
      <c r="R181" s="4"/>
      <c r="S181" s="433"/>
      <c r="T181" s="434"/>
      <c r="U181" s="410"/>
      <c r="V181" s="4"/>
      <c r="W181" s="410"/>
      <c r="Y181" s="410"/>
      <c r="AA181" s="410"/>
    </row>
    <row r="182" spans="4:27">
      <c r="D182" s="3"/>
      <c r="E182" s="4"/>
      <c r="F182" s="410"/>
      <c r="G182" s="4"/>
      <c r="H182" s="410"/>
      <c r="I182" s="4"/>
      <c r="J182" s="410"/>
      <c r="K182" s="4"/>
      <c r="L182" s="410"/>
      <c r="M182" s="417"/>
      <c r="N182" s="410"/>
      <c r="O182" s="4"/>
      <c r="P182" s="460"/>
      <c r="Q182" s="410"/>
      <c r="R182" s="4"/>
      <c r="S182" s="433"/>
      <c r="T182" s="434"/>
      <c r="U182" s="410"/>
      <c r="V182" s="4"/>
      <c r="W182" s="410"/>
      <c r="Y182" s="410"/>
      <c r="AA182" s="410"/>
    </row>
    <row r="183" spans="4:27">
      <c r="D183" s="3"/>
      <c r="E183" s="4"/>
      <c r="F183" s="410"/>
      <c r="G183" s="4"/>
      <c r="H183" s="410"/>
      <c r="I183" s="4"/>
      <c r="J183" s="410"/>
      <c r="K183" s="4"/>
      <c r="L183" s="410"/>
      <c r="M183" s="417"/>
      <c r="N183" s="410"/>
      <c r="O183" s="4"/>
      <c r="P183" s="460"/>
      <c r="Q183" s="410"/>
      <c r="R183" s="4"/>
      <c r="S183" s="433"/>
      <c r="T183" s="434"/>
      <c r="U183" s="410"/>
      <c r="V183" s="4"/>
      <c r="W183" s="410"/>
      <c r="Y183" s="410"/>
      <c r="AA183" s="410"/>
    </row>
    <row r="184" spans="4:27">
      <c r="D184" s="3"/>
      <c r="E184" s="4"/>
      <c r="F184" s="410"/>
      <c r="G184" s="4"/>
      <c r="H184" s="410"/>
      <c r="I184" s="4"/>
      <c r="J184" s="410"/>
      <c r="K184" s="4"/>
      <c r="L184" s="410"/>
      <c r="M184" s="417"/>
      <c r="N184" s="410"/>
      <c r="O184" s="4"/>
      <c r="P184" s="460"/>
      <c r="Q184" s="410"/>
      <c r="R184" s="4"/>
      <c r="S184" s="433"/>
      <c r="T184" s="434"/>
      <c r="U184" s="410"/>
      <c r="V184" s="4"/>
      <c r="W184" s="410"/>
      <c r="Y184" s="410"/>
      <c r="AA184" s="410"/>
    </row>
    <row r="185" spans="4:27">
      <c r="D185" s="3"/>
      <c r="E185" s="4"/>
      <c r="F185" s="410"/>
      <c r="G185" s="4"/>
      <c r="H185" s="410"/>
      <c r="I185" s="4"/>
      <c r="J185" s="410"/>
      <c r="K185" s="4"/>
      <c r="L185" s="410"/>
      <c r="M185" s="417"/>
      <c r="N185" s="410"/>
      <c r="O185" s="4"/>
      <c r="P185" s="460"/>
      <c r="Q185" s="410"/>
      <c r="R185" s="4"/>
      <c r="S185" s="433"/>
      <c r="T185" s="434"/>
      <c r="U185" s="410"/>
      <c r="V185" s="4"/>
      <c r="W185" s="410"/>
      <c r="Y185" s="410"/>
      <c r="AA185" s="410"/>
    </row>
    <row r="186" spans="4:27">
      <c r="D186" s="3"/>
      <c r="E186" s="4"/>
      <c r="F186" s="410"/>
      <c r="G186" s="4"/>
      <c r="H186" s="410"/>
      <c r="I186" s="4"/>
      <c r="J186" s="410"/>
      <c r="K186" s="4"/>
      <c r="L186" s="410"/>
      <c r="M186" s="417"/>
      <c r="N186" s="410"/>
      <c r="O186" s="4"/>
      <c r="P186" s="460"/>
      <c r="Q186" s="410"/>
      <c r="R186" s="4"/>
      <c r="S186" s="433"/>
      <c r="T186" s="434"/>
      <c r="U186" s="410"/>
      <c r="V186" s="4"/>
      <c r="W186" s="410"/>
      <c r="Y186" s="410"/>
      <c r="AA186" s="410"/>
    </row>
    <row r="187" spans="4:27">
      <c r="D187" s="3"/>
      <c r="E187" s="4"/>
      <c r="F187" s="410"/>
      <c r="G187" s="4"/>
      <c r="H187" s="410"/>
      <c r="I187" s="4"/>
      <c r="J187" s="410"/>
      <c r="K187" s="4"/>
      <c r="L187" s="410"/>
      <c r="M187" s="417"/>
      <c r="N187" s="410"/>
      <c r="O187" s="4"/>
      <c r="P187" s="460"/>
      <c r="Q187" s="410"/>
      <c r="R187" s="4"/>
      <c r="S187" s="433"/>
      <c r="T187" s="434"/>
      <c r="U187" s="410"/>
      <c r="V187" s="4"/>
      <c r="W187" s="410"/>
      <c r="Y187" s="410"/>
      <c r="AA187" s="410"/>
    </row>
    <row r="188" spans="4:27">
      <c r="D188" s="3"/>
      <c r="E188" s="4"/>
      <c r="F188" s="410"/>
      <c r="G188" s="4"/>
      <c r="H188" s="410"/>
      <c r="I188" s="4"/>
      <c r="J188" s="410"/>
      <c r="K188" s="4"/>
      <c r="L188" s="410"/>
      <c r="M188" s="417"/>
      <c r="N188" s="410"/>
      <c r="O188" s="4"/>
      <c r="P188" s="460"/>
      <c r="Q188" s="410"/>
      <c r="R188" s="4"/>
      <c r="S188" s="433"/>
      <c r="T188" s="434"/>
      <c r="U188" s="410"/>
      <c r="V188" s="4"/>
      <c r="W188" s="410"/>
      <c r="Y188" s="410"/>
      <c r="AA188" s="410"/>
    </row>
    <row r="189" spans="4:27">
      <c r="D189" s="3"/>
      <c r="E189" s="4"/>
      <c r="F189" s="410"/>
      <c r="G189" s="4"/>
      <c r="H189" s="410"/>
      <c r="I189" s="4"/>
      <c r="J189" s="410"/>
      <c r="K189" s="4"/>
      <c r="L189" s="410"/>
      <c r="M189" s="417"/>
      <c r="N189" s="410"/>
      <c r="O189" s="4"/>
      <c r="P189" s="460"/>
      <c r="Q189" s="410"/>
      <c r="R189" s="4"/>
      <c r="S189" s="433"/>
      <c r="T189" s="434"/>
      <c r="U189" s="410"/>
      <c r="V189" s="4"/>
      <c r="W189" s="410"/>
      <c r="Y189" s="410"/>
      <c r="AA189" s="410"/>
    </row>
    <row r="190" spans="4:27">
      <c r="D190" s="3"/>
      <c r="E190" s="4"/>
      <c r="F190" s="410"/>
      <c r="G190" s="4"/>
      <c r="H190" s="410"/>
      <c r="I190" s="4"/>
      <c r="J190" s="410"/>
      <c r="K190" s="4"/>
      <c r="L190" s="410"/>
      <c r="M190" s="417"/>
      <c r="N190" s="410"/>
      <c r="O190" s="4"/>
      <c r="P190" s="460"/>
      <c r="Q190" s="410"/>
      <c r="R190" s="4"/>
      <c r="S190" s="433"/>
      <c r="T190" s="434"/>
      <c r="U190" s="410"/>
      <c r="V190" s="4"/>
      <c r="W190" s="410"/>
      <c r="Y190" s="410"/>
      <c r="AA190" s="410"/>
    </row>
    <row r="191" spans="4:27">
      <c r="D191" s="3"/>
      <c r="E191" s="4"/>
      <c r="F191" s="410"/>
      <c r="G191" s="4"/>
      <c r="H191" s="410"/>
      <c r="I191" s="4"/>
      <c r="J191" s="410"/>
      <c r="K191" s="4"/>
      <c r="L191" s="410"/>
      <c r="M191" s="417"/>
      <c r="N191" s="410"/>
      <c r="O191" s="4"/>
      <c r="P191" s="460"/>
      <c r="Q191" s="410"/>
      <c r="R191" s="4"/>
      <c r="S191" s="433"/>
      <c r="T191" s="434"/>
      <c r="U191" s="410"/>
      <c r="V191" s="4"/>
      <c r="W191" s="410"/>
      <c r="Y191" s="410"/>
      <c r="AA191" s="410"/>
    </row>
    <row r="192" spans="4:27">
      <c r="D192" s="3"/>
      <c r="E192" s="4"/>
      <c r="F192" s="410"/>
      <c r="G192" s="4"/>
      <c r="H192" s="410"/>
      <c r="I192" s="4"/>
      <c r="J192" s="410"/>
      <c r="K192" s="4"/>
      <c r="L192" s="410"/>
      <c r="M192" s="417"/>
      <c r="N192" s="410"/>
      <c r="O192" s="4"/>
      <c r="P192" s="460"/>
      <c r="Q192" s="410"/>
      <c r="R192" s="4"/>
      <c r="S192" s="433"/>
      <c r="T192" s="434"/>
      <c r="U192" s="410"/>
      <c r="V192" s="4"/>
      <c r="W192" s="410"/>
      <c r="Y192" s="410"/>
      <c r="AA192" s="410"/>
    </row>
    <row r="193" spans="4:27">
      <c r="D193" s="3"/>
      <c r="E193" s="4"/>
      <c r="F193" s="410"/>
      <c r="G193" s="4"/>
      <c r="H193" s="410"/>
      <c r="I193" s="4"/>
      <c r="J193" s="410"/>
      <c r="K193" s="4"/>
      <c r="L193" s="410"/>
      <c r="M193" s="417"/>
      <c r="N193" s="410"/>
      <c r="O193" s="4"/>
      <c r="P193" s="460"/>
      <c r="Q193" s="410"/>
      <c r="R193" s="4"/>
      <c r="S193" s="433"/>
      <c r="T193" s="434"/>
      <c r="U193" s="410"/>
      <c r="V193" s="4"/>
      <c r="W193" s="410"/>
      <c r="Y193" s="410"/>
      <c r="AA193" s="410"/>
    </row>
    <row r="194" spans="4:27">
      <c r="D194" s="3"/>
      <c r="E194" s="4"/>
      <c r="F194" s="410"/>
      <c r="G194" s="4"/>
      <c r="H194" s="410"/>
      <c r="I194" s="4"/>
      <c r="J194" s="410"/>
      <c r="K194" s="4"/>
      <c r="L194" s="410"/>
      <c r="M194" s="417"/>
      <c r="N194" s="410"/>
      <c r="O194" s="4"/>
      <c r="P194" s="460"/>
      <c r="Q194" s="410"/>
      <c r="R194" s="4"/>
      <c r="S194" s="433"/>
      <c r="T194" s="434"/>
      <c r="U194" s="410"/>
      <c r="V194" s="4"/>
      <c r="W194" s="410"/>
      <c r="Y194" s="410"/>
      <c r="AA194" s="410"/>
    </row>
    <row r="195" spans="4:27">
      <c r="D195" s="3"/>
      <c r="E195" s="4"/>
      <c r="F195" s="410"/>
      <c r="G195" s="4"/>
      <c r="H195" s="410"/>
      <c r="I195" s="4"/>
      <c r="J195" s="410"/>
      <c r="K195" s="4"/>
      <c r="L195" s="410"/>
      <c r="M195" s="417"/>
      <c r="N195" s="410"/>
      <c r="O195" s="4"/>
      <c r="P195" s="460"/>
      <c r="Q195" s="410"/>
      <c r="R195" s="4"/>
      <c r="S195" s="433"/>
      <c r="T195" s="434"/>
      <c r="U195" s="410"/>
      <c r="V195" s="4"/>
      <c r="W195" s="410"/>
      <c r="Y195" s="410"/>
      <c r="AA195" s="410"/>
    </row>
    <row r="196" spans="4:27">
      <c r="D196" s="3"/>
      <c r="E196" s="4"/>
      <c r="F196" s="410"/>
      <c r="G196" s="4"/>
      <c r="H196" s="410"/>
      <c r="I196" s="4"/>
      <c r="J196" s="410"/>
      <c r="K196" s="4"/>
      <c r="L196" s="410"/>
      <c r="M196" s="417"/>
      <c r="N196" s="410"/>
      <c r="O196" s="4"/>
      <c r="P196" s="460"/>
      <c r="Q196" s="410"/>
      <c r="R196" s="4"/>
      <c r="S196" s="433"/>
      <c r="T196" s="434"/>
      <c r="U196" s="410"/>
      <c r="V196" s="4"/>
      <c r="W196" s="410"/>
      <c r="Y196" s="410"/>
      <c r="AA196" s="410"/>
    </row>
    <row r="197" spans="4:27">
      <c r="D197" s="3"/>
      <c r="E197" s="4"/>
      <c r="F197" s="410"/>
      <c r="G197" s="4"/>
      <c r="H197" s="410"/>
      <c r="I197" s="4"/>
      <c r="J197" s="410"/>
      <c r="K197" s="4"/>
      <c r="L197" s="410"/>
      <c r="M197" s="417"/>
      <c r="N197" s="410"/>
      <c r="O197" s="4"/>
      <c r="P197" s="460"/>
      <c r="Q197" s="410"/>
      <c r="R197" s="4"/>
      <c r="S197" s="433"/>
      <c r="T197" s="434"/>
      <c r="U197" s="410"/>
      <c r="V197" s="4"/>
      <c r="W197" s="410"/>
      <c r="Y197" s="410"/>
      <c r="AA197" s="410"/>
    </row>
    <row r="198" spans="4:27">
      <c r="D198" s="3"/>
      <c r="E198" s="4"/>
      <c r="F198" s="410"/>
      <c r="G198" s="4"/>
      <c r="H198" s="410"/>
      <c r="I198" s="4"/>
      <c r="J198" s="410"/>
      <c r="K198" s="4"/>
      <c r="L198" s="410"/>
      <c r="M198" s="417"/>
      <c r="N198" s="410"/>
      <c r="O198" s="4"/>
      <c r="P198" s="460"/>
      <c r="Q198" s="410"/>
      <c r="R198" s="4"/>
      <c r="S198" s="433"/>
      <c r="T198" s="434"/>
      <c r="U198" s="410"/>
      <c r="V198" s="4"/>
      <c r="W198" s="410"/>
      <c r="Y198" s="410"/>
      <c r="AA198" s="410"/>
    </row>
    <row r="199" spans="4:27">
      <c r="D199" s="3"/>
      <c r="E199" s="4"/>
      <c r="F199" s="410"/>
      <c r="G199" s="4"/>
      <c r="H199" s="410"/>
      <c r="I199" s="4"/>
      <c r="J199" s="410"/>
      <c r="K199" s="4"/>
      <c r="L199" s="410"/>
      <c r="M199" s="417"/>
      <c r="N199" s="410"/>
      <c r="O199" s="4"/>
      <c r="P199" s="460"/>
      <c r="Q199" s="410"/>
      <c r="R199" s="4"/>
      <c r="S199" s="433"/>
      <c r="T199" s="434"/>
      <c r="U199" s="410"/>
      <c r="V199" s="4"/>
      <c r="W199" s="410"/>
      <c r="Y199" s="410"/>
      <c r="AA199" s="410"/>
    </row>
    <row r="200" spans="4:27">
      <c r="D200" s="3"/>
      <c r="E200" s="4"/>
      <c r="F200" s="410"/>
      <c r="G200" s="4"/>
      <c r="H200" s="410"/>
      <c r="I200" s="4"/>
      <c r="J200" s="410"/>
      <c r="K200" s="4"/>
      <c r="L200" s="410"/>
      <c r="M200" s="417"/>
      <c r="N200" s="410"/>
      <c r="O200" s="4"/>
      <c r="P200" s="460"/>
      <c r="Q200" s="410"/>
      <c r="R200" s="4"/>
      <c r="S200" s="433"/>
      <c r="T200" s="434"/>
      <c r="U200" s="410"/>
      <c r="V200" s="4"/>
      <c r="W200" s="410"/>
      <c r="Y200" s="410"/>
      <c r="AA200" s="410"/>
    </row>
    <row r="201" spans="4:27">
      <c r="D201" s="3"/>
      <c r="E201" s="4"/>
      <c r="F201" s="410"/>
      <c r="G201" s="4"/>
      <c r="H201" s="410"/>
      <c r="I201" s="4"/>
      <c r="J201" s="410"/>
      <c r="K201" s="4"/>
      <c r="L201" s="410"/>
      <c r="M201" s="417"/>
      <c r="N201" s="410"/>
      <c r="O201" s="4"/>
      <c r="P201" s="460"/>
      <c r="Q201" s="410"/>
      <c r="R201" s="4"/>
      <c r="S201" s="433"/>
      <c r="T201" s="434"/>
      <c r="U201" s="410"/>
      <c r="V201" s="4"/>
      <c r="W201" s="410"/>
      <c r="Y201" s="410"/>
      <c r="AA201" s="410"/>
    </row>
    <row r="202" spans="4:27">
      <c r="D202" s="3"/>
      <c r="E202" s="4"/>
      <c r="F202" s="410"/>
      <c r="G202" s="4"/>
      <c r="H202" s="410"/>
      <c r="I202" s="4"/>
      <c r="J202" s="410"/>
      <c r="K202" s="4"/>
      <c r="L202" s="410"/>
      <c r="M202" s="417"/>
      <c r="N202" s="410"/>
      <c r="O202" s="4"/>
      <c r="P202" s="460"/>
      <c r="Q202" s="410"/>
      <c r="R202" s="4"/>
      <c r="S202" s="433"/>
      <c r="T202" s="434"/>
      <c r="U202" s="410"/>
      <c r="V202" s="4"/>
      <c r="W202" s="410"/>
      <c r="Y202" s="410"/>
      <c r="AA202" s="410"/>
    </row>
    <row r="203" spans="4:27">
      <c r="D203" s="3"/>
      <c r="E203" s="4"/>
      <c r="F203" s="410"/>
      <c r="G203" s="4"/>
      <c r="H203" s="410"/>
      <c r="I203" s="4"/>
      <c r="J203" s="410"/>
      <c r="K203" s="4"/>
      <c r="L203" s="410"/>
      <c r="M203" s="417"/>
      <c r="N203" s="410"/>
      <c r="O203" s="4"/>
      <c r="P203" s="460"/>
      <c r="Q203" s="410"/>
      <c r="R203" s="4"/>
      <c r="S203" s="433"/>
      <c r="T203" s="434"/>
      <c r="U203" s="410"/>
      <c r="V203" s="4"/>
      <c r="W203" s="410"/>
      <c r="Y203" s="410"/>
      <c r="AA203" s="410"/>
    </row>
    <row r="204" spans="4:27">
      <c r="D204" s="3"/>
      <c r="E204" s="4"/>
      <c r="F204" s="410"/>
      <c r="G204" s="4"/>
      <c r="H204" s="410"/>
      <c r="I204" s="4"/>
      <c r="J204" s="410"/>
      <c r="K204" s="4"/>
      <c r="L204" s="410"/>
      <c r="M204" s="417"/>
      <c r="N204" s="410"/>
      <c r="O204" s="4"/>
      <c r="P204" s="460"/>
      <c r="Q204" s="410"/>
      <c r="R204" s="4"/>
      <c r="S204" s="433"/>
      <c r="T204" s="434"/>
      <c r="U204" s="410"/>
      <c r="V204" s="4"/>
      <c r="W204" s="410"/>
      <c r="Y204" s="410"/>
      <c r="AA204" s="410"/>
    </row>
    <row r="205" spans="4:27">
      <c r="D205" s="3"/>
      <c r="E205" s="4"/>
      <c r="F205" s="410"/>
      <c r="G205" s="4"/>
      <c r="H205" s="410"/>
      <c r="I205" s="4"/>
      <c r="J205" s="410"/>
      <c r="K205" s="4"/>
      <c r="L205" s="410"/>
      <c r="M205" s="417"/>
      <c r="N205" s="410"/>
      <c r="O205" s="4"/>
      <c r="P205" s="460"/>
      <c r="Q205" s="410"/>
      <c r="R205" s="4"/>
      <c r="S205" s="433"/>
      <c r="T205" s="434"/>
      <c r="U205" s="410"/>
      <c r="V205" s="4"/>
      <c r="W205" s="410"/>
      <c r="Y205" s="410"/>
      <c r="AA205" s="410"/>
    </row>
    <row r="206" spans="4:27">
      <c r="D206" s="3"/>
      <c r="E206" s="4"/>
      <c r="F206" s="410"/>
      <c r="G206" s="4"/>
      <c r="H206" s="410"/>
      <c r="I206" s="4"/>
      <c r="J206" s="410"/>
      <c r="K206" s="4"/>
      <c r="L206" s="410"/>
      <c r="M206" s="417"/>
      <c r="N206" s="410"/>
      <c r="O206" s="4"/>
      <c r="P206" s="460"/>
      <c r="Q206" s="410"/>
      <c r="R206" s="4"/>
      <c r="S206" s="433"/>
      <c r="T206" s="434"/>
      <c r="U206" s="410"/>
      <c r="V206" s="4"/>
      <c r="W206" s="410"/>
      <c r="Y206" s="410"/>
      <c r="AA206" s="410"/>
    </row>
    <row r="207" spans="4:27">
      <c r="D207" s="3"/>
      <c r="E207" s="4"/>
      <c r="F207" s="410"/>
      <c r="G207" s="4"/>
      <c r="H207" s="410"/>
      <c r="I207" s="4"/>
      <c r="J207" s="410"/>
      <c r="K207" s="4"/>
      <c r="L207" s="410"/>
      <c r="M207" s="417"/>
      <c r="N207" s="410"/>
      <c r="O207" s="4"/>
      <c r="P207" s="460"/>
      <c r="Q207" s="410"/>
      <c r="R207" s="4"/>
      <c r="S207" s="433"/>
      <c r="T207" s="434"/>
      <c r="U207" s="410"/>
      <c r="V207" s="4"/>
      <c r="W207" s="410"/>
      <c r="Y207" s="410"/>
      <c r="AA207" s="410"/>
    </row>
    <row r="208" spans="4:27">
      <c r="D208" s="3"/>
      <c r="E208" s="4"/>
      <c r="F208" s="410"/>
      <c r="G208" s="4"/>
      <c r="H208" s="410"/>
      <c r="I208" s="4"/>
      <c r="J208" s="410"/>
      <c r="K208" s="4"/>
      <c r="L208" s="410"/>
      <c r="M208" s="417"/>
      <c r="N208" s="410"/>
      <c r="O208" s="4"/>
      <c r="P208" s="460"/>
      <c r="Q208" s="410"/>
      <c r="R208" s="4"/>
      <c r="S208" s="433"/>
      <c r="T208" s="434"/>
      <c r="U208" s="410"/>
      <c r="V208" s="4"/>
      <c r="W208" s="410"/>
      <c r="Y208" s="410"/>
      <c r="AA208" s="410"/>
    </row>
    <row r="209" spans="4:27">
      <c r="D209" s="3"/>
      <c r="E209" s="4"/>
      <c r="F209" s="410"/>
      <c r="G209" s="4"/>
      <c r="H209" s="410"/>
      <c r="I209" s="4"/>
      <c r="J209" s="410"/>
      <c r="K209" s="4"/>
      <c r="L209" s="410"/>
      <c r="M209" s="417"/>
      <c r="N209" s="410"/>
      <c r="O209" s="4"/>
      <c r="P209" s="460"/>
      <c r="Q209" s="410"/>
      <c r="R209" s="4"/>
      <c r="S209" s="433"/>
      <c r="T209" s="434"/>
      <c r="U209" s="410"/>
      <c r="V209" s="4"/>
      <c r="W209" s="410"/>
      <c r="Y209" s="410"/>
      <c r="AA209" s="410"/>
    </row>
    <row r="210" spans="4:27">
      <c r="D210" s="3"/>
      <c r="E210" s="4"/>
      <c r="F210" s="410"/>
      <c r="G210" s="4"/>
      <c r="H210" s="410"/>
      <c r="I210" s="4"/>
      <c r="J210" s="410"/>
      <c r="K210" s="4"/>
      <c r="L210" s="410"/>
      <c r="M210" s="417"/>
      <c r="N210" s="410"/>
      <c r="O210" s="4"/>
      <c r="P210" s="460"/>
      <c r="Q210" s="410"/>
      <c r="R210" s="4"/>
      <c r="S210" s="433"/>
      <c r="T210" s="434"/>
      <c r="U210" s="410"/>
      <c r="V210" s="4"/>
      <c r="W210" s="410"/>
      <c r="Y210" s="410"/>
      <c r="AA210" s="410"/>
    </row>
    <row r="211" spans="4:27">
      <c r="D211" s="3"/>
      <c r="E211" s="4"/>
      <c r="F211" s="410"/>
      <c r="G211" s="4"/>
      <c r="H211" s="410"/>
      <c r="I211" s="4"/>
      <c r="J211" s="410"/>
      <c r="K211" s="4"/>
      <c r="L211" s="410"/>
      <c r="M211" s="417"/>
      <c r="N211" s="410"/>
      <c r="O211" s="4"/>
      <c r="P211" s="460"/>
      <c r="Q211" s="410"/>
      <c r="R211" s="4"/>
      <c r="S211" s="433"/>
      <c r="T211" s="434"/>
      <c r="U211" s="410"/>
      <c r="V211" s="4"/>
      <c r="W211" s="410"/>
      <c r="Y211" s="410"/>
      <c r="AA211" s="410"/>
    </row>
    <row r="212" spans="4:27">
      <c r="D212" s="3"/>
      <c r="E212" s="4"/>
      <c r="F212" s="410"/>
      <c r="G212" s="4"/>
      <c r="H212" s="410"/>
      <c r="I212" s="4"/>
      <c r="J212" s="410"/>
      <c r="K212" s="4"/>
      <c r="L212" s="410"/>
      <c r="M212" s="417"/>
      <c r="N212" s="410"/>
      <c r="O212" s="4"/>
      <c r="P212" s="460"/>
      <c r="Q212" s="410"/>
      <c r="R212" s="4"/>
      <c r="S212" s="433"/>
      <c r="T212" s="434"/>
      <c r="U212" s="410"/>
      <c r="V212" s="4"/>
      <c r="W212" s="410"/>
      <c r="Y212" s="410"/>
      <c r="AA212" s="410"/>
    </row>
    <row r="213" spans="4:27">
      <c r="D213" s="3"/>
      <c r="E213" s="4"/>
      <c r="F213" s="410"/>
      <c r="G213" s="4"/>
      <c r="H213" s="410"/>
      <c r="I213" s="4"/>
      <c r="J213" s="410"/>
      <c r="K213" s="4"/>
      <c r="L213" s="410"/>
      <c r="M213" s="417"/>
      <c r="N213" s="410"/>
      <c r="O213" s="4"/>
      <c r="P213" s="460"/>
      <c r="Q213" s="410"/>
      <c r="R213" s="4"/>
      <c r="S213" s="433"/>
      <c r="T213" s="434"/>
      <c r="U213" s="410"/>
      <c r="V213" s="4"/>
      <c r="W213" s="410"/>
      <c r="Y213" s="410"/>
      <c r="AA213" s="410"/>
    </row>
    <row r="214" spans="4:27">
      <c r="D214" s="3"/>
      <c r="E214" s="4"/>
      <c r="F214" s="410"/>
      <c r="G214" s="4"/>
      <c r="H214" s="410"/>
      <c r="I214" s="4"/>
      <c r="J214" s="410"/>
      <c r="K214" s="4"/>
      <c r="L214" s="410"/>
      <c r="M214" s="417"/>
      <c r="N214" s="410"/>
      <c r="O214" s="4"/>
      <c r="P214" s="460"/>
      <c r="Q214" s="410"/>
      <c r="R214" s="4"/>
      <c r="S214" s="433"/>
      <c r="T214" s="434"/>
      <c r="U214" s="410"/>
      <c r="V214" s="4"/>
      <c r="W214" s="410"/>
      <c r="Y214" s="410"/>
      <c r="AA214" s="410"/>
    </row>
    <row r="215" spans="4:27">
      <c r="D215" s="3"/>
      <c r="E215" s="4"/>
      <c r="F215" s="410"/>
      <c r="G215" s="4"/>
      <c r="H215" s="410"/>
      <c r="I215" s="4"/>
      <c r="J215" s="410"/>
      <c r="K215" s="4"/>
      <c r="L215" s="410"/>
      <c r="M215" s="417"/>
      <c r="N215" s="410"/>
      <c r="O215" s="4"/>
      <c r="P215" s="460"/>
      <c r="Q215" s="410"/>
      <c r="R215" s="4"/>
      <c r="S215" s="433"/>
      <c r="T215" s="434"/>
      <c r="U215" s="410"/>
      <c r="V215" s="4"/>
      <c r="W215" s="410"/>
      <c r="Y215" s="410"/>
      <c r="AA215" s="410"/>
    </row>
    <row r="216" spans="4:27">
      <c r="D216" s="3"/>
      <c r="E216" s="4"/>
      <c r="F216" s="410"/>
      <c r="G216" s="4"/>
      <c r="H216" s="410"/>
      <c r="I216" s="4"/>
      <c r="J216" s="410"/>
      <c r="K216" s="4"/>
      <c r="L216" s="410"/>
      <c r="M216" s="417"/>
      <c r="N216" s="410"/>
      <c r="O216" s="4"/>
      <c r="P216" s="460"/>
      <c r="Q216" s="410"/>
      <c r="R216" s="4"/>
      <c r="S216" s="433"/>
      <c r="T216" s="434"/>
      <c r="U216" s="410"/>
      <c r="V216" s="4"/>
      <c r="W216" s="410"/>
      <c r="Y216" s="410"/>
      <c r="AA216" s="410"/>
    </row>
    <row r="217" spans="4:27">
      <c r="D217" s="3"/>
      <c r="E217" s="4"/>
      <c r="F217" s="410"/>
      <c r="G217" s="4"/>
      <c r="H217" s="410"/>
      <c r="I217" s="4"/>
      <c r="J217" s="410"/>
      <c r="K217" s="4"/>
      <c r="L217" s="410"/>
      <c r="M217" s="417"/>
      <c r="N217" s="410"/>
      <c r="O217" s="4"/>
      <c r="P217" s="460"/>
      <c r="Q217" s="410"/>
      <c r="R217" s="4"/>
      <c r="S217" s="433"/>
      <c r="T217" s="434"/>
      <c r="U217" s="410"/>
      <c r="V217" s="4"/>
      <c r="W217" s="410"/>
      <c r="Y217" s="410"/>
      <c r="AA217" s="410"/>
    </row>
    <row r="218" spans="4:27">
      <c r="D218" s="3"/>
      <c r="E218" s="4"/>
      <c r="F218" s="410"/>
      <c r="G218" s="4"/>
      <c r="H218" s="410"/>
      <c r="I218" s="4"/>
      <c r="J218" s="410"/>
      <c r="K218" s="4"/>
      <c r="L218" s="410"/>
      <c r="M218" s="417"/>
      <c r="N218" s="410"/>
      <c r="O218" s="4"/>
      <c r="P218" s="460"/>
      <c r="Q218" s="410"/>
      <c r="R218" s="4"/>
      <c r="S218" s="433"/>
      <c r="T218" s="434"/>
      <c r="U218" s="410"/>
      <c r="V218" s="4"/>
      <c r="W218" s="410"/>
      <c r="Y218" s="410"/>
      <c r="AA218" s="410"/>
    </row>
    <row r="219" spans="4:27">
      <c r="D219" s="3"/>
      <c r="E219" s="4"/>
      <c r="F219" s="410"/>
      <c r="G219" s="4"/>
      <c r="H219" s="410"/>
      <c r="I219" s="4"/>
      <c r="J219" s="410"/>
      <c r="K219" s="4"/>
      <c r="L219" s="410"/>
      <c r="M219" s="417"/>
      <c r="N219" s="410"/>
      <c r="O219" s="4"/>
      <c r="P219" s="460"/>
      <c r="Q219" s="410"/>
      <c r="R219" s="4"/>
      <c r="S219" s="433"/>
      <c r="T219" s="434"/>
      <c r="U219" s="410"/>
      <c r="V219" s="4"/>
      <c r="W219" s="410"/>
      <c r="Y219" s="410"/>
      <c r="AA219" s="410"/>
    </row>
    <row r="220" spans="4:27">
      <c r="D220" s="3"/>
      <c r="E220" s="4"/>
      <c r="F220" s="410"/>
      <c r="G220" s="4"/>
      <c r="H220" s="410"/>
      <c r="I220" s="4"/>
      <c r="J220" s="410"/>
      <c r="K220" s="4"/>
      <c r="L220" s="410"/>
      <c r="M220" s="417"/>
      <c r="N220" s="410"/>
      <c r="O220" s="4"/>
      <c r="P220" s="460"/>
      <c r="Q220" s="410"/>
      <c r="R220" s="4"/>
      <c r="S220" s="433"/>
      <c r="T220" s="434"/>
      <c r="U220" s="410"/>
      <c r="V220" s="4"/>
      <c r="W220" s="410"/>
      <c r="Y220" s="410"/>
      <c r="AA220" s="410"/>
    </row>
    <row r="221" spans="4:27">
      <c r="D221" s="3"/>
      <c r="E221" s="4"/>
      <c r="F221" s="410"/>
      <c r="G221" s="4"/>
      <c r="H221" s="410"/>
      <c r="I221" s="4"/>
      <c r="J221" s="410"/>
      <c r="K221" s="4"/>
      <c r="L221" s="410"/>
      <c r="M221" s="417"/>
      <c r="N221" s="410"/>
      <c r="O221" s="4"/>
      <c r="P221" s="460"/>
      <c r="Q221" s="410"/>
      <c r="R221" s="4"/>
      <c r="S221" s="433"/>
      <c r="T221" s="434"/>
      <c r="U221" s="410"/>
      <c r="V221" s="4"/>
      <c r="W221" s="410"/>
      <c r="Y221" s="410"/>
      <c r="AA221" s="410"/>
    </row>
    <row r="222" spans="4:27">
      <c r="D222" s="3"/>
      <c r="E222" s="4"/>
      <c r="F222" s="410"/>
      <c r="G222" s="4"/>
      <c r="H222" s="410"/>
      <c r="I222" s="4"/>
      <c r="J222" s="410"/>
      <c r="K222" s="4"/>
      <c r="L222" s="410"/>
      <c r="M222" s="417"/>
      <c r="N222" s="410"/>
      <c r="O222" s="4"/>
      <c r="P222" s="460"/>
      <c r="Q222" s="410"/>
      <c r="R222" s="4"/>
      <c r="S222" s="433"/>
      <c r="T222" s="434"/>
      <c r="U222" s="410"/>
      <c r="V222" s="4"/>
      <c r="W222" s="410"/>
      <c r="Y222" s="410"/>
      <c r="AA222" s="410"/>
    </row>
    <row r="223" spans="4:27">
      <c r="D223" s="3"/>
      <c r="E223" s="4"/>
      <c r="F223" s="410"/>
      <c r="G223" s="4"/>
      <c r="H223" s="410"/>
      <c r="I223" s="4"/>
      <c r="J223" s="410"/>
      <c r="K223" s="4"/>
      <c r="L223" s="410"/>
      <c r="M223" s="417"/>
      <c r="N223" s="410"/>
      <c r="O223" s="4"/>
      <c r="P223" s="460"/>
      <c r="Q223" s="410"/>
      <c r="R223" s="4"/>
      <c r="S223" s="433"/>
      <c r="T223" s="434"/>
      <c r="U223" s="410"/>
      <c r="V223" s="4"/>
      <c r="W223" s="410"/>
      <c r="Y223" s="410"/>
      <c r="AA223" s="410"/>
    </row>
    <row r="224" spans="4:27">
      <c r="D224" s="3"/>
      <c r="E224" s="4"/>
      <c r="F224" s="410"/>
      <c r="G224" s="4"/>
      <c r="H224" s="410"/>
      <c r="I224" s="4"/>
      <c r="J224" s="410"/>
      <c r="K224" s="4"/>
      <c r="L224" s="410"/>
      <c r="M224" s="417"/>
      <c r="N224" s="410"/>
      <c r="O224" s="4"/>
      <c r="P224" s="460"/>
      <c r="Q224" s="410"/>
      <c r="R224" s="4"/>
      <c r="S224" s="433"/>
      <c r="T224" s="434"/>
      <c r="U224" s="410"/>
      <c r="V224" s="4"/>
      <c r="W224" s="410"/>
      <c r="Y224" s="410"/>
      <c r="AA224" s="410"/>
    </row>
    <row r="225" spans="4:27">
      <c r="D225" s="3"/>
      <c r="E225" s="4"/>
      <c r="F225" s="410"/>
      <c r="G225" s="4"/>
      <c r="H225" s="410"/>
      <c r="I225" s="4"/>
      <c r="J225" s="410"/>
      <c r="K225" s="4"/>
      <c r="L225" s="410"/>
      <c r="M225" s="417"/>
      <c r="N225" s="410"/>
      <c r="O225" s="4"/>
      <c r="P225" s="460"/>
      <c r="Q225" s="410"/>
      <c r="R225" s="4"/>
      <c r="S225" s="433"/>
      <c r="T225" s="434"/>
      <c r="U225" s="410"/>
      <c r="V225" s="4"/>
      <c r="W225" s="410"/>
      <c r="Y225" s="410"/>
      <c r="AA225" s="410"/>
    </row>
  </sheetData>
  <mergeCells count="2">
    <mergeCell ref="K3:L3"/>
    <mergeCell ref="A123:F123"/>
  </mergeCells>
  <phoneticPr fontId="30" type="noConversion"/>
  <conditionalFormatting sqref="T12:T17">
    <cfRule type="cellIs" dxfId="14" priority="5" stopIfTrue="1" operator="equal">
      <formula>100%</formula>
    </cfRule>
  </conditionalFormatting>
  <conditionalFormatting sqref="T34:T39">
    <cfRule type="cellIs" dxfId="13" priority="3" stopIfTrue="1" operator="equal">
      <formula>100%</formula>
    </cfRule>
  </conditionalFormatting>
  <conditionalFormatting sqref="K226:K1048576 L117:L118 L120 K2:K27 L26:L27 K29:K122">
    <cfRule type="cellIs" dxfId="12" priority="2" operator="equal">
      <formula>1</formula>
    </cfRule>
  </conditionalFormatting>
  <conditionalFormatting sqref="E126:E175">
    <cfRule type="cellIs" dxfId="11" priority="1" operator="lessThan">
      <formula>0</formula>
    </cfRule>
  </conditionalFormatting>
  <pageMargins left="0.7" right="0.7" top="0.75" bottom="0.75" header="0.3" footer="0.3"/>
  <pageSetup paperSize="9" orientation="portrait" r:id="rId1"/>
  <ignoredErrors>
    <ignoredError sqref="F36 F39 F42 F44:F45 F79" formula="1"/>
    <ignoredError sqref="I12:I13 H13 J12:J13 I15:J15 H17:J17 I18:J18 I34:J34 I37:J37 I40:J40" evalError="1"/>
  </ignoredError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5E7E5-8F74-9249-A7FE-EADB4D993EFA}">
  <sheetPr codeName="Sheet4"/>
  <dimension ref="A1:AR58"/>
  <sheetViews>
    <sheetView topLeftCell="Y1" zoomScaleNormal="100" workbookViewId="0">
      <selection activeCell="AL26" sqref="AL26"/>
    </sheetView>
  </sheetViews>
  <sheetFormatPr defaultColWidth="8.75" defaultRowHeight="15.75"/>
  <cols>
    <col min="1" max="44" width="9.5" customWidth="1"/>
    <col min="45" max="45" width="12.25" bestFit="1" customWidth="1"/>
  </cols>
  <sheetData>
    <row r="1" spans="1:44" s="36" customFormat="1" ht="18.75" thickBot="1">
      <c r="A1" s="35" t="s">
        <v>104</v>
      </c>
      <c r="B1" s="727" t="s">
        <v>105</v>
      </c>
      <c r="C1" s="727"/>
      <c r="D1" s="727"/>
      <c r="E1" s="727"/>
      <c r="F1" s="727"/>
      <c r="G1" s="727"/>
      <c r="H1" s="727"/>
      <c r="I1" s="727"/>
      <c r="J1" s="727"/>
      <c r="K1" s="727"/>
      <c r="L1" s="727"/>
      <c r="M1" s="727"/>
      <c r="N1" s="727"/>
      <c r="Q1" s="728" t="s">
        <v>106</v>
      </c>
      <c r="R1" s="728"/>
      <c r="S1" s="728"/>
      <c r="T1" s="728"/>
      <c r="U1" s="728"/>
      <c r="V1" s="728"/>
      <c r="W1" s="728"/>
      <c r="X1" s="728"/>
      <c r="Y1" s="728"/>
      <c r="Z1" s="728"/>
      <c r="AA1" s="728"/>
      <c r="AB1" s="728"/>
      <c r="AC1" s="728"/>
      <c r="AF1" s="729" t="s">
        <v>107</v>
      </c>
      <c r="AG1" s="729"/>
      <c r="AH1" s="729"/>
      <c r="AI1" s="729"/>
      <c r="AJ1" s="729"/>
      <c r="AK1" s="729"/>
      <c r="AL1" s="729"/>
      <c r="AM1" s="729"/>
      <c r="AN1" s="729"/>
      <c r="AO1" s="729"/>
      <c r="AP1" s="729"/>
      <c r="AQ1" s="729"/>
      <c r="AR1" s="729"/>
    </row>
    <row r="2" spans="1:44" s="36" customFormat="1" ht="14.25">
      <c r="A2" s="37" t="e">
        <v>#REF!</v>
      </c>
      <c r="B2" s="730" t="s">
        <v>108</v>
      </c>
      <c r="C2" s="38" t="s">
        <v>109</v>
      </c>
      <c r="D2" s="39" t="s">
        <v>110</v>
      </c>
      <c r="E2" s="39" t="s">
        <v>111</v>
      </c>
      <c r="F2" s="39" t="s">
        <v>112</v>
      </c>
      <c r="G2" s="39" t="s">
        <v>113</v>
      </c>
      <c r="H2" s="39" t="s">
        <v>114</v>
      </c>
      <c r="I2" s="39" t="s">
        <v>115</v>
      </c>
      <c r="J2" s="39" t="s">
        <v>116</v>
      </c>
      <c r="K2" s="39" t="s">
        <v>117</v>
      </c>
      <c r="L2" s="39" t="s">
        <v>118</v>
      </c>
      <c r="M2" s="39" t="s">
        <v>119</v>
      </c>
      <c r="N2" s="39" t="s">
        <v>120</v>
      </c>
      <c r="Q2" s="730" t="s">
        <v>108</v>
      </c>
      <c r="R2" s="38" t="s">
        <v>109</v>
      </c>
      <c r="S2" s="39" t="s">
        <v>110</v>
      </c>
      <c r="T2" s="39" t="s">
        <v>111</v>
      </c>
      <c r="U2" s="39" t="s">
        <v>112</v>
      </c>
      <c r="V2" s="39" t="s">
        <v>113</v>
      </c>
      <c r="W2" s="39" t="s">
        <v>114</v>
      </c>
      <c r="X2" s="39" t="s">
        <v>115</v>
      </c>
      <c r="Y2" s="39" t="s">
        <v>116</v>
      </c>
      <c r="Z2" s="39" t="s">
        <v>117</v>
      </c>
      <c r="AA2" s="39" t="s">
        <v>118</v>
      </c>
      <c r="AB2" s="39" t="s">
        <v>119</v>
      </c>
      <c r="AC2" s="39" t="s">
        <v>120</v>
      </c>
      <c r="AF2" s="730" t="s">
        <v>108</v>
      </c>
      <c r="AG2" s="38" t="s">
        <v>109</v>
      </c>
      <c r="AH2" s="39" t="s">
        <v>110</v>
      </c>
      <c r="AI2" s="39" t="s">
        <v>111</v>
      </c>
      <c r="AJ2" s="39" t="s">
        <v>112</v>
      </c>
      <c r="AK2" s="39" t="s">
        <v>113</v>
      </c>
      <c r="AL2" s="39" t="s">
        <v>114</v>
      </c>
      <c r="AM2" s="39" t="s">
        <v>115</v>
      </c>
      <c r="AN2" s="39" t="s">
        <v>116</v>
      </c>
      <c r="AO2" s="39" t="s">
        <v>117</v>
      </c>
      <c r="AP2" s="39" t="s">
        <v>118</v>
      </c>
      <c r="AQ2" s="39" t="s">
        <v>119</v>
      </c>
      <c r="AR2" s="39" t="s">
        <v>120</v>
      </c>
    </row>
    <row r="3" spans="1:44" s="36" customFormat="1" ht="13.5" thickBot="1">
      <c r="B3" s="731"/>
      <c r="C3" s="40"/>
      <c r="D3" s="40"/>
      <c r="E3" s="40"/>
      <c r="F3" s="40"/>
      <c r="G3" s="40"/>
      <c r="H3" s="40"/>
      <c r="I3" s="40"/>
      <c r="J3" s="40"/>
      <c r="K3" s="40"/>
      <c r="L3" s="40"/>
      <c r="M3" s="40"/>
      <c r="N3" s="40"/>
      <c r="Q3" s="731"/>
      <c r="R3" s="40"/>
      <c r="S3" s="40"/>
      <c r="T3" s="40"/>
      <c r="U3" s="40"/>
      <c r="V3" s="40"/>
      <c r="W3" s="40"/>
      <c r="X3" s="40"/>
      <c r="Y3" s="40"/>
      <c r="Z3" s="40"/>
      <c r="AA3" s="40"/>
      <c r="AB3" s="40"/>
      <c r="AC3" s="40"/>
      <c r="AF3" s="731"/>
      <c r="AG3" s="40"/>
      <c r="AH3" s="40"/>
      <c r="AI3" s="40"/>
      <c r="AJ3" s="40"/>
      <c r="AK3" s="40"/>
      <c r="AL3" s="40"/>
      <c r="AM3" s="40"/>
      <c r="AN3" s="40"/>
      <c r="AO3" s="40"/>
      <c r="AP3" s="40"/>
      <c r="AQ3" s="40"/>
      <c r="AR3" s="40"/>
    </row>
    <row r="4" spans="1:44" s="36" customFormat="1" ht="15">
      <c r="A4" s="36">
        <v>1</v>
      </c>
      <c r="B4" s="41">
        <v>0</v>
      </c>
      <c r="C4" s="41">
        <v>1</v>
      </c>
      <c r="D4" s="42">
        <v>361971</v>
      </c>
      <c r="E4" s="42">
        <v>3724.0624829577573</v>
      </c>
      <c r="F4" s="43">
        <f>E4/D4</f>
        <v>1.0288289622532627E-2</v>
      </c>
      <c r="G4" s="36">
        <v>0.3</v>
      </c>
      <c r="H4" s="43">
        <f t="shared" ref="H4:H21" si="0">C4*F4/(1+(1-G4)*C4*F4)</f>
        <v>1.0214725186737612E-2</v>
      </c>
      <c r="I4" s="43">
        <f t="shared" ref="I4:I22" si="1">1-H4</f>
        <v>0.98978527481326239</v>
      </c>
      <c r="J4" s="36">
        <v>100000</v>
      </c>
      <c r="K4" s="44">
        <f t="shared" ref="K4:K22" si="2">J4-J5</f>
        <v>1021.4725186737633</v>
      </c>
      <c r="L4" s="44">
        <f t="shared" ref="L4:L21" si="3">C4*(J5+G4*K4)</f>
        <v>99284.969236928358</v>
      </c>
      <c r="M4" s="44">
        <f t="shared" ref="M4:M22" si="4">M5+L4</f>
        <v>7132732.5996696465</v>
      </c>
      <c r="N4" s="45">
        <f t="shared" ref="N4:N22" si="5">M4/J4</f>
        <v>71.327325996696459</v>
      </c>
      <c r="O4" s="46"/>
      <c r="P4" s="36">
        <v>1</v>
      </c>
      <c r="Q4" s="41">
        <v>0</v>
      </c>
      <c r="R4" s="41">
        <v>1</v>
      </c>
      <c r="S4" s="47">
        <v>339976</v>
      </c>
      <c r="T4" s="47">
        <v>2965.9925708824908</v>
      </c>
      <c r="U4" s="43">
        <f>T4/S4</f>
        <v>8.724123381893106E-3</v>
      </c>
      <c r="V4" s="36">
        <v>0.3</v>
      </c>
      <c r="W4" s="43">
        <f t="shared" ref="W4:W21" si="6">R4*U4/(1+(1-V4)*R4*U4)</f>
        <v>8.6711695348718303E-3</v>
      </c>
      <c r="X4" s="43">
        <f t="shared" ref="X4:X22" si="7">1-W4</f>
        <v>0.99132883046512821</v>
      </c>
      <c r="Y4" s="36">
        <v>100000</v>
      </c>
      <c r="Z4" s="44">
        <f t="shared" ref="Z4:Z22" si="8">Y4-Y5</f>
        <v>867.1169534871733</v>
      </c>
      <c r="AA4" s="44">
        <f t="shared" ref="AA4:AA21" si="9">R4*(Y5+V4*Z4)</f>
        <v>99393.01813255898</v>
      </c>
      <c r="AB4" s="44">
        <f t="shared" ref="AB4:AB22" si="10">AB5+AA4</f>
        <v>7850449.4094188036</v>
      </c>
      <c r="AC4" s="45">
        <f t="shared" ref="AC4:AC22" si="11">AB4/Y4</f>
        <v>78.504494094188033</v>
      </c>
      <c r="AF4" s="77">
        <v>0</v>
      </c>
      <c r="AG4" s="41">
        <v>1</v>
      </c>
      <c r="AH4" s="48">
        <f>D4+S4</f>
        <v>701947</v>
      </c>
      <c r="AI4" s="48">
        <f>E4+T4</f>
        <v>6690.0550538402476</v>
      </c>
      <c r="AJ4" s="43">
        <f>AI4/AH4</f>
        <v>9.5307125094063333E-3</v>
      </c>
      <c r="AK4" s="36">
        <v>0.3</v>
      </c>
      <c r="AL4" s="701">
        <v>9.4854392120251596E-3</v>
      </c>
      <c r="AM4" s="43">
        <f t="shared" ref="AM4:AM22" si="12">1-AL4</f>
        <v>0.99051456078797484</v>
      </c>
      <c r="AN4" s="36">
        <v>100000</v>
      </c>
      <c r="AO4" s="44">
        <f t="shared" ref="AO4:AO22" si="13">AN4-AN5</f>
        <v>948.54392120252305</v>
      </c>
      <c r="AP4" s="44">
        <f t="shared" ref="AP4:AP21" si="14">AG4*(AN5+AK4*AO4)</f>
        <v>99336.019255158229</v>
      </c>
      <c r="AQ4" s="44">
        <f t="shared" ref="AQ4:AQ22" si="15">AQ5+AP4</f>
        <v>8684998.277980648</v>
      </c>
      <c r="AR4" s="45">
        <f t="shared" ref="AR4:AR22" si="16">AQ4/AN4</f>
        <v>86.849982779806481</v>
      </c>
    </row>
    <row r="5" spans="1:44" s="36" customFormat="1" ht="15">
      <c r="A5" s="36">
        <v>2</v>
      </c>
      <c r="B5" s="41" t="s">
        <v>121</v>
      </c>
      <c r="C5" s="41">
        <v>4</v>
      </c>
      <c r="D5" s="42">
        <v>1604348</v>
      </c>
      <c r="E5" s="42">
        <v>1434.5398276088486</v>
      </c>
      <c r="F5" s="43">
        <f t="shared" ref="F5:F22" si="17">E5/D5</f>
        <v>8.9415751919711219E-4</v>
      </c>
      <c r="G5" s="36">
        <v>0.4</v>
      </c>
      <c r="H5" s="43">
        <f t="shared" si="0"/>
        <v>3.5689711430683555E-3</v>
      </c>
      <c r="I5" s="43">
        <f t="shared" si="1"/>
        <v>0.99643102885693169</v>
      </c>
      <c r="J5" s="44">
        <f t="shared" ref="J5:J22" si="18">J4*I4</f>
        <v>98978.527481326237</v>
      </c>
      <c r="K5" s="44">
        <f t="shared" si="2"/>
        <v>353.25150836425018</v>
      </c>
      <c r="L5" s="44">
        <f t="shared" si="3"/>
        <v>395066.30630523077</v>
      </c>
      <c r="M5" s="44">
        <f t="shared" si="4"/>
        <v>7033447.6304327184</v>
      </c>
      <c r="N5" s="46">
        <f t="shared" si="5"/>
        <v>71.06033813000181</v>
      </c>
      <c r="O5" s="46"/>
      <c r="P5" s="36">
        <v>2</v>
      </c>
      <c r="Q5" s="41" t="s">
        <v>121</v>
      </c>
      <c r="R5" s="41">
        <v>4</v>
      </c>
      <c r="S5" s="47">
        <v>1509099</v>
      </c>
      <c r="T5" s="47">
        <v>1033.6090378990232</v>
      </c>
      <c r="U5" s="43">
        <f t="shared" ref="U5:U22" si="19">T5/S5</f>
        <v>6.8491797946922182E-4</v>
      </c>
      <c r="V5" s="36">
        <v>0.4</v>
      </c>
      <c r="W5" s="43">
        <f t="shared" si="6"/>
        <v>2.7351758272342896E-3</v>
      </c>
      <c r="X5" s="43">
        <f t="shared" si="7"/>
        <v>0.99726482417276574</v>
      </c>
      <c r="Y5" s="44">
        <f t="shared" ref="Y5:Y22" si="20">Y4*X4</f>
        <v>99132.883046512827</v>
      </c>
      <c r="Z5" s="44">
        <f t="shared" si="8"/>
        <v>271.14586539285665</v>
      </c>
      <c r="AA5" s="44">
        <f t="shared" si="9"/>
        <v>395880.78210910846</v>
      </c>
      <c r="AB5" s="44">
        <f t="shared" si="10"/>
        <v>7751056.3912862446</v>
      </c>
      <c r="AC5" s="46">
        <f t="shared" si="11"/>
        <v>78.188550086346964</v>
      </c>
      <c r="AF5" s="77" t="s">
        <v>122</v>
      </c>
      <c r="AG5" s="41">
        <v>4</v>
      </c>
      <c r="AH5" s="48">
        <f t="shared" ref="AH5:AI22" si="21">D5+S5</f>
        <v>3113447</v>
      </c>
      <c r="AI5" s="48">
        <f t="shared" si="21"/>
        <v>2468.148865507872</v>
      </c>
      <c r="AJ5" s="43">
        <f t="shared" ref="AJ5:AJ22" si="22">AI5/AH5</f>
        <v>7.9273835896608231E-4</v>
      </c>
      <c r="AK5" s="36">
        <v>0.4</v>
      </c>
      <c r="AL5" s="701">
        <v>7.9242422492742381E-4</v>
      </c>
      <c r="AM5" s="43">
        <f t="shared" si="12"/>
        <v>0.99920757577507258</v>
      </c>
      <c r="AN5" s="44">
        <f t="shared" ref="AN5:AN22" si="23">AN4*AM4</f>
        <v>99051.456078797477</v>
      </c>
      <c r="AO5" s="44">
        <f t="shared" si="13"/>
        <v>78.490773311175872</v>
      </c>
      <c r="AP5" s="44">
        <f t="shared" si="14"/>
        <v>396017.44645924307</v>
      </c>
      <c r="AQ5" s="44">
        <f t="shared" si="15"/>
        <v>8585662.2587254904</v>
      </c>
      <c r="AR5" s="46">
        <f t="shared" si="16"/>
        <v>86.678809162536879</v>
      </c>
    </row>
    <row r="6" spans="1:44" s="36" customFormat="1" ht="15">
      <c r="A6" s="36">
        <v>3</v>
      </c>
      <c r="B6" s="41" t="s">
        <v>123</v>
      </c>
      <c r="C6" s="41">
        <v>5</v>
      </c>
      <c r="D6" s="42">
        <v>2069970</v>
      </c>
      <c r="E6" s="42">
        <v>864.11897206497474</v>
      </c>
      <c r="F6" s="43">
        <f t="shared" si="17"/>
        <v>4.174548288453334E-4</v>
      </c>
      <c r="G6" s="36">
        <v>0.5</v>
      </c>
      <c r="H6" s="43">
        <f t="shared" si="0"/>
        <v>2.0850980585937272E-3</v>
      </c>
      <c r="I6" s="43">
        <f t="shared" si="1"/>
        <v>0.99791490194140631</v>
      </c>
      <c r="J6" s="44">
        <f t="shared" si="18"/>
        <v>98625.275972961987</v>
      </c>
      <c r="K6" s="44">
        <f t="shared" si="2"/>
        <v>205.64337145948957</v>
      </c>
      <c r="L6" s="44">
        <f t="shared" si="3"/>
        <v>492612.27143616125</v>
      </c>
      <c r="M6" s="44">
        <f t="shared" si="4"/>
        <v>6638381.3241274878</v>
      </c>
      <c r="N6" s="46">
        <f t="shared" si="5"/>
        <v>67.30912799622881</v>
      </c>
      <c r="O6" s="46"/>
      <c r="P6" s="36">
        <v>3</v>
      </c>
      <c r="Q6" s="41" t="s">
        <v>123</v>
      </c>
      <c r="R6" s="41">
        <v>5</v>
      </c>
      <c r="S6" s="47">
        <v>1949119</v>
      </c>
      <c r="T6" s="47">
        <v>614.84199165187317</v>
      </c>
      <c r="U6" s="43">
        <f t="shared" si="19"/>
        <v>3.1544610239388828E-4</v>
      </c>
      <c r="V6" s="36">
        <v>0.5</v>
      </c>
      <c r="W6" s="43">
        <f t="shared" si="6"/>
        <v>1.5759876640543246E-3</v>
      </c>
      <c r="X6" s="43">
        <f t="shared" si="7"/>
        <v>0.99842401233594569</v>
      </c>
      <c r="Y6" s="44">
        <f t="shared" si="20"/>
        <v>98861.73718111997</v>
      </c>
      <c r="Z6" s="44">
        <f t="shared" si="8"/>
        <v>155.80487824442389</v>
      </c>
      <c r="AA6" s="44">
        <f t="shared" si="9"/>
        <v>493919.17370998883</v>
      </c>
      <c r="AB6" s="44">
        <f t="shared" si="10"/>
        <v>7355175.6091771359</v>
      </c>
      <c r="AC6" s="46">
        <f t="shared" si="11"/>
        <v>74.398607781917306</v>
      </c>
      <c r="AF6" s="77" t="s">
        <v>124</v>
      </c>
      <c r="AG6" s="41">
        <v>5</v>
      </c>
      <c r="AH6" s="48">
        <f t="shared" si="21"/>
        <v>4019089</v>
      </c>
      <c r="AI6" s="48">
        <f t="shared" si="21"/>
        <v>1478.9609637168478</v>
      </c>
      <c r="AJ6" s="43">
        <f t="shared" si="22"/>
        <v>3.6798412867116099E-4</v>
      </c>
      <c r="AK6" s="36">
        <v>0.5</v>
      </c>
      <c r="AL6" s="701">
        <v>3.6791643081579561E-4</v>
      </c>
      <c r="AM6" s="43">
        <f t="shared" si="12"/>
        <v>0.9996320835691842</v>
      </c>
      <c r="AN6" s="44">
        <f t="shared" si="23"/>
        <v>98972.965305486301</v>
      </c>
      <c r="AO6" s="44">
        <f t="shared" si="13"/>
        <v>36.413780142451287</v>
      </c>
      <c r="AP6" s="44">
        <f t="shared" si="14"/>
        <v>494773.79207707534</v>
      </c>
      <c r="AQ6" s="44">
        <f t="shared" si="15"/>
        <v>8189644.8122662473</v>
      </c>
      <c r="AR6" s="46">
        <f t="shared" si="16"/>
        <v>82.746281138373419</v>
      </c>
    </row>
    <row r="7" spans="1:44" s="36" customFormat="1" ht="15">
      <c r="A7" s="36">
        <v>4</v>
      </c>
      <c r="B7" s="41" t="s">
        <v>125</v>
      </c>
      <c r="C7" s="41">
        <v>5</v>
      </c>
      <c r="D7" s="42">
        <v>2109236</v>
      </c>
      <c r="E7" s="42">
        <v>1238.9041632952149</v>
      </c>
      <c r="F7" s="43">
        <f t="shared" si="17"/>
        <v>5.8737104965741853E-4</v>
      </c>
      <c r="G7" s="36">
        <v>0.5</v>
      </c>
      <c r="H7" s="43">
        <f t="shared" si="0"/>
        <v>2.9325490123082647E-3</v>
      </c>
      <c r="I7" s="43">
        <f t="shared" si="1"/>
        <v>0.99706745098769178</v>
      </c>
      <c r="J7" s="44">
        <f t="shared" si="18"/>
        <v>98419.632601502497</v>
      </c>
      <c r="K7" s="44">
        <f t="shared" si="2"/>
        <v>288.62039637727139</v>
      </c>
      <c r="L7" s="44">
        <f t="shared" si="3"/>
        <v>491376.61201656924</v>
      </c>
      <c r="M7" s="44">
        <f t="shared" si="4"/>
        <v>6145769.0526913265</v>
      </c>
      <c r="N7" s="46">
        <f t="shared" si="5"/>
        <v>62.444543738293774</v>
      </c>
      <c r="O7" s="46"/>
      <c r="P7" s="36">
        <v>4</v>
      </c>
      <c r="Q7" s="41" t="s">
        <v>125</v>
      </c>
      <c r="R7" s="41">
        <v>5</v>
      </c>
      <c r="S7" s="47">
        <v>1991041</v>
      </c>
      <c r="T7" s="47">
        <v>736.66115261467428</v>
      </c>
      <c r="U7" s="43">
        <f t="shared" si="19"/>
        <v>3.6998793727234861E-4</v>
      </c>
      <c r="V7" s="36">
        <v>0.5</v>
      </c>
      <c r="W7" s="43">
        <f t="shared" si="6"/>
        <v>1.8482301292289483E-3</v>
      </c>
      <c r="X7" s="43">
        <f t="shared" si="7"/>
        <v>0.99815176987077103</v>
      </c>
      <c r="Y7" s="44">
        <f t="shared" si="20"/>
        <v>98705.932302875546</v>
      </c>
      <c r="Z7" s="44">
        <f t="shared" si="8"/>
        <v>182.43127801580704</v>
      </c>
      <c r="AA7" s="44">
        <f t="shared" si="9"/>
        <v>493073.58331933821</v>
      </c>
      <c r="AB7" s="44">
        <f t="shared" si="10"/>
        <v>6861256.4354671473</v>
      </c>
      <c r="AC7" s="46">
        <f t="shared" si="11"/>
        <v>69.51209795996489</v>
      </c>
      <c r="AF7" s="77" t="s">
        <v>126</v>
      </c>
      <c r="AG7" s="41">
        <v>5</v>
      </c>
      <c r="AH7" s="48">
        <f t="shared" si="21"/>
        <v>4100277</v>
      </c>
      <c r="AI7" s="48">
        <f t="shared" si="21"/>
        <v>1975.5653159098893</v>
      </c>
      <c r="AJ7" s="43">
        <f t="shared" si="22"/>
        <v>4.8181264726990133E-4</v>
      </c>
      <c r="AK7" s="36">
        <v>0.5</v>
      </c>
      <c r="AL7" s="701">
        <v>4.8169659419572408E-4</v>
      </c>
      <c r="AM7" s="43">
        <f t="shared" si="12"/>
        <v>0.99951830340580428</v>
      </c>
      <c r="AN7" s="44">
        <f t="shared" si="23"/>
        <v>98936.55152534385</v>
      </c>
      <c r="AO7" s="44">
        <f t="shared" si="13"/>
        <v>47.657399911229732</v>
      </c>
      <c r="AP7" s="44">
        <f t="shared" si="14"/>
        <v>494563.61412694119</v>
      </c>
      <c r="AQ7" s="44">
        <f t="shared" si="15"/>
        <v>7694871.0201891717</v>
      </c>
      <c r="AR7" s="46">
        <f t="shared" si="16"/>
        <v>77.775815930051223</v>
      </c>
    </row>
    <row r="8" spans="1:44" s="36" customFormat="1" ht="15">
      <c r="A8" s="36">
        <v>5</v>
      </c>
      <c r="B8" s="41" t="s">
        <v>127</v>
      </c>
      <c r="C8" s="41">
        <v>5</v>
      </c>
      <c r="D8" s="42">
        <v>2474343</v>
      </c>
      <c r="E8" s="42">
        <v>3991.4066804905974</v>
      </c>
      <c r="F8" s="43">
        <f t="shared" si="17"/>
        <v>1.6131177773213324E-3</v>
      </c>
      <c r="G8" s="36">
        <v>0.5</v>
      </c>
      <c r="H8" s="43">
        <f t="shared" si="0"/>
        <v>8.0331926718376894E-3</v>
      </c>
      <c r="I8" s="43">
        <f t="shared" si="1"/>
        <v>0.99196680732816234</v>
      </c>
      <c r="J8" s="44">
        <f t="shared" si="18"/>
        <v>98131.012205125226</v>
      </c>
      <c r="K8" s="44">
        <f t="shared" si="2"/>
        <v>788.3053281262255</v>
      </c>
      <c r="L8" s="44">
        <f t="shared" si="3"/>
        <v>488684.29770531063</v>
      </c>
      <c r="M8" s="44">
        <f t="shared" si="4"/>
        <v>5654392.4406747576</v>
      </c>
      <c r="N8" s="46">
        <f t="shared" si="5"/>
        <v>57.620851080749759</v>
      </c>
      <c r="O8" s="46"/>
      <c r="P8" s="36">
        <v>5</v>
      </c>
      <c r="Q8" s="41" t="s">
        <v>127</v>
      </c>
      <c r="R8" s="41">
        <v>5</v>
      </c>
      <c r="S8" s="47">
        <v>2342738.1461293288</v>
      </c>
      <c r="T8" s="47">
        <v>1323.9214474447811</v>
      </c>
      <c r="U8" s="43">
        <f t="shared" si="19"/>
        <v>5.6511712571554937E-4</v>
      </c>
      <c r="V8" s="36">
        <v>0.5</v>
      </c>
      <c r="W8" s="43">
        <f t="shared" si="6"/>
        <v>2.8215992933712697E-3</v>
      </c>
      <c r="X8" s="43">
        <f t="shared" si="7"/>
        <v>0.99717840070662878</v>
      </c>
      <c r="Y8" s="44">
        <f t="shared" si="20"/>
        <v>98523.501024859739</v>
      </c>
      <c r="Z8" s="44">
        <f t="shared" si="8"/>
        <v>277.99384087220824</v>
      </c>
      <c r="AA8" s="44">
        <f t="shared" si="9"/>
        <v>491922.52052211814</v>
      </c>
      <c r="AB8" s="44">
        <f t="shared" si="10"/>
        <v>6368182.8521478092</v>
      </c>
      <c r="AC8" s="46">
        <f t="shared" si="11"/>
        <v>64.636181072584606</v>
      </c>
      <c r="AF8" s="77" t="s">
        <v>128</v>
      </c>
      <c r="AG8" s="41">
        <v>5</v>
      </c>
      <c r="AH8" s="48">
        <f t="shared" si="21"/>
        <v>4817081.1461293288</v>
      </c>
      <c r="AI8" s="48">
        <f t="shared" si="21"/>
        <v>5315.3281279353787</v>
      </c>
      <c r="AJ8" s="43">
        <f t="shared" si="22"/>
        <v>1.1034333794037094E-3</v>
      </c>
      <c r="AK8" s="36">
        <v>0.5</v>
      </c>
      <c r="AL8" s="701">
        <v>1.1028248206476077E-3</v>
      </c>
      <c r="AM8" s="43">
        <f t="shared" si="12"/>
        <v>0.99889717517935239</v>
      </c>
      <c r="AN8" s="44">
        <f t="shared" si="23"/>
        <v>98888.89412543262</v>
      </c>
      <c r="AO8" s="44">
        <f t="shared" si="13"/>
        <v>109.05712692791712</v>
      </c>
      <c r="AP8" s="44">
        <f t="shared" si="14"/>
        <v>494171.82780984329</v>
      </c>
      <c r="AQ8" s="44">
        <f t="shared" si="15"/>
        <v>7200307.4060622305</v>
      </c>
      <c r="AR8" s="46">
        <f t="shared" si="16"/>
        <v>72.812093508996256</v>
      </c>
    </row>
    <row r="9" spans="1:44" s="36" customFormat="1" ht="15">
      <c r="A9" s="36">
        <v>6</v>
      </c>
      <c r="B9" s="41" t="s">
        <v>129</v>
      </c>
      <c r="C9" s="41">
        <v>5</v>
      </c>
      <c r="D9" s="42">
        <v>2460870</v>
      </c>
      <c r="E9" s="42">
        <v>4645.3345512424712</v>
      </c>
      <c r="F9" s="43">
        <f t="shared" si="17"/>
        <v>1.8876797844837277E-3</v>
      </c>
      <c r="G9" s="36">
        <v>0.5</v>
      </c>
      <c r="H9" s="43">
        <f t="shared" si="0"/>
        <v>9.3940664490935119E-3</v>
      </c>
      <c r="I9" s="43">
        <f t="shared" si="1"/>
        <v>0.99060593355090654</v>
      </c>
      <c r="J9" s="44">
        <f t="shared" si="18"/>
        <v>97342.706876999</v>
      </c>
      <c r="K9" s="44">
        <f t="shared" si="2"/>
        <v>914.44385673715442</v>
      </c>
      <c r="L9" s="44">
        <f t="shared" si="3"/>
        <v>484427.42474315211</v>
      </c>
      <c r="M9" s="44">
        <f t="shared" si="4"/>
        <v>5165708.1429694472</v>
      </c>
      <c r="N9" s="46">
        <f t="shared" si="5"/>
        <v>53.067233372673414</v>
      </c>
      <c r="O9" s="46"/>
      <c r="P9" s="36">
        <v>6</v>
      </c>
      <c r="Q9" s="41" t="s">
        <v>129</v>
      </c>
      <c r="R9" s="41">
        <v>5</v>
      </c>
      <c r="S9" s="47">
        <v>2374579.0291607669</v>
      </c>
      <c r="T9" s="47">
        <v>1434.2482347318462</v>
      </c>
      <c r="U9" s="43">
        <f t="shared" si="19"/>
        <v>6.0400105328932505E-4</v>
      </c>
      <c r="V9" s="36">
        <v>0.5</v>
      </c>
      <c r="W9" s="43">
        <f t="shared" si="6"/>
        <v>3.0154519260978591E-3</v>
      </c>
      <c r="X9" s="43">
        <f t="shared" si="7"/>
        <v>0.99698454807390213</v>
      </c>
      <c r="Y9" s="44">
        <f t="shared" si="20"/>
        <v>98245.507183987531</v>
      </c>
      <c r="Z9" s="44">
        <f t="shared" si="8"/>
        <v>296.25460386842315</v>
      </c>
      <c r="AA9" s="44">
        <f t="shared" si="9"/>
        <v>490486.89941026666</v>
      </c>
      <c r="AB9" s="44">
        <f t="shared" si="10"/>
        <v>5876260.3316256907</v>
      </c>
      <c r="AC9" s="46">
        <f t="shared" si="11"/>
        <v>59.812000569359661</v>
      </c>
      <c r="AF9" s="77" t="s">
        <v>130</v>
      </c>
      <c r="AG9" s="41">
        <v>5</v>
      </c>
      <c r="AH9" s="48">
        <f t="shared" si="21"/>
        <v>4835449.0291607669</v>
      </c>
      <c r="AI9" s="48">
        <f t="shared" si="21"/>
        <v>6079.5827859743176</v>
      </c>
      <c r="AJ9" s="43">
        <f t="shared" si="22"/>
        <v>1.2572943586646554E-3</v>
      </c>
      <c r="AK9" s="36">
        <v>0.5</v>
      </c>
      <c r="AL9" s="701">
        <v>1.2565042952612515E-3</v>
      </c>
      <c r="AM9" s="43">
        <f t="shared" si="12"/>
        <v>0.99874349570473875</v>
      </c>
      <c r="AN9" s="44">
        <f t="shared" si="23"/>
        <v>98779.836998504703</v>
      </c>
      <c r="AO9" s="44">
        <f t="shared" si="13"/>
        <v>124.11728947382653</v>
      </c>
      <c r="AP9" s="44">
        <f t="shared" si="14"/>
        <v>493588.89176883898</v>
      </c>
      <c r="AQ9" s="44">
        <f t="shared" si="15"/>
        <v>6706135.5782523872</v>
      </c>
      <c r="AR9" s="46">
        <f t="shared" si="16"/>
        <v>67.88972104047815</v>
      </c>
    </row>
    <row r="10" spans="1:44" s="36" customFormat="1" ht="15">
      <c r="A10" s="36">
        <v>7</v>
      </c>
      <c r="B10" s="41" t="s">
        <v>131</v>
      </c>
      <c r="C10" s="41">
        <v>5</v>
      </c>
      <c r="D10" s="42">
        <v>2366609</v>
      </c>
      <c r="E10" s="42">
        <v>5398.2413003904594</v>
      </c>
      <c r="F10" s="43">
        <f t="shared" si="17"/>
        <v>2.2810026076933113E-3</v>
      </c>
      <c r="G10" s="36">
        <v>0.5</v>
      </c>
      <c r="H10" s="43">
        <f t="shared" si="0"/>
        <v>1.1340344649174288E-2</v>
      </c>
      <c r="I10" s="43">
        <f t="shared" si="1"/>
        <v>0.98865965535082567</v>
      </c>
      <c r="J10" s="44">
        <f t="shared" si="18"/>
        <v>96428.263020261846</v>
      </c>
      <c r="K10" s="44">
        <f t="shared" si="2"/>
        <v>1093.5297365709994</v>
      </c>
      <c r="L10" s="44">
        <f t="shared" si="3"/>
        <v>479407.4907598818</v>
      </c>
      <c r="M10" s="44">
        <f t="shared" si="4"/>
        <v>4681280.718226295</v>
      </c>
      <c r="N10" s="46">
        <f t="shared" si="5"/>
        <v>48.546770123222565</v>
      </c>
      <c r="O10" s="46"/>
      <c r="P10" s="36">
        <v>7</v>
      </c>
      <c r="Q10" s="41" t="s">
        <v>131</v>
      </c>
      <c r="R10" s="41">
        <v>5</v>
      </c>
      <c r="S10" s="47">
        <v>2308841</v>
      </c>
      <c r="T10" s="47">
        <v>1767.5270713281891</v>
      </c>
      <c r="U10" s="43">
        <f t="shared" si="19"/>
        <v>7.6554733363111145E-4</v>
      </c>
      <c r="V10" s="36">
        <v>0.5</v>
      </c>
      <c r="W10" s="43">
        <f t="shared" si="6"/>
        <v>3.8204248779589089E-3</v>
      </c>
      <c r="X10" s="43">
        <f t="shared" si="7"/>
        <v>0.99617957512204114</v>
      </c>
      <c r="Y10" s="44">
        <f t="shared" si="20"/>
        <v>97949.252580119108</v>
      </c>
      <c r="Z10" s="44">
        <f t="shared" si="8"/>
        <v>374.20776133456093</v>
      </c>
      <c r="AA10" s="44">
        <f t="shared" si="9"/>
        <v>488810.7434972591</v>
      </c>
      <c r="AB10" s="44">
        <f t="shared" si="10"/>
        <v>5385773.4322154243</v>
      </c>
      <c r="AC10" s="46">
        <f t="shared" si="11"/>
        <v>54.985344863249949</v>
      </c>
      <c r="AF10" s="77" t="s">
        <v>132</v>
      </c>
      <c r="AG10" s="41">
        <v>5</v>
      </c>
      <c r="AH10" s="48">
        <f t="shared" si="21"/>
        <v>4675450</v>
      </c>
      <c r="AI10" s="48">
        <f t="shared" si="21"/>
        <v>7165.7683717186483</v>
      </c>
      <c r="AJ10" s="43">
        <f t="shared" si="22"/>
        <v>1.5326371518717232E-3</v>
      </c>
      <c r="AK10" s="36">
        <v>0.5</v>
      </c>
      <c r="AL10" s="701">
        <v>1.5314632633437464E-3</v>
      </c>
      <c r="AM10" s="43">
        <f t="shared" si="12"/>
        <v>0.99846853673665625</v>
      </c>
      <c r="AN10" s="44">
        <f t="shared" si="23"/>
        <v>98655.719709030876</v>
      </c>
      <c r="AO10" s="44">
        <f t="shared" si="13"/>
        <v>151.08761045311985</v>
      </c>
      <c r="AP10" s="44">
        <f t="shared" si="14"/>
        <v>492900.87951902155</v>
      </c>
      <c r="AQ10" s="44">
        <f t="shared" si="15"/>
        <v>6212546.686483548</v>
      </c>
      <c r="AR10" s="46">
        <f t="shared" si="16"/>
        <v>62.971986873203619</v>
      </c>
    </row>
    <row r="11" spans="1:44" s="36" customFormat="1" ht="15">
      <c r="A11" s="36">
        <v>8</v>
      </c>
      <c r="B11" s="41" t="s">
        <v>133</v>
      </c>
      <c r="C11" s="41">
        <v>5</v>
      </c>
      <c r="D11" s="42">
        <v>2602499</v>
      </c>
      <c r="E11" s="42">
        <v>7750.379815084696</v>
      </c>
      <c r="F11" s="43">
        <f t="shared" si="17"/>
        <v>2.978052946450583E-3</v>
      </c>
      <c r="G11" s="36">
        <v>0.5</v>
      </c>
      <c r="H11" s="43">
        <f t="shared" si="0"/>
        <v>1.4780224008111525E-2</v>
      </c>
      <c r="I11" s="43">
        <f t="shared" si="1"/>
        <v>0.98521977599188848</v>
      </c>
      <c r="J11" s="44">
        <f t="shared" si="18"/>
        <v>95334.733283690846</v>
      </c>
      <c r="K11" s="44">
        <f t="shared" si="2"/>
        <v>1409.0687136865163</v>
      </c>
      <c r="L11" s="44">
        <f t="shared" si="3"/>
        <v>473150.99463423796</v>
      </c>
      <c r="M11" s="44">
        <f t="shared" si="4"/>
        <v>4201873.2274664128</v>
      </c>
      <c r="N11" s="46">
        <f t="shared" si="5"/>
        <v>44.074946063600493</v>
      </c>
      <c r="O11" s="46"/>
      <c r="P11" s="36">
        <v>8</v>
      </c>
      <c r="Q11" s="41" t="s">
        <v>133</v>
      </c>
      <c r="R11" s="41">
        <v>5</v>
      </c>
      <c r="S11" s="47">
        <v>2574422</v>
      </c>
      <c r="T11" s="47">
        <v>2802.9899395119974</v>
      </c>
      <c r="U11" s="43">
        <f t="shared" si="19"/>
        <v>1.0887841773850587E-3</v>
      </c>
      <c r="V11" s="36">
        <v>0.5</v>
      </c>
      <c r="W11" s="43">
        <f t="shared" si="6"/>
        <v>5.4291429745067822E-3</v>
      </c>
      <c r="X11" s="43">
        <f t="shared" si="7"/>
        <v>0.99457085702549319</v>
      </c>
      <c r="Y11" s="44">
        <f t="shared" si="20"/>
        <v>97575.044818784547</v>
      </c>
      <c r="Z11" s="44">
        <f t="shared" si="8"/>
        <v>529.74886906509346</v>
      </c>
      <c r="AA11" s="44">
        <f t="shared" si="9"/>
        <v>486550.85192126001</v>
      </c>
      <c r="AB11" s="44">
        <f t="shared" si="10"/>
        <v>4896962.6887181653</v>
      </c>
      <c r="AC11" s="46">
        <f t="shared" si="11"/>
        <v>50.186630175909819</v>
      </c>
      <c r="AF11" s="77" t="s">
        <v>134</v>
      </c>
      <c r="AG11" s="41">
        <v>5</v>
      </c>
      <c r="AH11" s="48">
        <f t="shared" si="21"/>
        <v>5176921</v>
      </c>
      <c r="AI11" s="48">
        <f t="shared" si="21"/>
        <v>10553.369754596693</v>
      </c>
      <c r="AJ11" s="43">
        <f t="shared" si="22"/>
        <v>2.0385417808378172E-3</v>
      </c>
      <c r="AK11" s="36">
        <v>0.5</v>
      </c>
      <c r="AL11" s="701">
        <v>2.036465365734319E-3</v>
      </c>
      <c r="AM11" s="43">
        <f t="shared" si="12"/>
        <v>0.99796353463426568</v>
      </c>
      <c r="AN11" s="44">
        <f t="shared" si="23"/>
        <v>98504.632098577757</v>
      </c>
      <c r="AO11" s="44">
        <f t="shared" si="13"/>
        <v>200.60127163316065</v>
      </c>
      <c r="AP11" s="44">
        <f t="shared" si="14"/>
        <v>492021.65731380589</v>
      </c>
      <c r="AQ11" s="44">
        <f t="shared" si="15"/>
        <v>5719645.8069645269</v>
      </c>
      <c r="AR11" s="46">
        <f t="shared" si="16"/>
        <v>58.064739546873646</v>
      </c>
    </row>
    <row r="12" spans="1:44" s="36" customFormat="1" ht="15">
      <c r="A12" s="36">
        <v>9</v>
      </c>
      <c r="B12" s="41" t="s">
        <v>135</v>
      </c>
      <c r="C12" s="41">
        <v>5</v>
      </c>
      <c r="D12" s="42">
        <v>2651125</v>
      </c>
      <c r="E12" s="42">
        <v>11121.222291698517</v>
      </c>
      <c r="F12" s="43">
        <f t="shared" si="17"/>
        <v>4.1949068005840981E-3</v>
      </c>
      <c r="G12" s="36">
        <v>0.5</v>
      </c>
      <c r="H12" s="43">
        <f t="shared" si="0"/>
        <v>2.0756851360592337E-2</v>
      </c>
      <c r="I12" s="43">
        <f t="shared" si="1"/>
        <v>0.97924314863940765</v>
      </c>
      <c r="J12" s="44">
        <f t="shared" si="18"/>
        <v>93925.66457000433</v>
      </c>
      <c r="K12" s="44">
        <f t="shared" si="2"/>
        <v>1949.6010584244359</v>
      </c>
      <c r="L12" s="44">
        <f t="shared" si="3"/>
        <v>464754.32020396052</v>
      </c>
      <c r="M12" s="44">
        <f t="shared" si="4"/>
        <v>3728722.2328321752</v>
      </c>
      <c r="N12" s="46">
        <f t="shared" si="5"/>
        <v>39.698651586895053</v>
      </c>
      <c r="O12" s="46"/>
      <c r="P12" s="36">
        <v>9</v>
      </c>
      <c r="Q12" s="41" t="s">
        <v>135</v>
      </c>
      <c r="R12" s="41">
        <v>5</v>
      </c>
      <c r="S12" s="47">
        <v>2679679</v>
      </c>
      <c r="T12" s="47">
        <v>4095.8819780322915</v>
      </c>
      <c r="U12" s="43">
        <f t="shared" si="19"/>
        <v>1.5284972483765001E-3</v>
      </c>
      <c r="V12" s="36">
        <v>0.5</v>
      </c>
      <c r="W12" s="43">
        <f t="shared" si="6"/>
        <v>7.6133936139083352E-3</v>
      </c>
      <c r="X12" s="43">
        <f t="shared" si="7"/>
        <v>0.99238660638609166</v>
      </c>
      <c r="Y12" s="44">
        <f t="shared" si="20"/>
        <v>97045.295949719453</v>
      </c>
      <c r="Z12" s="44">
        <f t="shared" si="8"/>
        <v>738.84403644343547</v>
      </c>
      <c r="AA12" s="44">
        <f t="shared" si="9"/>
        <v>483379.36965748871</v>
      </c>
      <c r="AB12" s="44">
        <f t="shared" si="10"/>
        <v>4410411.8367969049</v>
      </c>
      <c r="AC12" s="46">
        <f t="shared" si="11"/>
        <v>45.44694097364598</v>
      </c>
      <c r="AF12" s="77" t="s">
        <v>136</v>
      </c>
      <c r="AG12" s="41">
        <v>5</v>
      </c>
      <c r="AH12" s="48">
        <f t="shared" si="21"/>
        <v>5330804</v>
      </c>
      <c r="AI12" s="48">
        <f t="shared" si="21"/>
        <v>15217.104269730809</v>
      </c>
      <c r="AJ12" s="43">
        <f t="shared" si="22"/>
        <v>2.854560826046279E-3</v>
      </c>
      <c r="AK12" s="36">
        <v>0.5</v>
      </c>
      <c r="AL12" s="701">
        <v>2.8504904412662846E-3</v>
      </c>
      <c r="AM12" s="43">
        <f t="shared" si="12"/>
        <v>0.99714950955873372</v>
      </c>
      <c r="AN12" s="44">
        <f t="shared" si="23"/>
        <v>98304.030826944596</v>
      </c>
      <c r="AO12" s="44">
        <f t="shared" si="13"/>
        <v>280.21470021015557</v>
      </c>
      <c r="AP12" s="44">
        <f t="shared" si="14"/>
        <v>490819.61738419766</v>
      </c>
      <c r="AQ12" s="44">
        <f t="shared" si="15"/>
        <v>5227624.1496507209</v>
      </c>
      <c r="AR12" s="46">
        <f t="shared" si="16"/>
        <v>53.178126122350804</v>
      </c>
    </row>
    <row r="13" spans="1:44" s="36" customFormat="1" ht="15">
      <c r="A13" s="36">
        <v>10</v>
      </c>
      <c r="B13" s="41" t="s">
        <v>137</v>
      </c>
      <c r="C13" s="41">
        <v>5</v>
      </c>
      <c r="D13" s="42">
        <v>2643141</v>
      </c>
      <c r="E13" s="42">
        <v>14370.843445332828</v>
      </c>
      <c r="F13" s="43">
        <f t="shared" si="17"/>
        <v>5.4370324720977156E-3</v>
      </c>
      <c r="G13" s="36">
        <v>0.5</v>
      </c>
      <c r="H13" s="43">
        <f t="shared" si="0"/>
        <v>2.6820601161892603E-2</v>
      </c>
      <c r="I13" s="43">
        <f t="shared" si="1"/>
        <v>0.97317939883810745</v>
      </c>
      <c r="J13" s="44">
        <f t="shared" si="18"/>
        <v>91976.063511579894</v>
      </c>
      <c r="K13" s="44">
        <f t="shared" si="2"/>
        <v>2466.8533158849896</v>
      </c>
      <c r="L13" s="44">
        <f t="shared" si="3"/>
        <v>453713.18426818703</v>
      </c>
      <c r="M13" s="44">
        <f t="shared" si="4"/>
        <v>3263967.9126282148</v>
      </c>
      <c r="N13" s="46">
        <f t="shared" si="5"/>
        <v>35.487145111589577</v>
      </c>
      <c r="O13" s="46"/>
      <c r="P13" s="36">
        <v>10</v>
      </c>
      <c r="Q13" s="41" t="s">
        <v>137</v>
      </c>
      <c r="R13" s="41">
        <v>5</v>
      </c>
      <c r="S13" s="47">
        <v>2763713</v>
      </c>
      <c r="T13" s="47">
        <v>6061.0778765831383</v>
      </c>
      <c r="U13" s="43">
        <f t="shared" si="19"/>
        <v>2.1930923639984102E-3</v>
      </c>
      <c r="V13" s="36">
        <v>0.5</v>
      </c>
      <c r="W13" s="43">
        <f t="shared" si="6"/>
        <v>1.0905668971627126E-2</v>
      </c>
      <c r="X13" s="43">
        <f t="shared" si="7"/>
        <v>0.98909433102837285</v>
      </c>
      <c r="Y13" s="44">
        <f t="shared" si="20"/>
        <v>96306.451913276018</v>
      </c>
      <c r="Z13" s="44">
        <f t="shared" si="8"/>
        <v>1050.2862843981129</v>
      </c>
      <c r="AA13" s="44">
        <f t="shared" si="9"/>
        <v>478906.54385538481</v>
      </c>
      <c r="AB13" s="44">
        <f t="shared" si="10"/>
        <v>3927032.4671394159</v>
      </c>
      <c r="AC13" s="46">
        <f t="shared" si="11"/>
        <v>40.776421403995961</v>
      </c>
      <c r="AF13" s="77" t="s">
        <v>138</v>
      </c>
      <c r="AG13" s="41">
        <v>5</v>
      </c>
      <c r="AH13" s="48">
        <f t="shared" si="21"/>
        <v>5406854</v>
      </c>
      <c r="AI13" s="48">
        <f t="shared" si="21"/>
        <v>20431.921321915965</v>
      </c>
      <c r="AJ13" s="43">
        <f t="shared" si="22"/>
        <v>3.7788927390893048E-3</v>
      </c>
      <c r="AK13" s="36">
        <v>0.5</v>
      </c>
      <c r="AL13" s="701">
        <v>3.7717617092161149E-3</v>
      </c>
      <c r="AM13" s="43">
        <f t="shared" si="12"/>
        <v>0.99622823829078389</v>
      </c>
      <c r="AN13" s="44">
        <f t="shared" si="23"/>
        <v>98023.81612673444</v>
      </c>
      <c r="AO13" s="44">
        <f t="shared" si="13"/>
        <v>369.72247625805903</v>
      </c>
      <c r="AP13" s="44">
        <f t="shared" si="14"/>
        <v>489194.77444302704</v>
      </c>
      <c r="AQ13" s="44">
        <f t="shared" si="15"/>
        <v>4736804.5322665228</v>
      </c>
      <c r="AR13" s="46">
        <f t="shared" si="16"/>
        <v>48.322996588322319</v>
      </c>
    </row>
    <row r="14" spans="1:44" s="36" customFormat="1" ht="15">
      <c r="A14" s="36">
        <v>11</v>
      </c>
      <c r="B14" s="41" t="s">
        <v>139</v>
      </c>
      <c r="C14" s="41">
        <v>5</v>
      </c>
      <c r="D14" s="42">
        <v>2550821</v>
      </c>
      <c r="E14" s="42">
        <v>18160.956002343679</v>
      </c>
      <c r="F14" s="43">
        <f t="shared" si="17"/>
        <v>7.1196512818201196E-3</v>
      </c>
      <c r="G14" s="36">
        <v>0.5</v>
      </c>
      <c r="H14" s="43">
        <f t="shared" si="0"/>
        <v>3.4975719100779484E-2</v>
      </c>
      <c r="I14" s="43">
        <f t="shared" si="1"/>
        <v>0.96502428089922054</v>
      </c>
      <c r="J14" s="44">
        <f t="shared" si="18"/>
        <v>89509.210195694905</v>
      </c>
      <c r="K14" s="44">
        <f t="shared" si="2"/>
        <v>3130.6489927372459</v>
      </c>
      <c r="L14" s="44">
        <f t="shared" si="3"/>
        <v>439719.42849663144</v>
      </c>
      <c r="M14" s="44">
        <f t="shared" si="4"/>
        <v>2810254.728360028</v>
      </c>
      <c r="N14" s="46">
        <f t="shared" si="5"/>
        <v>31.396263269622636</v>
      </c>
      <c r="O14" s="46"/>
      <c r="P14" s="36">
        <v>11</v>
      </c>
      <c r="Q14" s="41" t="s">
        <v>139</v>
      </c>
      <c r="R14" s="41">
        <v>5</v>
      </c>
      <c r="S14" s="47">
        <v>2745699</v>
      </c>
      <c r="T14" s="47">
        <v>8527.341267396072</v>
      </c>
      <c r="U14" s="43">
        <f t="shared" si="19"/>
        <v>3.1057086983664532E-3</v>
      </c>
      <c r="V14" s="36">
        <v>0.5</v>
      </c>
      <c r="W14" s="43">
        <f t="shared" si="6"/>
        <v>1.5408904569448182E-2</v>
      </c>
      <c r="X14" s="43">
        <f t="shared" si="7"/>
        <v>0.98459109543055179</v>
      </c>
      <c r="Y14" s="44">
        <f t="shared" si="20"/>
        <v>95256.165628877905</v>
      </c>
      <c r="Z14" s="44">
        <f t="shared" si="8"/>
        <v>1467.7931658269372</v>
      </c>
      <c r="AA14" s="44">
        <f t="shared" si="9"/>
        <v>472611.34522982221</v>
      </c>
      <c r="AB14" s="44">
        <f t="shared" si="10"/>
        <v>3448125.923284031</v>
      </c>
      <c r="AC14" s="46">
        <f t="shared" si="11"/>
        <v>36.198453932295337</v>
      </c>
      <c r="AF14" s="77" t="s">
        <v>140</v>
      </c>
      <c r="AG14" s="41">
        <v>5</v>
      </c>
      <c r="AH14" s="48">
        <f t="shared" si="21"/>
        <v>5296520</v>
      </c>
      <c r="AI14" s="48">
        <f t="shared" si="21"/>
        <v>26688.297269739749</v>
      </c>
      <c r="AJ14" s="43">
        <f t="shared" si="22"/>
        <v>5.0388363056761325E-3</v>
      </c>
      <c r="AK14" s="36">
        <v>0.5</v>
      </c>
      <c r="AL14" s="701">
        <v>5.0261626657528424E-3</v>
      </c>
      <c r="AM14" s="43">
        <f t="shared" si="12"/>
        <v>0.99497383733424716</v>
      </c>
      <c r="AN14" s="44">
        <f t="shared" si="23"/>
        <v>97654.093650476381</v>
      </c>
      <c r="AO14" s="44">
        <f t="shared" si="13"/>
        <v>490.82535966395517</v>
      </c>
      <c r="AP14" s="44">
        <f t="shared" si="14"/>
        <v>487043.40485322202</v>
      </c>
      <c r="AQ14" s="44">
        <f t="shared" si="15"/>
        <v>4247609.7578234961</v>
      </c>
      <c r="AR14" s="46">
        <f t="shared" si="16"/>
        <v>43.496484366815636</v>
      </c>
    </row>
    <row r="15" spans="1:44" s="36" customFormat="1" ht="15">
      <c r="A15" s="36">
        <v>12</v>
      </c>
      <c r="B15" s="41" t="s">
        <v>141</v>
      </c>
      <c r="C15" s="41">
        <v>5</v>
      </c>
      <c r="D15" s="42">
        <v>2250280</v>
      </c>
      <c r="E15" s="42">
        <v>21521.789378894966</v>
      </c>
      <c r="F15" s="43">
        <f t="shared" si="17"/>
        <v>9.5640495311227793E-3</v>
      </c>
      <c r="G15" s="36">
        <v>0.5</v>
      </c>
      <c r="H15" s="43">
        <f t="shared" si="0"/>
        <v>4.6703559758586699E-2</v>
      </c>
      <c r="I15" s="43">
        <f t="shared" si="1"/>
        <v>0.95329644024141325</v>
      </c>
      <c r="J15" s="44">
        <f t="shared" si="18"/>
        <v>86378.561202957659</v>
      </c>
      <c r="K15" s="44">
        <f t="shared" si="2"/>
        <v>4034.1862950030772</v>
      </c>
      <c r="L15" s="44">
        <f t="shared" si="3"/>
        <v>421807.3402772806</v>
      </c>
      <c r="M15" s="44">
        <f t="shared" si="4"/>
        <v>2370535.2998633967</v>
      </c>
      <c r="N15" s="46">
        <f t="shared" si="5"/>
        <v>27.443560842527994</v>
      </c>
      <c r="O15" s="46"/>
      <c r="P15" s="36">
        <v>12</v>
      </c>
      <c r="Q15" s="41" t="s">
        <v>141</v>
      </c>
      <c r="R15" s="41">
        <v>5</v>
      </c>
      <c r="S15" s="47">
        <v>2455027</v>
      </c>
      <c r="T15" s="47">
        <v>10846.502275159582</v>
      </c>
      <c r="U15" s="43">
        <f t="shared" si="19"/>
        <v>4.4180786097910872E-3</v>
      </c>
      <c r="V15" s="36">
        <v>0.5</v>
      </c>
      <c r="W15" s="43">
        <f t="shared" si="6"/>
        <v>2.1849065823063452E-2</v>
      </c>
      <c r="X15" s="43">
        <f t="shared" si="7"/>
        <v>0.97815093417693655</v>
      </c>
      <c r="Y15" s="44">
        <f t="shared" si="20"/>
        <v>93788.372463050968</v>
      </c>
      <c r="Z15" s="44">
        <f t="shared" si="8"/>
        <v>2049.1883233831904</v>
      </c>
      <c r="AA15" s="44">
        <f t="shared" si="9"/>
        <v>463818.89150679688</v>
      </c>
      <c r="AB15" s="44">
        <f t="shared" si="10"/>
        <v>2975514.5780542088</v>
      </c>
      <c r="AC15" s="46">
        <f t="shared" si="11"/>
        <v>31.725836581996855</v>
      </c>
      <c r="AF15" s="77" t="s">
        <v>142</v>
      </c>
      <c r="AG15" s="41">
        <v>5</v>
      </c>
      <c r="AH15" s="48">
        <f t="shared" si="21"/>
        <v>4705307</v>
      </c>
      <c r="AI15" s="48">
        <f t="shared" si="21"/>
        <v>32368.291654054548</v>
      </c>
      <c r="AJ15" s="43">
        <f t="shared" si="22"/>
        <v>6.8791030328211418E-3</v>
      </c>
      <c r="AK15" s="36">
        <v>0.5</v>
      </c>
      <c r="AL15" s="701">
        <v>6.8554961659266223E-3</v>
      </c>
      <c r="AM15" s="43">
        <f t="shared" si="12"/>
        <v>0.99314450383407338</v>
      </c>
      <c r="AN15" s="44">
        <f t="shared" si="23"/>
        <v>97163.268290812426</v>
      </c>
      <c r="AO15" s="44">
        <f t="shared" si="13"/>
        <v>666.10241323657101</v>
      </c>
      <c r="AP15" s="44">
        <f t="shared" si="14"/>
        <v>484151.08542097069</v>
      </c>
      <c r="AQ15" s="44">
        <f t="shared" si="15"/>
        <v>3760566.3529702742</v>
      </c>
      <c r="AR15" s="46">
        <f t="shared" si="16"/>
        <v>38.703580263632055</v>
      </c>
    </row>
    <row r="16" spans="1:44" s="36" customFormat="1" ht="15">
      <c r="A16" s="36">
        <v>13</v>
      </c>
      <c r="B16" s="41" t="s">
        <v>143</v>
      </c>
      <c r="C16" s="41">
        <v>5</v>
      </c>
      <c r="D16" s="42">
        <v>1753188</v>
      </c>
      <c r="E16" s="42">
        <v>23063.190788524389</v>
      </c>
      <c r="F16" s="43">
        <f t="shared" si="17"/>
        <v>1.3155001510690462E-2</v>
      </c>
      <c r="G16" s="36">
        <v>0.5</v>
      </c>
      <c r="H16" s="43">
        <f t="shared" si="0"/>
        <v>6.3680708027687147E-2</v>
      </c>
      <c r="I16" s="43">
        <f t="shared" si="1"/>
        <v>0.93631929197231289</v>
      </c>
      <c r="J16" s="44">
        <f t="shared" si="18"/>
        <v>82344.374907954581</v>
      </c>
      <c r="K16" s="44">
        <f t="shared" si="2"/>
        <v>5243.7480962358532</v>
      </c>
      <c r="L16" s="44">
        <f t="shared" si="3"/>
        <v>398612.50429918326</v>
      </c>
      <c r="M16" s="44">
        <f t="shared" si="4"/>
        <v>1948727.959586116</v>
      </c>
      <c r="N16" s="46">
        <f t="shared" si="5"/>
        <v>23.665586893633293</v>
      </c>
      <c r="O16" s="46"/>
      <c r="P16" s="36">
        <v>13</v>
      </c>
      <c r="Q16" s="41" t="s">
        <v>143</v>
      </c>
      <c r="R16" s="41">
        <v>5</v>
      </c>
      <c r="S16" s="47">
        <v>1961478</v>
      </c>
      <c r="T16" s="47">
        <v>13032.35174828456</v>
      </c>
      <c r="U16" s="43">
        <f t="shared" si="19"/>
        <v>6.6441488246539396E-3</v>
      </c>
      <c r="V16" s="36">
        <v>0.5</v>
      </c>
      <c r="W16" s="43">
        <f t="shared" si="6"/>
        <v>3.2677951195697219E-2</v>
      </c>
      <c r="X16" s="43">
        <f t="shared" si="7"/>
        <v>0.96732204880430284</v>
      </c>
      <c r="Y16" s="44">
        <f t="shared" si="20"/>
        <v>91739.184139667777</v>
      </c>
      <c r="Z16" s="44">
        <f t="shared" si="8"/>
        <v>2997.8485820491333</v>
      </c>
      <c r="AA16" s="44">
        <f t="shared" si="9"/>
        <v>451201.29924321605</v>
      </c>
      <c r="AB16" s="44">
        <f t="shared" si="10"/>
        <v>2511695.6865474121</v>
      </c>
      <c r="AC16" s="46">
        <f t="shared" si="11"/>
        <v>27.378657332765201</v>
      </c>
      <c r="AF16" s="77" t="s">
        <v>144</v>
      </c>
      <c r="AG16" s="41">
        <v>5</v>
      </c>
      <c r="AH16" s="48">
        <f t="shared" si="21"/>
        <v>3714666</v>
      </c>
      <c r="AI16" s="48">
        <f t="shared" si="21"/>
        <v>36095.542536808949</v>
      </c>
      <c r="AJ16" s="43">
        <f t="shared" si="22"/>
        <v>9.7170358080131431E-3</v>
      </c>
      <c r="AK16" s="36">
        <v>0.5</v>
      </c>
      <c r="AL16" s="701">
        <v>9.6699779598412583E-3</v>
      </c>
      <c r="AM16" s="43">
        <f t="shared" si="12"/>
        <v>0.99033002204015874</v>
      </c>
      <c r="AN16" s="44">
        <f t="shared" si="23"/>
        <v>96497.165877575855</v>
      </c>
      <c r="AO16" s="44">
        <f t="shared" si="13"/>
        <v>933.12546722330444</v>
      </c>
      <c r="AP16" s="44">
        <f t="shared" si="14"/>
        <v>480153.01571982098</v>
      </c>
      <c r="AQ16" s="44">
        <f t="shared" si="15"/>
        <v>3276415.2675493034</v>
      </c>
      <c r="AR16" s="46">
        <f t="shared" si="16"/>
        <v>33.95348700402279</v>
      </c>
    </row>
    <row r="17" spans="1:44" s="35" customFormat="1" ht="15">
      <c r="A17" s="35">
        <v>14</v>
      </c>
      <c r="B17" s="49" t="s">
        <v>145</v>
      </c>
      <c r="C17" s="49">
        <v>5</v>
      </c>
      <c r="D17" s="50">
        <v>1382189</v>
      </c>
      <c r="E17" s="50">
        <v>23402.725838509425</v>
      </c>
      <c r="F17" s="51">
        <f t="shared" si="17"/>
        <v>1.6931639478037681E-2</v>
      </c>
      <c r="G17" s="35">
        <v>0.5</v>
      </c>
      <c r="H17" s="51">
        <f t="shared" si="0"/>
        <v>8.1220218735304564E-2</v>
      </c>
      <c r="I17" s="51">
        <f t="shared" si="1"/>
        <v>0.91877978126469539</v>
      </c>
      <c r="J17" s="52">
        <f t="shared" si="18"/>
        <v>77100.626811718728</v>
      </c>
      <c r="K17" s="52">
        <f t="shared" si="2"/>
        <v>6262.1297742768802</v>
      </c>
      <c r="L17" s="52">
        <f t="shared" si="3"/>
        <v>369847.80962290138</v>
      </c>
      <c r="M17" s="52">
        <f t="shared" si="4"/>
        <v>1550115.4552869326</v>
      </c>
      <c r="N17" s="45">
        <f t="shared" si="5"/>
        <v>20.105095371952626</v>
      </c>
      <c r="O17" s="45"/>
      <c r="P17" s="35">
        <v>14</v>
      </c>
      <c r="Q17" s="49" t="s">
        <v>145</v>
      </c>
      <c r="R17" s="49">
        <v>5</v>
      </c>
      <c r="S17" s="53">
        <v>1600580</v>
      </c>
      <c r="T17" s="53">
        <v>14982.60245619946</v>
      </c>
      <c r="U17" s="51">
        <f t="shared" si="19"/>
        <v>9.3607332693145355E-3</v>
      </c>
      <c r="V17" s="35">
        <v>0.5</v>
      </c>
      <c r="W17" s="51">
        <f t="shared" si="6"/>
        <v>4.5733420470283351E-2</v>
      </c>
      <c r="X17" s="51">
        <f t="shared" si="7"/>
        <v>0.95426657952971661</v>
      </c>
      <c r="Y17" s="52">
        <f t="shared" si="20"/>
        <v>88741.335557618644</v>
      </c>
      <c r="Z17" s="52">
        <f t="shared" si="8"/>
        <v>4058.4448121510795</v>
      </c>
      <c r="AA17" s="52">
        <f t="shared" si="9"/>
        <v>433560.56575771549</v>
      </c>
      <c r="AB17" s="52">
        <f t="shared" si="10"/>
        <v>2060494.3873041961</v>
      </c>
      <c r="AC17" s="45">
        <f t="shared" si="11"/>
        <v>23.219104990439803</v>
      </c>
      <c r="AF17" s="78" t="s">
        <v>146</v>
      </c>
      <c r="AG17" s="49">
        <v>5</v>
      </c>
      <c r="AH17" s="53">
        <f t="shared" si="21"/>
        <v>2982769</v>
      </c>
      <c r="AI17" s="53">
        <f t="shared" si="21"/>
        <v>38385.328294708888</v>
      </c>
      <c r="AJ17" s="51">
        <f t="shared" si="22"/>
        <v>1.2869024820463431E-2</v>
      </c>
      <c r="AK17" s="35">
        <v>0.5</v>
      </c>
      <c r="AL17" s="701">
        <v>1.2786572991074552E-2</v>
      </c>
      <c r="AM17" s="51">
        <f t="shared" si="12"/>
        <v>0.98721342700892545</v>
      </c>
      <c r="AN17" s="52">
        <f t="shared" si="23"/>
        <v>95564.040410352551</v>
      </c>
      <c r="AO17" s="52">
        <f t="shared" si="13"/>
        <v>1221.9365780289663</v>
      </c>
      <c r="AP17" s="52">
        <f t="shared" si="14"/>
        <v>474765.3606066904</v>
      </c>
      <c r="AQ17" s="52">
        <f t="shared" si="15"/>
        <v>2796262.2518294821</v>
      </c>
      <c r="AR17" s="45">
        <f t="shared" si="16"/>
        <v>29.260611416410562</v>
      </c>
    </row>
    <row r="18" spans="1:44" s="36" customFormat="1" ht="15">
      <c r="A18" s="36">
        <v>15</v>
      </c>
      <c r="B18" s="41" t="s">
        <v>147</v>
      </c>
      <c r="C18" s="41">
        <v>5</v>
      </c>
      <c r="D18" s="42">
        <v>961868</v>
      </c>
      <c r="E18" s="42">
        <v>23366.585915790201</v>
      </c>
      <c r="F18" s="43">
        <f t="shared" si="17"/>
        <v>2.4292923681617645E-2</v>
      </c>
      <c r="G18" s="36">
        <v>0.5</v>
      </c>
      <c r="H18" s="43">
        <f t="shared" si="0"/>
        <v>0.11451015242406754</v>
      </c>
      <c r="I18" s="43">
        <f t="shared" si="1"/>
        <v>0.88548984757593252</v>
      </c>
      <c r="J18" s="44">
        <f t="shared" si="18"/>
        <v>70838.497037441848</v>
      </c>
      <c r="K18" s="44">
        <f t="shared" si="2"/>
        <v>8111.7270932493193</v>
      </c>
      <c r="L18" s="44">
        <f t="shared" si="3"/>
        <v>333913.16745408589</v>
      </c>
      <c r="M18" s="44">
        <f t="shared" si="4"/>
        <v>1180267.6456640312</v>
      </c>
      <c r="N18" s="46">
        <f t="shared" si="5"/>
        <v>16.6613874520827</v>
      </c>
      <c r="O18" s="46"/>
      <c r="P18" s="36">
        <v>15</v>
      </c>
      <c r="Q18" s="41" t="s">
        <v>147</v>
      </c>
      <c r="R18" s="41">
        <v>5</v>
      </c>
      <c r="S18" s="47">
        <v>1139390.5356088658</v>
      </c>
      <c r="T18" s="47">
        <v>17059.198401806974</v>
      </c>
      <c r="U18" s="43">
        <f t="shared" si="19"/>
        <v>1.4972213537556643E-2</v>
      </c>
      <c r="V18" s="36">
        <v>0.5</v>
      </c>
      <c r="W18" s="43">
        <f t="shared" si="6"/>
        <v>7.2160077466013758E-2</v>
      </c>
      <c r="X18" s="43">
        <f t="shared" si="7"/>
        <v>0.92783992253398628</v>
      </c>
      <c r="Y18" s="44">
        <f t="shared" si="20"/>
        <v>84682.890745467565</v>
      </c>
      <c r="Z18" s="44">
        <f t="shared" si="8"/>
        <v>6110.723956238915</v>
      </c>
      <c r="AA18" s="44">
        <f t="shared" si="9"/>
        <v>408137.64383674052</v>
      </c>
      <c r="AB18" s="44">
        <f t="shared" si="10"/>
        <v>1626933.8215464805</v>
      </c>
      <c r="AC18" s="46">
        <f t="shared" si="11"/>
        <v>19.212072323281642</v>
      </c>
      <c r="AF18" s="77" t="s">
        <v>148</v>
      </c>
      <c r="AG18" s="41">
        <v>5</v>
      </c>
      <c r="AH18" s="48">
        <f t="shared" si="21"/>
        <v>2101258.5356088658</v>
      </c>
      <c r="AI18" s="48">
        <f t="shared" si="21"/>
        <v>40425.784317597179</v>
      </c>
      <c r="AJ18" s="43">
        <f t="shared" si="22"/>
        <v>1.9238843594219263E-2</v>
      </c>
      <c r="AK18" s="36">
        <v>0.5</v>
      </c>
      <c r="AL18" s="701">
        <v>1.9054958178566062E-2</v>
      </c>
      <c r="AM18" s="43">
        <f t="shared" si="12"/>
        <v>0.98094504182143394</v>
      </c>
      <c r="AN18" s="44">
        <f t="shared" si="23"/>
        <v>94342.103832323584</v>
      </c>
      <c r="AO18" s="44">
        <f t="shared" si="13"/>
        <v>1797.6848430028622</v>
      </c>
      <c r="AP18" s="44">
        <f t="shared" si="14"/>
        <v>467216.3070541108</v>
      </c>
      <c r="AQ18" s="44">
        <f t="shared" si="15"/>
        <v>2321496.8912227917</v>
      </c>
      <c r="AR18" s="46">
        <f t="shared" si="16"/>
        <v>24.607219861758036</v>
      </c>
    </row>
    <row r="19" spans="1:44" s="36" customFormat="1" ht="15">
      <c r="A19" s="36">
        <v>16</v>
      </c>
      <c r="B19" s="41" t="s">
        <v>149</v>
      </c>
      <c r="C19" s="41">
        <v>5</v>
      </c>
      <c r="D19" s="42">
        <v>674547</v>
      </c>
      <c r="E19" s="42">
        <v>24870.644464252338</v>
      </c>
      <c r="F19" s="43">
        <f t="shared" si="17"/>
        <v>3.6870143169048769E-2</v>
      </c>
      <c r="G19" s="36">
        <v>0.5</v>
      </c>
      <c r="H19" s="43">
        <f t="shared" si="0"/>
        <v>0.16879223149283384</v>
      </c>
      <c r="I19" s="43">
        <f t="shared" si="1"/>
        <v>0.83120776850716616</v>
      </c>
      <c r="J19" s="44">
        <f t="shared" si="18"/>
        <v>62726.769944192529</v>
      </c>
      <c r="K19" s="44">
        <f t="shared" si="2"/>
        <v>10587.791473217876</v>
      </c>
      <c r="L19" s="44">
        <f t="shared" si="3"/>
        <v>287164.37103791797</v>
      </c>
      <c r="M19" s="44">
        <f t="shared" si="4"/>
        <v>846354.47820994537</v>
      </c>
      <c r="N19" s="46">
        <f t="shared" si="5"/>
        <v>13.492715772913856</v>
      </c>
      <c r="O19" s="46"/>
      <c r="P19" s="36">
        <v>16</v>
      </c>
      <c r="Q19" s="41" t="s">
        <v>149</v>
      </c>
      <c r="R19" s="41">
        <v>5</v>
      </c>
      <c r="S19" s="47">
        <v>838479</v>
      </c>
      <c r="T19" s="47">
        <v>20824.560162595542</v>
      </c>
      <c r="U19" s="43">
        <f t="shared" si="19"/>
        <v>2.4836114157415441E-2</v>
      </c>
      <c r="V19" s="36">
        <v>0.5</v>
      </c>
      <c r="W19" s="43">
        <f t="shared" si="6"/>
        <v>0.11692091764219867</v>
      </c>
      <c r="X19" s="43">
        <f t="shared" si="7"/>
        <v>0.8830790823578013</v>
      </c>
      <c r="Y19" s="44">
        <f t="shared" si="20"/>
        <v>78572.16678922865</v>
      </c>
      <c r="Z19" s="44">
        <f t="shared" si="8"/>
        <v>9186.7298421324958</v>
      </c>
      <c r="AA19" s="44">
        <f t="shared" si="9"/>
        <v>369894.00934081204</v>
      </c>
      <c r="AB19" s="44">
        <f t="shared" si="10"/>
        <v>1218796.1777097401</v>
      </c>
      <c r="AC19" s="46">
        <f t="shared" si="11"/>
        <v>15.511805611511063</v>
      </c>
      <c r="AF19" s="77" t="s">
        <v>150</v>
      </c>
      <c r="AG19" s="41">
        <v>5</v>
      </c>
      <c r="AH19" s="48">
        <f t="shared" si="21"/>
        <v>1513026</v>
      </c>
      <c r="AI19" s="48">
        <f t="shared" si="21"/>
        <v>45695.204626847881</v>
      </c>
      <c r="AJ19" s="43">
        <f t="shared" si="22"/>
        <v>3.0201202508646833E-2</v>
      </c>
      <c r="AK19" s="36">
        <v>0.5</v>
      </c>
      <c r="AL19" s="701">
        <v>2.9749702885658147E-2</v>
      </c>
      <c r="AM19" s="43">
        <f t="shared" si="12"/>
        <v>0.97025029711434185</v>
      </c>
      <c r="AN19" s="44">
        <f t="shared" si="23"/>
        <v>92544.418989320722</v>
      </c>
      <c r="AO19" s="44">
        <f t="shared" si="13"/>
        <v>2753.1689686581522</v>
      </c>
      <c r="AP19" s="44">
        <f t="shared" si="14"/>
        <v>455839.17252495827</v>
      </c>
      <c r="AQ19" s="44">
        <f t="shared" si="15"/>
        <v>1854280.5841686809</v>
      </c>
      <c r="AR19" s="46">
        <f t="shared" si="16"/>
        <v>20.036654877941995</v>
      </c>
    </row>
    <row r="20" spans="1:44" s="36" customFormat="1" ht="15">
      <c r="A20" s="36">
        <v>17</v>
      </c>
      <c r="B20" s="41" t="s">
        <v>151</v>
      </c>
      <c r="C20" s="41">
        <v>5</v>
      </c>
      <c r="D20" s="42">
        <v>498520</v>
      </c>
      <c r="E20" s="42">
        <v>27461.026572098424</v>
      </c>
      <c r="F20" s="43">
        <f t="shared" si="17"/>
        <v>5.5085105055160122E-2</v>
      </c>
      <c r="G20" s="36">
        <v>0.5</v>
      </c>
      <c r="H20" s="43">
        <f t="shared" si="0"/>
        <v>0.24208704896409805</v>
      </c>
      <c r="I20" s="43">
        <f t="shared" si="1"/>
        <v>0.75791295103590195</v>
      </c>
      <c r="J20" s="44">
        <f t="shared" si="18"/>
        <v>52138.978470974653</v>
      </c>
      <c r="K20" s="44">
        <f t="shared" si="2"/>
        <v>12622.171434040894</v>
      </c>
      <c r="L20" s="44">
        <f t="shared" si="3"/>
        <v>229139.46376977104</v>
      </c>
      <c r="M20" s="44">
        <f t="shared" si="4"/>
        <v>559190.10717202735</v>
      </c>
      <c r="N20" s="46">
        <f t="shared" si="5"/>
        <v>10.724991619912998</v>
      </c>
      <c r="O20" s="46"/>
      <c r="P20" s="36">
        <v>17</v>
      </c>
      <c r="Q20" s="41" t="s">
        <v>151</v>
      </c>
      <c r="R20" s="41">
        <v>5</v>
      </c>
      <c r="S20" s="47">
        <v>674767</v>
      </c>
      <c r="T20" s="47">
        <v>27069.264542895988</v>
      </c>
      <c r="U20" s="43">
        <f t="shared" si="19"/>
        <v>4.0116461745900417E-2</v>
      </c>
      <c r="V20" s="36">
        <v>0.5</v>
      </c>
      <c r="W20" s="43">
        <f t="shared" si="6"/>
        <v>0.18229930135656458</v>
      </c>
      <c r="X20" s="43">
        <f t="shared" si="7"/>
        <v>0.81770069864343542</v>
      </c>
      <c r="Y20" s="44">
        <f t="shared" si="20"/>
        <v>69385.436947096154</v>
      </c>
      <c r="Z20" s="44">
        <f t="shared" si="8"/>
        <v>12648.91667977559</v>
      </c>
      <c r="AA20" s="44">
        <f t="shared" si="9"/>
        <v>315304.89303604182</v>
      </c>
      <c r="AB20" s="44">
        <f t="shared" si="10"/>
        <v>848902.16836892813</v>
      </c>
      <c r="AC20" s="46">
        <f t="shared" si="11"/>
        <v>12.234587050538931</v>
      </c>
      <c r="AF20" s="77" t="s">
        <v>152</v>
      </c>
      <c r="AG20" s="41">
        <v>5</v>
      </c>
      <c r="AH20" s="48">
        <f t="shared" si="21"/>
        <v>1173287</v>
      </c>
      <c r="AI20" s="48">
        <f t="shared" si="21"/>
        <v>54530.291114994412</v>
      </c>
      <c r="AJ20" s="43">
        <f t="shared" si="22"/>
        <v>4.6476515221761099E-2</v>
      </c>
      <c r="AK20" s="36">
        <v>0.5</v>
      </c>
      <c r="AL20" s="701">
        <v>4.5413021429770106E-2</v>
      </c>
      <c r="AM20" s="43">
        <f t="shared" si="12"/>
        <v>0.95458697857022989</v>
      </c>
      <c r="AN20" s="44">
        <f t="shared" si="23"/>
        <v>89791.25002066257</v>
      </c>
      <c r="AO20" s="44">
        <f t="shared" si="13"/>
        <v>4077.6919613942009</v>
      </c>
      <c r="AP20" s="44">
        <f t="shared" si="14"/>
        <v>438762.02019982738</v>
      </c>
      <c r="AQ20" s="44">
        <f t="shared" si="15"/>
        <v>1398441.4116437226</v>
      </c>
      <c r="AR20" s="46">
        <f t="shared" si="16"/>
        <v>15.574361770461111</v>
      </c>
    </row>
    <row r="21" spans="1:44" s="36" customFormat="1" ht="15">
      <c r="A21" s="36">
        <v>18</v>
      </c>
      <c r="B21" s="41" t="s">
        <v>153</v>
      </c>
      <c r="C21" s="41">
        <v>5</v>
      </c>
      <c r="D21" s="42">
        <v>297851</v>
      </c>
      <c r="E21" s="42">
        <v>24841.945113857655</v>
      </c>
      <c r="F21" s="43">
        <f t="shared" si="17"/>
        <v>8.3403933892643153E-2</v>
      </c>
      <c r="G21" s="36">
        <v>0.5</v>
      </c>
      <c r="H21" s="43">
        <f t="shared" si="0"/>
        <v>0.34506932213408892</v>
      </c>
      <c r="I21" s="43">
        <f t="shared" si="1"/>
        <v>0.65493067786591108</v>
      </c>
      <c r="J21" s="44">
        <f t="shared" si="18"/>
        <v>39516.807036933758</v>
      </c>
      <c r="K21" s="44">
        <f t="shared" si="2"/>
        <v>13636.037817138327</v>
      </c>
      <c r="L21" s="44">
        <f t="shared" si="3"/>
        <v>163493.94064182296</v>
      </c>
      <c r="M21" s="44">
        <f t="shared" si="4"/>
        <v>330050.6434022563</v>
      </c>
      <c r="N21" s="46">
        <f t="shared" si="5"/>
        <v>8.3521586927248368</v>
      </c>
      <c r="O21" s="46"/>
      <c r="P21" s="36">
        <v>18</v>
      </c>
      <c r="Q21" s="41" t="s">
        <v>153</v>
      </c>
      <c r="R21" s="41">
        <v>5</v>
      </c>
      <c r="S21" s="47">
        <v>442105</v>
      </c>
      <c r="T21" s="47">
        <v>29242.818021110113</v>
      </c>
      <c r="U21" s="43">
        <f t="shared" si="19"/>
        <v>6.6144508705194727E-2</v>
      </c>
      <c r="V21" s="36">
        <v>0.5</v>
      </c>
      <c r="W21" s="43">
        <f t="shared" si="6"/>
        <v>0.28379400580701342</v>
      </c>
      <c r="X21" s="43">
        <f t="shared" si="7"/>
        <v>0.71620599419298658</v>
      </c>
      <c r="Y21" s="44">
        <f t="shared" si="20"/>
        <v>56736.520267320564</v>
      </c>
      <c r="Z21" s="44">
        <f t="shared" si="8"/>
        <v>16101.484362213705</v>
      </c>
      <c r="AA21" s="44">
        <f t="shared" si="9"/>
        <v>243428.89043106858</v>
      </c>
      <c r="AB21" s="44">
        <f t="shared" si="10"/>
        <v>533597.27533288626</v>
      </c>
      <c r="AC21" s="46">
        <f t="shared" si="11"/>
        <v>9.4048290733866313</v>
      </c>
      <c r="AF21" s="77" t="s">
        <v>154</v>
      </c>
      <c r="AG21" s="41">
        <v>5</v>
      </c>
      <c r="AH21" s="48">
        <f t="shared" si="21"/>
        <v>739956</v>
      </c>
      <c r="AI21" s="48">
        <f t="shared" si="21"/>
        <v>54084.763134967769</v>
      </c>
      <c r="AJ21" s="43">
        <f t="shared" si="22"/>
        <v>7.3091863752666061E-2</v>
      </c>
      <c r="AK21" s="36">
        <v>0.5</v>
      </c>
      <c r="AL21" s="701">
        <v>7.0484562672628037E-2</v>
      </c>
      <c r="AM21" s="43">
        <f t="shared" si="12"/>
        <v>0.92951543732737196</v>
      </c>
      <c r="AN21" s="44">
        <f t="shared" si="23"/>
        <v>85713.558059268369</v>
      </c>
      <c r="AO21" s="44">
        <f t="shared" si="13"/>
        <v>6041.4826549224381</v>
      </c>
      <c r="AP21" s="44">
        <f t="shared" si="14"/>
        <v>413464.08365903574</v>
      </c>
      <c r="AQ21" s="44">
        <f t="shared" si="15"/>
        <v>959679.39144389518</v>
      </c>
      <c r="AR21" s="46">
        <f t="shared" si="16"/>
        <v>11.196354616154256</v>
      </c>
    </row>
    <row r="22" spans="1:44" s="36" customFormat="1" thickBot="1">
      <c r="A22" s="36">
        <v>19</v>
      </c>
      <c r="B22" s="54" t="s">
        <v>155</v>
      </c>
      <c r="C22" s="40"/>
      <c r="D22" s="55">
        <v>209114</v>
      </c>
      <c r="E22" s="55">
        <v>32493.625803896288</v>
      </c>
      <c r="F22" s="56">
        <f t="shared" si="17"/>
        <v>0.15538713717826777</v>
      </c>
      <c r="G22" s="40"/>
      <c r="H22" s="56">
        <v>1</v>
      </c>
      <c r="I22" s="56">
        <f t="shared" si="1"/>
        <v>0</v>
      </c>
      <c r="J22" s="57">
        <f t="shared" si="18"/>
        <v>25880.769219795431</v>
      </c>
      <c r="K22" s="57">
        <f t="shared" si="2"/>
        <v>25880.769219795431</v>
      </c>
      <c r="L22" s="57">
        <f>J22/F22</f>
        <v>166556.70276043337</v>
      </c>
      <c r="M22" s="57">
        <f t="shared" si="4"/>
        <v>166556.70276043337</v>
      </c>
      <c r="N22" s="58">
        <f t="shared" si="5"/>
        <v>6.435539119642514</v>
      </c>
      <c r="O22" s="46"/>
      <c r="P22" s="36">
        <v>19</v>
      </c>
      <c r="Q22" s="54" t="s">
        <v>155</v>
      </c>
      <c r="R22" s="40"/>
      <c r="S22" s="59">
        <v>342090.44620730029</v>
      </c>
      <c r="T22" s="59">
        <v>47906.175475082207</v>
      </c>
      <c r="U22" s="56">
        <f t="shared" si="19"/>
        <v>0.14003950126701867</v>
      </c>
      <c r="V22" s="40"/>
      <c r="W22" s="56">
        <v>1</v>
      </c>
      <c r="X22" s="56">
        <f t="shared" si="7"/>
        <v>0</v>
      </c>
      <c r="Y22" s="57">
        <f t="shared" si="20"/>
        <v>40635.035905106859</v>
      </c>
      <c r="Z22" s="57">
        <f t="shared" si="8"/>
        <v>40635.035905106859</v>
      </c>
      <c r="AA22" s="57">
        <f>Y22/U22</f>
        <v>290168.38490181771</v>
      </c>
      <c r="AB22" s="57">
        <f t="shared" si="10"/>
        <v>290168.38490181771</v>
      </c>
      <c r="AC22" s="58">
        <f t="shared" si="11"/>
        <v>7.1408423405711927</v>
      </c>
      <c r="AF22" s="79" t="s">
        <v>155</v>
      </c>
      <c r="AG22" s="40"/>
      <c r="AH22" s="48">
        <f t="shared" si="21"/>
        <v>551204.44620730029</v>
      </c>
      <c r="AI22" s="48">
        <f t="shared" si="21"/>
        <v>80399.801278978499</v>
      </c>
      <c r="AJ22" s="56">
        <f t="shared" si="22"/>
        <v>0.14586203328400085</v>
      </c>
      <c r="AK22" s="40"/>
      <c r="AL22" s="701">
        <v>1</v>
      </c>
      <c r="AM22" s="56">
        <f t="shared" si="12"/>
        <v>0</v>
      </c>
      <c r="AN22" s="57">
        <f t="shared" si="23"/>
        <v>79672.075404345931</v>
      </c>
      <c r="AO22" s="57">
        <f t="shared" si="13"/>
        <v>79672.075404345931</v>
      </c>
      <c r="AP22" s="57">
        <f>AN22/AJ22</f>
        <v>546215.30778485944</v>
      </c>
      <c r="AQ22" s="57">
        <f t="shared" si="15"/>
        <v>546215.30778485944</v>
      </c>
      <c r="AR22" s="58">
        <f t="shared" si="16"/>
        <v>6.8557936392738252</v>
      </c>
    </row>
    <row r="23" spans="1:44" s="36" customFormat="1" ht="12.75">
      <c r="B23" s="36" t="s">
        <v>156</v>
      </c>
      <c r="D23" s="44">
        <f>SUM(D4:D22)</f>
        <v>31922490</v>
      </c>
      <c r="E23" s="44">
        <f>SUM(E4:E22)</f>
        <v>273721.54340833373</v>
      </c>
      <c r="S23" s="44">
        <f>SUM(S4:S22)</f>
        <v>33032823.157106262</v>
      </c>
      <c r="T23" s="44">
        <f>SUM(T4:T22)</f>
        <v>212327.56565121081</v>
      </c>
      <c r="AH23" s="44">
        <f>SUM(AH4:AH22)</f>
        <v>64955313.157106258</v>
      </c>
      <c r="AI23" s="44">
        <f>SUM(AI4:AI22)</f>
        <v>486049.10905954451</v>
      </c>
    </row>
    <row r="24" spans="1:44" s="36" customFormat="1" ht="12.75">
      <c r="D24" s="60"/>
      <c r="E24" s="60">
        <f>E23+T23</f>
        <v>486049.10905954451</v>
      </c>
      <c r="F24" s="44"/>
      <c r="S24" s="60"/>
      <c r="T24" s="60"/>
      <c r="U24" s="44"/>
      <c r="AH24" s="60">
        <f>S23+D23</f>
        <v>64955313.157106265</v>
      </c>
      <c r="AI24" s="60">
        <f>T23+E23</f>
        <v>486049.10905954451</v>
      </c>
      <c r="AJ24" s="44"/>
    </row>
    <row r="25" spans="1:44">
      <c r="D25" s="33"/>
      <c r="E25" s="33"/>
      <c r="K25" s="61"/>
    </row>
    <row r="26" spans="1:44">
      <c r="B26" s="62"/>
      <c r="C26" s="63"/>
      <c r="D26" s="63"/>
      <c r="E26" s="64"/>
      <c r="F26" s="65"/>
      <c r="Q26" s="66"/>
      <c r="R26" s="67"/>
      <c r="S26" s="67"/>
      <c r="T26" s="1"/>
      <c r="U26" s="1"/>
      <c r="AF26" s="66"/>
      <c r="AG26" s="67"/>
      <c r="AH26" s="67"/>
      <c r="AI26" s="1"/>
      <c r="AJ26" s="1"/>
    </row>
    <row r="27" spans="1:44">
      <c r="B27" s="62"/>
      <c r="C27" s="68"/>
      <c r="D27" s="68"/>
      <c r="E27" s="64"/>
      <c r="F27" s="65"/>
      <c r="Q27" s="66"/>
      <c r="R27" s="67"/>
      <c r="S27" s="67"/>
      <c r="T27" s="1"/>
      <c r="U27" s="1"/>
      <c r="AF27" s="66"/>
      <c r="AG27" s="67"/>
      <c r="AH27" s="67"/>
      <c r="AI27" s="1"/>
      <c r="AJ27" s="1"/>
    </row>
    <row r="28" spans="1:44">
      <c r="B28" s="62"/>
      <c r="C28" s="68"/>
      <c r="D28" s="68"/>
      <c r="E28" s="64"/>
      <c r="F28" s="65"/>
      <c r="Q28" s="66"/>
      <c r="R28" s="67"/>
      <c r="S28" s="67"/>
      <c r="T28" s="1"/>
      <c r="U28" s="1"/>
      <c r="AF28" s="66"/>
      <c r="AG28" s="67"/>
      <c r="AH28" s="67"/>
      <c r="AI28" s="1"/>
      <c r="AJ28" s="1"/>
    </row>
    <row r="29" spans="1:44">
      <c r="B29" s="62"/>
      <c r="C29" s="68"/>
      <c r="D29" s="68"/>
      <c r="E29" s="64"/>
      <c r="F29" s="65"/>
      <c r="Q29" s="66"/>
      <c r="R29" s="67"/>
      <c r="S29" s="67"/>
      <c r="T29" s="1"/>
      <c r="U29" s="1"/>
      <c r="AF29" s="66"/>
      <c r="AG29" s="67"/>
      <c r="AH29" s="67"/>
      <c r="AI29" s="1"/>
      <c r="AJ29" s="1"/>
    </row>
    <row r="30" spans="1:44">
      <c r="B30" s="62"/>
      <c r="C30" s="68"/>
      <c r="D30" s="68"/>
      <c r="E30" s="64"/>
      <c r="F30" s="65"/>
      <c r="Q30" s="66"/>
      <c r="R30" s="67"/>
      <c r="S30" s="67"/>
      <c r="T30" s="1"/>
      <c r="U30" s="1"/>
      <c r="AF30" s="66"/>
      <c r="AG30" s="67"/>
      <c r="AH30" s="67"/>
      <c r="AI30" s="1"/>
      <c r="AJ30" s="1"/>
    </row>
    <row r="31" spans="1:44">
      <c r="B31" s="62"/>
      <c r="C31" s="68"/>
      <c r="D31" s="68"/>
      <c r="E31" s="64"/>
      <c r="F31" s="65"/>
      <c r="Q31" s="66"/>
      <c r="R31" s="67"/>
      <c r="S31" s="67"/>
      <c r="T31" s="1"/>
      <c r="U31" s="1"/>
      <c r="AF31" s="66"/>
      <c r="AG31" s="67"/>
      <c r="AH31" s="67"/>
      <c r="AI31" s="1"/>
      <c r="AJ31" s="1"/>
    </row>
    <row r="32" spans="1:44">
      <c r="B32" s="62"/>
      <c r="C32" s="68"/>
      <c r="D32" s="68"/>
      <c r="E32" s="64"/>
      <c r="F32" s="65"/>
      <c r="Q32" s="62"/>
      <c r="R32" s="67"/>
      <c r="S32" s="67"/>
      <c r="T32" s="1"/>
      <c r="U32" s="1"/>
      <c r="AF32" s="62"/>
      <c r="AG32" s="67"/>
      <c r="AH32" s="67"/>
      <c r="AI32" s="1"/>
      <c r="AJ32" s="1"/>
    </row>
    <row r="33" spans="2:5">
      <c r="B33" s="62"/>
      <c r="C33" s="68"/>
      <c r="D33" s="68"/>
      <c r="E33" s="69"/>
    </row>
    <row r="34" spans="2:5">
      <c r="B34" s="62"/>
      <c r="C34" s="68"/>
      <c r="D34" s="68"/>
      <c r="E34" s="69"/>
    </row>
    <row r="35" spans="2:5">
      <c r="B35" s="62"/>
      <c r="C35" s="68"/>
      <c r="D35" s="68"/>
      <c r="E35" s="69"/>
    </row>
    <row r="36" spans="2:5">
      <c r="B36" s="62"/>
      <c r="C36" s="68"/>
      <c r="D36" s="68"/>
      <c r="E36" s="69"/>
    </row>
    <row r="37" spans="2:5">
      <c r="B37" s="62"/>
      <c r="C37" s="68"/>
      <c r="D37" s="68"/>
      <c r="E37" s="69"/>
    </row>
    <row r="38" spans="2:5">
      <c r="B38" s="62"/>
      <c r="C38" s="68"/>
      <c r="D38" s="68"/>
      <c r="E38" s="69"/>
    </row>
    <row r="39" spans="2:5">
      <c r="B39" s="62"/>
      <c r="C39" s="68"/>
      <c r="D39" s="68"/>
      <c r="E39" s="69"/>
    </row>
    <row r="40" spans="2:5">
      <c r="B40" s="62"/>
      <c r="C40" s="68"/>
      <c r="D40" s="68"/>
      <c r="E40" s="70"/>
    </row>
    <row r="41" spans="2:5">
      <c r="B41" s="62"/>
      <c r="C41" s="68"/>
      <c r="D41" s="68"/>
      <c r="E41" s="70"/>
    </row>
    <row r="42" spans="2:5">
      <c r="E42" s="71"/>
    </row>
    <row r="43" spans="2:5">
      <c r="E43" s="68"/>
    </row>
    <row r="44" spans="2:5">
      <c r="E44" s="68"/>
    </row>
    <row r="45" spans="2:5">
      <c r="E45" s="68"/>
    </row>
    <row r="46" spans="2:5">
      <c r="E46" s="68"/>
    </row>
    <row r="47" spans="2:5">
      <c r="E47" s="68"/>
    </row>
    <row r="48" spans="2:5">
      <c r="E48" s="68"/>
    </row>
    <row r="49" spans="5:5">
      <c r="E49" s="68"/>
    </row>
    <row r="50" spans="5:5">
      <c r="E50" s="68"/>
    </row>
    <row r="51" spans="5:5">
      <c r="E51" s="68"/>
    </row>
    <row r="52" spans="5:5">
      <c r="E52" s="68"/>
    </row>
    <row r="53" spans="5:5">
      <c r="E53" s="68"/>
    </row>
    <row r="54" spans="5:5">
      <c r="E54" s="68"/>
    </row>
    <row r="55" spans="5:5">
      <c r="E55" s="68"/>
    </row>
    <row r="56" spans="5:5">
      <c r="E56" s="68"/>
    </row>
    <row r="57" spans="5:5">
      <c r="E57" s="68"/>
    </row>
    <row r="58" spans="5:5">
      <c r="E58" s="68"/>
    </row>
  </sheetData>
  <mergeCells count="6">
    <mergeCell ref="B1:N1"/>
    <mergeCell ref="Q1:AC1"/>
    <mergeCell ref="AF1:AR1"/>
    <mergeCell ref="B2:B3"/>
    <mergeCell ref="Q2:Q3"/>
    <mergeCell ref="AF2:AF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0E299-EAF4-C149-AD0E-DFC4F01B4A68}">
  <sheetPr codeName="Sheet7"/>
  <dimension ref="A1:G12"/>
  <sheetViews>
    <sheetView zoomScaleNormal="100" workbookViewId="0">
      <selection activeCell="AN8" sqref="AN8"/>
    </sheetView>
  </sheetViews>
  <sheetFormatPr defaultColWidth="11.25" defaultRowHeight="15.75"/>
  <cols>
    <col min="1" max="1" width="21.5" customWidth="1"/>
    <col min="2" max="2" width="1.75" customWidth="1"/>
    <col min="3" max="3" width="21.75" customWidth="1"/>
    <col min="4" max="4" width="1.75" customWidth="1"/>
    <col min="5" max="5" width="22.25" customWidth="1"/>
    <col min="7" max="7" width="18" bestFit="1" customWidth="1"/>
  </cols>
  <sheetData>
    <row r="1" spans="1:7" ht="28.15" customHeight="1" thickBot="1">
      <c r="C1" s="167" t="s">
        <v>192</v>
      </c>
      <c r="E1" s="167" t="s">
        <v>193</v>
      </c>
    </row>
    <row r="3" spans="1:7">
      <c r="A3" s="169" t="s">
        <v>194</v>
      </c>
      <c r="C3" s="165">
        <v>160000</v>
      </c>
      <c r="E3" s="165">
        <f>C3</f>
        <v>160000</v>
      </c>
    </row>
    <row r="5" spans="1:7">
      <c r="A5" s="169" t="s">
        <v>195</v>
      </c>
      <c r="C5" s="403">
        <f>'MM ICP'!AG105-'MM Conventional'!AG105</f>
        <v>-510567.40435352619</v>
      </c>
      <c r="E5" s="403">
        <f>AVERAGE(Simulation!BB7:BB1006)-AVERAGE(Simulation!AY7:AY1006)</f>
        <v>-489717.08870802447</v>
      </c>
    </row>
    <row r="7" spans="1:7">
      <c r="A7" s="169" t="s">
        <v>196</v>
      </c>
      <c r="C7" s="404">
        <f>'MM ICP'!AT105-'MM Conventional'!AT105</f>
        <v>1.8368734576922829</v>
      </c>
      <c r="E7" s="404">
        <f>AVERAGE(Simulation!AZ7:AZ1006)-AVERAGE(Simulation!AW7:AW1006)</f>
        <v>1.8361771133483682</v>
      </c>
    </row>
    <row r="8" spans="1:7" ht="16.5" thickBot="1"/>
    <row r="9" spans="1:7" ht="16.5" thickBot="1">
      <c r="A9" s="151" t="s">
        <v>197</v>
      </c>
      <c r="C9" s="405">
        <f>C5/C7</f>
        <v>-277954.58757129993</v>
      </c>
      <c r="E9" s="168">
        <f>E5/E7</f>
        <v>-266704.71227854426</v>
      </c>
      <c r="G9" s="577">
        <f>C9-E9</f>
        <v>-11249.875292755663</v>
      </c>
    </row>
    <row r="10" spans="1:7" ht="16.5" thickBot="1"/>
    <row r="11" spans="1:7">
      <c r="A11" s="363" t="s">
        <v>398</v>
      </c>
      <c r="C11" s="406">
        <f>(C3*'MM ICP'!AT105)-'MM ICP'!AG105</f>
        <v>976100.77844458329</v>
      </c>
      <c r="E11" s="406">
        <f>Simulation!BG5</f>
        <v>1026769.992453563</v>
      </c>
      <c r="G11">
        <f>C11/C12</f>
        <v>5.687118721565172</v>
      </c>
    </row>
    <row r="12" spans="1:7" ht="16.5" thickBot="1">
      <c r="A12" s="364" t="s">
        <v>399</v>
      </c>
      <c r="C12" s="407">
        <f>(C3*'MM Conventional'!AT105)-'MM Conventional'!AG105</f>
        <v>171633.62086029164</v>
      </c>
      <c r="E12" s="407">
        <f>Simulation!BF5</f>
        <v>243264.5656097946</v>
      </c>
      <c r="G12">
        <f>E11/E12</f>
        <v>4.220795535427631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DD08B-9392-D141-BF40-2976FBCFFD96}">
  <sheetPr codeName="Sheet5"/>
  <dimension ref="A1:AT127"/>
  <sheetViews>
    <sheetView zoomScaleNormal="100" workbookViewId="0">
      <pane xSplit="2" ySplit="3" topLeftCell="AC4" activePane="bottomRight" state="frozen"/>
      <selection activeCell="AN8" sqref="AN8"/>
      <selection pane="topRight" activeCell="AN8" sqref="AN8"/>
      <selection pane="bottomLeft" activeCell="AN8" sqref="AN8"/>
      <selection pane="bottomRight" activeCell="AE2" sqref="AE2"/>
    </sheetView>
  </sheetViews>
  <sheetFormatPr defaultColWidth="11.25" defaultRowHeight="15.75"/>
  <cols>
    <col min="1" max="1" width="10.75" style="11"/>
    <col min="2" max="2" width="2" style="11" customWidth="1"/>
    <col min="3" max="5" width="10.75" style="11"/>
    <col min="6" max="6" width="2" style="11" customWidth="1"/>
    <col min="7" max="7" width="13" style="311" customWidth="1"/>
    <col min="8" max="8" width="12" style="310" customWidth="1"/>
    <col min="9" max="9" width="10.75" style="11" customWidth="1"/>
    <col min="10" max="10" width="2" style="11" customWidth="1"/>
    <col min="12" max="12" width="0" hidden="1" customWidth="1"/>
    <col min="13" max="13" width="10.25" customWidth="1"/>
    <col min="15" max="15" width="0" hidden="1" customWidth="1"/>
    <col min="16" max="16" width="10" customWidth="1"/>
    <col min="18" max="18" width="12.25" hidden="1" customWidth="1"/>
    <col min="19" max="19" width="10.25" customWidth="1"/>
    <col min="21" max="21" width="12.25" bestFit="1" customWidth="1"/>
    <col min="22" max="22" width="10.25" customWidth="1"/>
    <col min="23" max="23" width="15.25" bestFit="1" customWidth="1"/>
    <col min="24" max="24" width="12.75" customWidth="1"/>
    <col min="25" max="25" width="17.75" customWidth="1"/>
    <col min="27" max="27" width="2.25" customWidth="1"/>
    <col min="28" max="28" width="18.75" customWidth="1"/>
    <col min="29" max="29" width="15.25" customWidth="1"/>
    <col min="30" max="30" width="13.75" customWidth="1"/>
    <col min="32" max="32" width="14.25" customWidth="1"/>
    <col min="33" max="33" width="21.25" customWidth="1"/>
    <col min="34" max="34" width="2.5" customWidth="1"/>
  </cols>
  <sheetData>
    <row r="1" spans="1:46" ht="16.5" thickBot="1">
      <c r="C1" s="712" t="s">
        <v>157</v>
      </c>
      <c r="D1" s="713"/>
      <c r="E1" s="713"/>
      <c r="F1" s="732"/>
      <c r="G1" s="732"/>
      <c r="H1" s="732"/>
      <c r="I1" s="732"/>
      <c r="J1" s="732"/>
      <c r="K1" s="713"/>
      <c r="L1" s="713"/>
      <c r="M1" s="713"/>
      <c r="N1" s="713"/>
      <c r="O1" s="713"/>
      <c r="P1" s="713"/>
      <c r="Q1" s="713"/>
      <c r="R1" s="713"/>
      <c r="S1" s="713"/>
      <c r="T1" s="713"/>
      <c r="U1" s="713"/>
      <c r="V1" s="713"/>
      <c r="W1" s="713"/>
      <c r="X1" s="713"/>
      <c r="Y1" s="713"/>
      <c r="Z1" s="714"/>
      <c r="AB1" s="712" t="s">
        <v>158</v>
      </c>
      <c r="AC1" s="713"/>
      <c r="AD1" s="713"/>
      <c r="AE1" s="713"/>
      <c r="AF1" s="713"/>
      <c r="AG1" s="714"/>
      <c r="AI1" s="712" t="s">
        <v>159</v>
      </c>
      <c r="AJ1" s="713"/>
      <c r="AK1" s="713"/>
      <c r="AL1" s="713"/>
      <c r="AM1" s="713"/>
      <c r="AN1" s="713"/>
      <c r="AO1" s="713"/>
      <c r="AP1" s="713"/>
      <c r="AQ1" s="713"/>
      <c r="AR1" s="713"/>
      <c r="AS1" s="713"/>
      <c r="AT1" s="714"/>
    </row>
    <row r="2" spans="1:46" ht="16.5" thickBot="1">
      <c r="A2"/>
      <c r="B2"/>
      <c r="C2"/>
      <c r="D2"/>
      <c r="E2"/>
      <c r="F2"/>
      <c r="G2" s="33"/>
      <c r="H2" s="1"/>
      <c r="I2"/>
      <c r="J2"/>
      <c r="AC2" s="236" t="s">
        <v>430</v>
      </c>
      <c r="AD2" s="97">
        <v>107.82</v>
      </c>
      <c r="AE2" s="236" t="s">
        <v>429</v>
      </c>
      <c r="AF2" s="97">
        <v>97.93</v>
      </c>
      <c r="AG2" s="479">
        <v>82</v>
      </c>
    </row>
    <row r="3" spans="1:46" s="73" customFormat="1">
      <c r="A3" s="75" t="s">
        <v>160</v>
      </c>
      <c r="B3" s="74"/>
      <c r="C3" s="75" t="s">
        <v>161</v>
      </c>
      <c r="D3" s="81" t="s">
        <v>162</v>
      </c>
      <c r="E3" s="82" t="s">
        <v>163</v>
      </c>
      <c r="F3" s="74"/>
      <c r="G3" s="312" t="s">
        <v>341</v>
      </c>
      <c r="H3" s="313" t="s">
        <v>342</v>
      </c>
      <c r="I3" s="82" t="s">
        <v>343</v>
      </c>
      <c r="J3" s="74"/>
      <c r="K3" s="87" t="s">
        <v>2</v>
      </c>
      <c r="L3" s="81" t="s">
        <v>164</v>
      </c>
      <c r="M3" s="81" t="s">
        <v>165</v>
      </c>
      <c r="N3" s="81" t="s">
        <v>3</v>
      </c>
      <c r="O3" s="81" t="s">
        <v>166</v>
      </c>
      <c r="P3" s="81" t="s">
        <v>167</v>
      </c>
      <c r="Q3" s="81" t="s">
        <v>168</v>
      </c>
      <c r="R3" s="81" t="s">
        <v>169</v>
      </c>
      <c r="S3" s="81" t="s">
        <v>170</v>
      </c>
      <c r="T3" s="81" t="s">
        <v>171</v>
      </c>
      <c r="U3" s="81" t="s">
        <v>172</v>
      </c>
      <c r="V3" s="81" t="s">
        <v>173</v>
      </c>
      <c r="W3" s="81" t="s">
        <v>7</v>
      </c>
      <c r="X3" s="81" t="s">
        <v>174</v>
      </c>
      <c r="Y3" s="81" t="s">
        <v>175</v>
      </c>
      <c r="Z3" s="82" t="s">
        <v>176</v>
      </c>
      <c r="AB3" s="87" t="s">
        <v>2</v>
      </c>
      <c r="AC3" s="81" t="s">
        <v>3</v>
      </c>
      <c r="AD3" s="81">
        <v>4</v>
      </c>
      <c r="AE3" s="81">
        <v>5</v>
      </c>
      <c r="AF3" s="81" t="s">
        <v>7</v>
      </c>
      <c r="AG3" s="82" t="s">
        <v>177</v>
      </c>
      <c r="AI3" s="87" t="s">
        <v>178</v>
      </c>
      <c r="AJ3" s="81" t="s">
        <v>179</v>
      </c>
      <c r="AK3" s="81" t="s">
        <v>180</v>
      </c>
      <c r="AL3" s="81" t="s">
        <v>181</v>
      </c>
      <c r="AM3" s="81" t="s">
        <v>182</v>
      </c>
      <c r="AN3" s="81" t="s">
        <v>183</v>
      </c>
      <c r="AO3" s="81" t="s">
        <v>184</v>
      </c>
      <c r="AP3" s="81" t="s">
        <v>185</v>
      </c>
      <c r="AQ3" s="81" t="s">
        <v>186</v>
      </c>
      <c r="AR3" s="81" t="s">
        <v>187</v>
      </c>
      <c r="AS3" s="81" t="s">
        <v>188</v>
      </c>
      <c r="AT3" s="82" t="s">
        <v>189</v>
      </c>
    </row>
    <row r="4" spans="1:46" ht="16.5" thickBot="1">
      <c r="A4" s="80">
        <v>0</v>
      </c>
      <c r="C4" s="76">
        <f>'Parameters &amp; DSA'!E1</f>
        <v>42</v>
      </c>
      <c r="D4" s="98" t="str" cm="1">
        <f t="array" ref="D4">_xlfn.IFS(C4&lt;=4,"1-4",C4&lt;=9,"5-9",C4&lt;=14,"10-14",C4&lt;=19,"15-19",C4&lt;=24,"20-24",C4&lt;=29,"25-29",C4&lt;=34,"30-34",C4&lt;=39,"35-39",C4&lt;=44,"40-44",C4&lt;=49,"45-49",C4&lt;=54,"50-54",C4&lt;=54,"50-54",C4&lt;=59,"55-59",C4&lt;=64,"60-64",C4&lt;=69,"65-69",C4&lt;=74,"70-74",C4&lt;=79,"75-79",C4&lt;=84,"80-84",C4&gt;84,"85+")</f>
        <v>40-44</v>
      </c>
      <c r="E4" s="83">
        <f>IF(D4="85+",1,VLOOKUP(D4,'Life table 2014'!$AF$3:$AR$21,7,FALSE))</f>
        <v>3.7717617092161149E-3</v>
      </c>
      <c r="F4" s="72"/>
      <c r="G4" s="316">
        <f>A4*365</f>
        <v>0</v>
      </c>
      <c r="H4" s="27">
        <f>'Parameters &amp; DSA'!$B$119*G4^'Parameters &amp; DSA'!$B$120</f>
        <v>0</v>
      </c>
      <c r="I4" s="314">
        <v>0</v>
      </c>
      <c r="J4" s="72"/>
      <c r="K4" s="144">
        <v>1</v>
      </c>
      <c r="L4" s="141">
        <v>0</v>
      </c>
      <c r="M4" s="141">
        <v>0</v>
      </c>
      <c r="N4" s="27">
        <v>0</v>
      </c>
      <c r="O4" s="27">
        <v>0</v>
      </c>
      <c r="P4" s="27">
        <v>0</v>
      </c>
      <c r="Q4" s="27">
        <v>0</v>
      </c>
      <c r="R4" s="27">
        <v>0</v>
      </c>
      <c r="S4" s="27">
        <v>0</v>
      </c>
      <c r="T4" s="27">
        <v>0</v>
      </c>
      <c r="U4" s="27">
        <v>0</v>
      </c>
      <c r="V4" s="27">
        <v>0</v>
      </c>
      <c r="W4" s="27">
        <v>0</v>
      </c>
      <c r="X4" s="27">
        <v>0</v>
      </c>
      <c r="Y4" s="142">
        <v>0</v>
      </c>
      <c r="Z4" s="89">
        <f t="shared" ref="Z4:Z35" si="0">SUM(K4:Y4)</f>
        <v>1</v>
      </c>
      <c r="AB4" s="92">
        <f>(IF('Parameters &amp; DSA'!$H$1=1,(('Parameters &amp; DSA'!$B$76+'Parameters &amp; DSA'!$B$84+'Parameters &amp; DSA'!$B$88+'Parameters &amp; DSA'!$B$92)*($K4))/(1+cDC)^$A4,(('Parameters &amp; DSA'!$B$76+'Parameters &amp; DSA'!$B$84)*($K4))))*($AD$2/$AF$2)</f>
        <v>7245.530423772082</v>
      </c>
      <c r="AC4" s="371">
        <f>(IF('Parameters &amp; DSA'!$H$1=1,(('Parameters &amp; DSA'!$B$76+'Parameters &amp; DSA'!$B$84+'Parameters &amp; DSA'!$B$88+'Parameters &amp; DSA'!$B$92)*($M4+$N4))/(1+cDC)^$A4,(('Parameters &amp; DSA'!$B$76+'Parameters &amp; DSA'!$B$84)*($M4+$N4))))*($AD$2/$AF$2)</f>
        <v>0</v>
      </c>
      <c r="AD4" s="371">
        <f>(IF('Parameters &amp; DSA'!$H$1=1,(('Parameters &amp; DSA'!$B$76+'Parameters &amp; DSA'!$B$84+'Parameters &amp; DSA'!$B$88+'Parameters &amp; DSA'!$B$92)*(P4+Q4))/(1+cDC)^$A4,(('Parameters &amp; DSA'!$B$76+'Parameters &amp; DSA'!$B$84)*(P4+Q4))))*($AD$2/$AF$2)</f>
        <v>0</v>
      </c>
      <c r="AE4" s="371">
        <f>(IF('Parameters &amp; DSA'!$H$1=1,(('Parameters &amp; DSA'!$B$76+'Parameters &amp; DSA'!$B$84+'Parameters &amp; DSA'!$B$88+'Parameters &amp; DSA'!$B$92)*(S4+T4))/(1+cDC)^$A4,(('Parameters &amp; DSA'!$B$76+'Parameters &amp; DSA'!$B$84)*(S4+T4))))*($AD$2/$AF$2)</f>
        <v>0</v>
      </c>
      <c r="AF4" s="371">
        <v>0</v>
      </c>
      <c r="AG4" s="93">
        <f>(SUM(AB4:AF4))</f>
        <v>7245.530423772082</v>
      </c>
      <c r="AI4" s="88">
        <f t="shared" ref="AI4:AI35" si="1">K4/((1+cDO)^$A4)</f>
        <v>1</v>
      </c>
      <c r="AJ4" s="27">
        <f t="shared" ref="AJ4:AJ35" si="2">AI4*u3aCT</f>
        <v>0.91693029999999998</v>
      </c>
      <c r="AK4" s="27">
        <f t="shared" ref="AK4:AK35" si="3">(M4+N4)/((1+cDO)^$A4)</f>
        <v>0</v>
      </c>
      <c r="AL4" s="27">
        <f t="shared" ref="AL4:AL35" si="4">AK4*u3bCT</f>
        <v>0</v>
      </c>
      <c r="AM4" s="27">
        <f t="shared" ref="AM4:AM35" si="5">(P4+Q4)/((1+cDO)^$A4)</f>
        <v>0</v>
      </c>
      <c r="AN4" s="27">
        <f t="shared" ref="AN4:AN35" si="6">AM4*u4CT</f>
        <v>0</v>
      </c>
      <c r="AO4" s="27">
        <f t="shared" ref="AO4:AO35" si="7">(S4+T4)/((1+cDO)^$A4)</f>
        <v>0</v>
      </c>
      <c r="AP4" s="27">
        <f t="shared" ref="AP4:AP35" si="8">AO4*u5CT</f>
        <v>0</v>
      </c>
      <c r="AQ4" s="27">
        <f t="shared" ref="AQ4:AQ35" si="9">(V4+W4)/((1+cDO)^$A4)</f>
        <v>0</v>
      </c>
      <c r="AR4" s="27">
        <f t="shared" ref="AR4:AR35" si="10">AQ4*uDialysisCT</f>
        <v>0</v>
      </c>
      <c r="AS4" s="27">
        <f>AI4+AK4+AM4+AO4+AQ4</f>
        <v>1</v>
      </c>
      <c r="AT4" s="89">
        <f>SUM(AJ4+AL4+AN4+AP4+AR4)</f>
        <v>0.91693029999999998</v>
      </c>
    </row>
    <row r="5" spans="1:46">
      <c r="A5" s="80">
        <v>1</v>
      </c>
      <c r="C5" s="10">
        <f>$C$4+A5</f>
        <v>43</v>
      </c>
      <c r="D5" s="98" t="str" cm="1">
        <f t="array" ref="D5">_xlfn.IFS(C5&lt;=4,"1-4",C5&lt;=9,"5-9",C5&lt;=14,"10-14",C5&lt;=19,"15-19",C5&lt;=24,"20-24",C5&lt;=29,"25-29",C5&lt;=34,"30-34",C5&lt;=39,"35-39",C5&lt;=44,"40-44",C5&lt;=49,"45-49",C5&lt;=54,"50-54",C5&lt;=54,"50-54",C5&lt;=59,"55-59",C5&lt;=64,"60-64",C5&lt;=69,"65-69",C5&lt;=74,"70-74",C5&lt;=79,"75-79",C5&lt;=84,"80-84",C5&gt;84,"85+")</f>
        <v>40-44</v>
      </c>
      <c r="E5" s="83">
        <f>IF(D5="85+",1,VLOOKUP(D5,'Life table 2014'!$AF$3:$AR$21,7,FALSE))</f>
        <v>3.7717617092161149E-3</v>
      </c>
      <c r="F5" s="72"/>
      <c r="G5" s="316">
        <f t="shared" ref="G5:G68" si="11">A5*365</f>
        <v>365</v>
      </c>
      <c r="H5" s="27">
        <f>'Parameters &amp; DSA'!$B$119*G5^'Parameters &amp; DSA'!$B$120</f>
        <v>3.4159941547256913E-2</v>
      </c>
      <c r="I5" s="314">
        <f>1-EXP(H4-H5)</f>
        <v>3.3583077942061501E-2</v>
      </c>
      <c r="J5" s="72"/>
      <c r="K5" s="140">
        <f t="shared" ref="K5:K36" si="12">(K4*(1-E5))*p3a_3a</f>
        <v>0.91959529688380059</v>
      </c>
      <c r="L5" s="141">
        <f t="shared" ref="L5:L36" si="13">(K4*(1-E5))*p3a_Death</f>
        <v>0</v>
      </c>
      <c r="M5" s="141">
        <f t="shared" ref="M5:M36" si="14">(K4*(1-E5))*p3a_3b</f>
        <v>7.6632941406983374E-2</v>
      </c>
      <c r="N5" s="27">
        <f t="shared" ref="N5:N36" si="15">(SUM(M4:N4)*(1-E5))*p3b_3b</f>
        <v>0</v>
      </c>
      <c r="O5" s="27">
        <f t="shared" ref="O5:O36" si="16">(SUM(M4:N4)*(1-E5))*p3b_Death</f>
        <v>0</v>
      </c>
      <c r="P5" s="27">
        <f t="shared" ref="P5:P36" si="17">(SUM(M4:N4)*(1-E5))*p3b_4</f>
        <v>0</v>
      </c>
      <c r="Q5" s="27">
        <f t="shared" ref="Q5:Q36" si="18">(SUM(P4:Q4)*(1-E5))*p4_4</f>
        <v>0</v>
      </c>
      <c r="R5" s="27">
        <f t="shared" ref="R5:R36" si="19">(SUM(P4:Q4)*(1-E5))*p4_Death</f>
        <v>0</v>
      </c>
      <c r="S5" s="27">
        <f t="shared" ref="S5:S36" si="20">(SUM(P4:Q4)*(1-E5))*p4_5</f>
        <v>0</v>
      </c>
      <c r="T5" s="27">
        <f t="shared" ref="T5:T36" si="21">(SUM(S4:T4)*(1-E5))*p5_5</f>
        <v>0</v>
      </c>
      <c r="U5" s="27">
        <f>(SUM(S4:T4)*(1-E5))*p5_Death</f>
        <v>0</v>
      </c>
      <c r="V5" s="27">
        <f>(SUM(S4:T4)*(1-E5))*p5_Dialysis</f>
        <v>0</v>
      </c>
      <c r="W5" s="27">
        <f>(SUM(V4:W4)*(1-E5))*(1-I5)</f>
        <v>0</v>
      </c>
      <c r="X5" s="27">
        <f>(SUM(V4:W4)*(1-E5))*I5</f>
        <v>0</v>
      </c>
      <c r="Y5" s="142">
        <f>(SUM(K4:K4,M4:N4,P4:Q4,S4:T4,V4:W4)*E5)+SUM(L4,O4,R4,U4,X4)+Y4</f>
        <v>3.7717617092161149E-3</v>
      </c>
      <c r="Z5" s="89">
        <f t="shared" si="0"/>
        <v>1</v>
      </c>
      <c r="AB5" s="92">
        <f>(IF('Parameters &amp; DSA'!$H$1=1,(('Parameters &amp; DSA'!$B$76+'Parameters &amp; DSA'!$B$84+'Parameters &amp; DSA'!$B$88+'Parameters &amp; DSA'!$B$92)*($K5))/(1+cDC)^$A5,(('Parameters &amp; DSA'!$B$76+'Parameters &amp; DSA'!$B$84)*($K5))))*($AD$2/$AF$2)</f>
        <v>6468.8890302226182</v>
      </c>
      <c r="AC5" s="371">
        <f>(IF('Parameters &amp; DSA'!$H$1=1,(('Parameters &amp; DSA'!$B$76+'Parameters &amp; DSA'!$B$84+'Parameters &amp; DSA'!$B$88+'Parameters &amp; DSA'!$B$92)*($M5+$N5))/(1+cDC)^$A5,(('Parameters &amp; DSA'!$B$76+'Parameters &amp; DSA'!$B$84)*($M5+$N5))))*($AD$2/$AF$2)</f>
        <v>539.07408585188477</v>
      </c>
      <c r="AD5" s="371">
        <f>(IF('Parameters &amp; DSA'!$H$1=1,(('Parameters &amp; DSA'!$B$76+'Parameters &amp; DSA'!$B$84+'Parameters &amp; DSA'!$B$88+'Parameters &amp; DSA'!$B$92)*(P5+Q5))/(1+cDC)^$A5,(('Parameters &amp; DSA'!$B$76+'Parameters &amp; DSA'!$B$84)*(P5+Q5))))*($AD$2/$AF$2)</f>
        <v>0</v>
      </c>
      <c r="AE5" s="371">
        <f>(IF('Parameters &amp; DSA'!$H$1=1,(('Parameters &amp; DSA'!$B$76+'Parameters &amp; DSA'!$B$84+'Parameters &amp; DSA'!$B$88+'Parameters &amp; DSA'!$B$92)*(S5+T5))/(1+cDC)^$A5,(('Parameters &amp; DSA'!$B$76+'Parameters &amp; DSA'!$B$84)*(S5+T5))))*($AD$2/$AF$2)</f>
        <v>0</v>
      </c>
      <c r="AF5" s="371">
        <f>(IF('Parameters &amp; DSA'!$H$1=1,(((W5-W4)*cM_Dialysis0)+(W5*cM_Dialysis1))/(1+'Parameters &amp; DSA'!$B$6)^$A5,(((W5-W4)*cM_Dialysis0)+(W5*cM_Dialysis1))))*($AD$2/$AG$2)</f>
        <v>0</v>
      </c>
      <c r="AG5" s="93">
        <f t="shared" ref="AG5:AG68" si="22">(SUM(AB5:AF5))</f>
        <v>7007.963116074503</v>
      </c>
      <c r="AI5" s="88">
        <f>K5/((1+cDO)^$A5)</f>
        <v>0.89281096784835012</v>
      </c>
      <c r="AJ5" s="27">
        <f t="shared" si="2"/>
        <v>0.81864542859247802</v>
      </c>
      <c r="AK5" s="27">
        <f t="shared" si="3"/>
        <v>7.4400913987362496E-2</v>
      </c>
      <c r="AL5" s="27">
        <f t="shared" si="4"/>
        <v>6.8040394730765674E-2</v>
      </c>
      <c r="AM5" s="27">
        <f t="shared" si="5"/>
        <v>0</v>
      </c>
      <c r="AN5" s="27">
        <f t="shared" si="6"/>
        <v>0</v>
      </c>
      <c r="AO5" s="27">
        <f t="shared" si="7"/>
        <v>0</v>
      </c>
      <c r="AP5" s="27">
        <f t="shared" si="8"/>
        <v>0</v>
      </c>
      <c r="AQ5" s="27">
        <f t="shared" si="9"/>
        <v>0</v>
      </c>
      <c r="AR5" s="27">
        <f t="shared" si="10"/>
        <v>0</v>
      </c>
      <c r="AS5" s="27">
        <f t="shared" ref="AS5:AS68" si="23">AI5+AK5+AM5+AO5+AQ5</f>
        <v>0.96721188183571261</v>
      </c>
      <c r="AT5" s="89">
        <f t="shared" ref="AT5:AT68" si="24">SUM(AJ5+AL5+AN5+AP5+AR5)</f>
        <v>0.88668582332324375</v>
      </c>
    </row>
    <row r="6" spans="1:46">
      <c r="A6" s="80">
        <v>2</v>
      </c>
      <c r="C6" s="10">
        <f t="shared" ref="C6:C69" si="25">$C$4+A6</f>
        <v>44</v>
      </c>
      <c r="D6" s="98" t="str" cm="1">
        <f t="array" ref="D6">_xlfn.IFS(C6&lt;=4,"1-4",C6&lt;=9,"5-9",C6&lt;=14,"10-14",C6&lt;=19,"15-19",C6&lt;=24,"20-24",C6&lt;=29,"25-29",C6&lt;=34,"30-34",C6&lt;=39,"35-39",C6&lt;=44,"40-44",C6&lt;=49,"45-49",C6&lt;=54,"50-54",C6&lt;=54,"50-54",C6&lt;=59,"55-59",C6&lt;=64,"60-64",C6&lt;=69,"65-69",C6&lt;=74,"70-74",C6&lt;=79,"75-79",C6&lt;=84,"80-84",C6&gt;84,"85+")</f>
        <v>40-44</v>
      </c>
      <c r="E6" s="83">
        <f>IF(D6="85+",1,VLOOKUP(D6,'Life table 2014'!$AF$3:$AR$21,7,FALSE))</f>
        <v>3.7717617092161149E-3</v>
      </c>
      <c r="F6" s="72"/>
      <c r="G6" s="316">
        <f t="shared" si="11"/>
        <v>730</v>
      </c>
      <c r="H6" s="27">
        <f>'Parameters &amp; DSA'!$B$119*G6^'Parameters &amp; DSA'!$B$120</f>
        <v>7.195877583165064E-2</v>
      </c>
      <c r="I6" s="314">
        <f>1-EXP(H5-H6)</f>
        <v>3.7093374790453604E-2</v>
      </c>
      <c r="J6" s="72"/>
      <c r="K6" s="140">
        <f t="shared" si="12"/>
        <v>0.8456555100508053</v>
      </c>
      <c r="L6" s="141">
        <f t="shared" si="13"/>
        <v>0</v>
      </c>
      <c r="M6" s="141">
        <f t="shared" si="14"/>
        <v>7.0471292504233785E-2</v>
      </c>
      <c r="N6" s="27">
        <f t="shared" si="15"/>
        <v>5.1804789430195654E-2</v>
      </c>
      <c r="O6" s="27">
        <f t="shared" si="16"/>
        <v>0</v>
      </c>
      <c r="P6" s="27">
        <f t="shared" si="17"/>
        <v>2.4539110782724253E-2</v>
      </c>
      <c r="Q6" s="27">
        <f t="shared" si="18"/>
        <v>0</v>
      </c>
      <c r="R6" s="27">
        <f t="shared" si="19"/>
        <v>0</v>
      </c>
      <c r="S6" s="27">
        <f t="shared" si="20"/>
        <v>0</v>
      </c>
      <c r="T6" s="27">
        <f t="shared" si="21"/>
        <v>0</v>
      </c>
      <c r="U6" s="27">
        <f t="shared" ref="U6:U36" si="26">(SUM(S5:T5)*(1-E6))*p5_Death</f>
        <v>0</v>
      </c>
      <c r="V6" s="27">
        <f t="shared" ref="V6:V36" si="27">(SUM(S5:T5)*(1-E6))*p5_Dialysis</f>
        <v>0</v>
      </c>
      <c r="W6" s="27">
        <f t="shared" ref="W6:W69" si="28">(SUM(V5:W5)*(1-E6))*(1-I6)</f>
        <v>0</v>
      </c>
      <c r="X6" s="27">
        <f t="shared" ref="X6:X69" si="29">(SUM(V5:W5)*(1-E6))*I6</f>
        <v>0</v>
      </c>
      <c r="Y6" s="142">
        <f t="shared" ref="Y6:Y36" si="30">(SUM(K5:K5,M5:N5,P5:Q5,S5:T5,V5:W5)*E6)+SUM(L5,O5,R5,U5,X5)+Y5</f>
        <v>7.5292972320411215E-3</v>
      </c>
      <c r="Z6" s="89">
        <f t="shared" si="0"/>
        <v>1.0000000000000002</v>
      </c>
      <c r="AB6" s="92">
        <f>(IF('Parameters &amp; DSA'!$H$1=1,(('Parameters &amp; DSA'!$B$76+'Parameters &amp; DSA'!$B$84+'Parameters &amp; DSA'!$B$88+'Parameters &amp; DSA'!$B$92)*($K6))/(1+cDC)^$A6,(('Parameters &amp; DSA'!$B$76+'Parameters &amp; DSA'!$B$84)*($K6))))*($AD$2/$AF$2)</f>
        <v>5775.4950759766307</v>
      </c>
      <c r="AC6" s="371">
        <f>(IF('Parameters &amp; DSA'!$H$1=1,(('Parameters &amp; DSA'!$B$76+'Parameters &amp; DSA'!$B$84+'Parameters &amp; DSA'!$B$88+'Parameters &amp; DSA'!$B$92)*($M6+$N6))/(1+cDC)^$A6,(('Parameters &amp; DSA'!$B$76+'Parameters &amp; DSA'!$B$84)*($M6+$N6))))*($AD$2/$AF$2)</f>
        <v>835.09762631308922</v>
      </c>
      <c r="AD6" s="371">
        <f>(IF('Parameters &amp; DSA'!$H$1=1,(('Parameters &amp; DSA'!$B$76+'Parameters &amp; DSA'!$B$84+'Parameters &amp; DSA'!$B$88+'Parameters &amp; DSA'!$B$92)*(P6+Q6))/(1+cDC)^$A6,(('Parameters &amp; DSA'!$B$76+'Parameters &amp; DSA'!$B$84)*(P6+Q6))))*($AD$2/$AF$2)</f>
        <v>167.59249104396469</v>
      </c>
      <c r="AE6" s="371">
        <f>(IF('Parameters &amp; DSA'!$H$1=1,(('Parameters &amp; DSA'!$B$76+'Parameters &amp; DSA'!$B$84+'Parameters &amp; DSA'!$B$88+'Parameters &amp; DSA'!$B$92)*(S6+T6))/(1+cDC)^$A6,(('Parameters &amp; DSA'!$B$76+'Parameters &amp; DSA'!$B$84)*(S6+T6))))*($AD$2/$AF$2)</f>
        <v>0</v>
      </c>
      <c r="AF6" s="371">
        <f>(IF('Parameters &amp; DSA'!$H$1=1,(((W6-W5)*cM_Dialysis0)+(W6*cM_Dialysis1))/(1+'Parameters &amp; DSA'!$B$6)^$A6,(((W6-W5)*cM_Dialysis0)+(W6*cM_Dialysis1))))*($AD$2/$AG$2)</f>
        <v>0</v>
      </c>
      <c r="AG6" s="93">
        <f t="shared" si="22"/>
        <v>6778.1851933336839</v>
      </c>
      <c r="AI6" s="88">
        <f t="shared" si="1"/>
        <v>0.79711142431030757</v>
      </c>
      <c r="AJ6" s="27">
        <f t="shared" si="2"/>
        <v>0.73089561742627762</v>
      </c>
      <c r="AK6" s="27">
        <f t="shared" si="3"/>
        <v>0.11525693461629695</v>
      </c>
      <c r="AL6" s="27">
        <f t="shared" si="4"/>
        <v>0.10540364232733665</v>
      </c>
      <c r="AM6" s="27">
        <f t="shared" si="5"/>
        <v>2.3130465437575881E-2</v>
      </c>
      <c r="AN6" s="27">
        <f t="shared" si="6"/>
        <v>2.1013023987837696E-2</v>
      </c>
      <c r="AO6" s="27">
        <f t="shared" si="7"/>
        <v>0</v>
      </c>
      <c r="AP6" s="27">
        <f t="shared" si="8"/>
        <v>0</v>
      </c>
      <c r="AQ6" s="27">
        <f t="shared" si="9"/>
        <v>0</v>
      </c>
      <c r="AR6" s="27">
        <f t="shared" si="10"/>
        <v>0</v>
      </c>
      <c r="AS6" s="27">
        <f t="shared" si="23"/>
        <v>0.93549882436418041</v>
      </c>
      <c r="AT6" s="89">
        <f t="shared" si="24"/>
        <v>0.85731228374145196</v>
      </c>
    </row>
    <row r="7" spans="1:46">
      <c r="A7" s="80">
        <v>3</v>
      </c>
      <c r="C7" s="10">
        <f t="shared" si="25"/>
        <v>45</v>
      </c>
      <c r="D7" s="98" t="str" cm="1">
        <f t="array" ref="D7">_xlfn.IFS(C7&lt;=4,"1-4",C7&lt;=9,"5-9",C7&lt;=14,"10-14",C7&lt;=19,"15-19",C7&lt;=24,"20-24",C7&lt;=29,"25-29",C7&lt;=34,"30-34",C7&lt;=39,"35-39",C7&lt;=44,"40-44",C7&lt;=49,"45-49",C7&lt;=54,"50-54",C7&lt;=54,"50-54",C7&lt;=59,"55-59",C7&lt;=64,"60-64",C7&lt;=69,"65-69",C7&lt;=74,"70-74",C7&lt;=79,"75-79",C7&lt;=84,"80-84",C7&gt;84,"85+")</f>
        <v>45-49</v>
      </c>
      <c r="E7" s="83">
        <f>IF(D7="85+",1,VLOOKUP(D7,'Life table 2014'!$AF$3:$AR$21,7,FALSE))</f>
        <v>5.0261626657528424E-3</v>
      </c>
      <c r="F7" s="72"/>
      <c r="G7" s="316">
        <f t="shared" si="11"/>
        <v>1095</v>
      </c>
      <c r="H7" s="27">
        <f>'Parameters &amp; DSA'!$B$119*G7^'Parameters &amp; DSA'!$B$120</f>
        <v>0.11126488459734324</v>
      </c>
      <c r="I7" s="314">
        <f>1-EXP(H6-H7)</f>
        <v>3.8543646121451669E-2</v>
      </c>
      <c r="J7" s="72"/>
      <c r="K7" s="140">
        <f t="shared" si="12"/>
        <v>0.77668163805978441</v>
      </c>
      <c r="L7" s="141">
        <f t="shared" si="13"/>
        <v>0</v>
      </c>
      <c r="M7" s="141">
        <f t="shared" si="14"/>
        <v>6.4723469838315367E-2</v>
      </c>
      <c r="N7" s="27">
        <f t="shared" si="15"/>
        <v>8.2556019524050908E-2</v>
      </c>
      <c r="O7" s="27">
        <f t="shared" si="16"/>
        <v>0</v>
      </c>
      <c r="P7" s="27">
        <f t="shared" si="17"/>
        <v>3.910548293244516E-2</v>
      </c>
      <c r="Q7" s="27">
        <f t="shared" si="18"/>
        <v>6.1039433050643355E-3</v>
      </c>
      <c r="R7" s="27">
        <f t="shared" si="19"/>
        <v>0</v>
      </c>
      <c r="S7" s="27">
        <f t="shared" si="20"/>
        <v>1.8311829915193017E-2</v>
      </c>
      <c r="T7" s="27">
        <f t="shared" si="21"/>
        <v>0</v>
      </c>
      <c r="U7" s="27">
        <f t="shared" si="26"/>
        <v>0</v>
      </c>
      <c r="V7" s="27">
        <f t="shared" si="27"/>
        <v>0</v>
      </c>
      <c r="W7" s="27">
        <f t="shared" si="28"/>
        <v>0</v>
      </c>
      <c r="X7" s="27">
        <f t="shared" si="29"/>
        <v>0</v>
      </c>
      <c r="Y7" s="142">
        <f t="shared" si="30"/>
        <v>1.2517616425146923E-2</v>
      </c>
      <c r="Z7" s="89">
        <f t="shared" si="0"/>
        <v>1</v>
      </c>
      <c r="AB7" s="92">
        <f>(IF('Parameters &amp; DSA'!$H$1=1,(('Parameters &amp; DSA'!$B$76+'Parameters &amp; DSA'!$B$84+'Parameters &amp; DSA'!$B$88+'Parameters &amp; DSA'!$B$92)*($K7))/(1+cDC)^$A7,(('Parameters &amp; DSA'!$B$76+'Parameters &amp; DSA'!$B$84)*($K7))))*($AD$2/$AF$2)</f>
        <v>5149.9326347269762</v>
      </c>
      <c r="AC7" s="371">
        <f>(IF('Parameters &amp; DSA'!$H$1=1,(('Parameters &amp; DSA'!$B$76+'Parameters &amp; DSA'!$B$84+'Parameters &amp; DSA'!$B$88+'Parameters &amp; DSA'!$B$92)*($M7+$N7))/(1+cDC)^$A7,(('Parameters &amp; DSA'!$B$76+'Parameters &amp; DSA'!$B$84)*($M7+$N7))))*($AD$2/$AF$2)</f>
        <v>976.56415643856303</v>
      </c>
      <c r="AD7" s="371">
        <f>(IF('Parameters &amp; DSA'!$H$1=1,(('Parameters &amp; DSA'!$B$76+'Parameters &amp; DSA'!$B$84+'Parameters &amp; DSA'!$B$88+'Parameters &amp; DSA'!$B$92)*(P7+Q7))/(1+cDC)^$A7,(('Parameters &amp; DSA'!$B$76+'Parameters &amp; DSA'!$B$84)*(P7+Q7))))*($AD$2/$AF$2)</f>
        <v>299.76954284570155</v>
      </c>
      <c r="AE7" s="371">
        <f>(IF('Parameters &amp; DSA'!$H$1=1,(('Parameters &amp; DSA'!$B$76+'Parameters &amp; DSA'!$B$84+'Parameters &amp; DSA'!$B$88+'Parameters &amp; DSA'!$B$92)*(S7+T7))/(1+cDC)^$A7,(('Parameters &amp; DSA'!$B$76+'Parameters &amp; DSA'!$B$84)*(S7+T7))))*($AD$2/$AF$2)</f>
        <v>121.42000771049928</v>
      </c>
      <c r="AF7" s="371">
        <f>(IF('Parameters &amp; DSA'!$H$1=1,(((W7-W6)*cM_Dialysis0)+(W7*cM_Dialysis1))/(1+'Parameters &amp; DSA'!$B$6)^$A7,(((W7-W6)*cM_Dialysis0)+(W7*cM_Dialysis1))))*($AD$2/$AG$2)</f>
        <v>0</v>
      </c>
      <c r="AG7" s="93">
        <f t="shared" si="22"/>
        <v>6547.686341721741</v>
      </c>
      <c r="AI7" s="88">
        <f t="shared" si="1"/>
        <v>0.71077372304316122</v>
      </c>
      <c r="AJ7" s="27">
        <f t="shared" si="2"/>
        <v>0.65172996310208275</v>
      </c>
      <c r="AK7" s="27">
        <f t="shared" si="3"/>
        <v>0.13478159628376191</v>
      </c>
      <c r="AL7" s="27">
        <f t="shared" si="4"/>
        <v>0.12325914457378237</v>
      </c>
      <c r="AM7" s="27">
        <f t="shared" si="5"/>
        <v>4.1373029345398708E-2</v>
      </c>
      <c r="AN7" s="27">
        <f t="shared" si="6"/>
        <v>3.7585601570821137E-2</v>
      </c>
      <c r="AO7" s="27">
        <f t="shared" si="7"/>
        <v>1.6757918414382563E-2</v>
      </c>
      <c r="AP7" s="27">
        <f t="shared" si="8"/>
        <v>1.4512685802056221E-2</v>
      </c>
      <c r="AQ7" s="27">
        <f t="shared" si="9"/>
        <v>0</v>
      </c>
      <c r="AR7" s="27">
        <f t="shared" si="10"/>
        <v>0</v>
      </c>
      <c r="AS7" s="27">
        <f t="shared" si="23"/>
        <v>0.90368626708670441</v>
      </c>
      <c r="AT7" s="89">
        <f t="shared" si="24"/>
        <v>0.82708739504874251</v>
      </c>
    </row>
    <row r="8" spans="1:46">
      <c r="A8" s="80">
        <v>4</v>
      </c>
      <c r="C8" s="10">
        <f t="shared" si="25"/>
        <v>46</v>
      </c>
      <c r="D8" s="98" t="str" cm="1">
        <f t="array" ref="D8">_xlfn.IFS(C8&lt;=4,"1-4",C8&lt;=9,"5-9",C8&lt;=14,"10-14",C8&lt;=19,"15-19",C8&lt;=24,"20-24",C8&lt;=29,"25-29",C8&lt;=34,"30-34",C8&lt;=39,"35-39",C8&lt;=44,"40-44",C8&lt;=49,"45-49",C8&lt;=54,"50-54",C8&lt;=54,"50-54",C8&lt;=59,"55-59",C8&lt;=64,"60-64",C8&lt;=69,"65-69",C8&lt;=74,"70-74",C8&lt;=79,"75-79",C8&lt;=84,"80-84",C8&gt;84,"85+")</f>
        <v>45-49</v>
      </c>
      <c r="E8" s="83">
        <f>IF(D8="85+",1,VLOOKUP(D8,'Life table 2014'!$AF$3:$AR$21,7,FALSE))</f>
        <v>5.0261626657528424E-3</v>
      </c>
      <c r="F8" s="72"/>
      <c r="G8" s="316">
        <f t="shared" si="11"/>
        <v>1460</v>
      </c>
      <c r="H8" s="27">
        <f>'Parameters &amp; DSA'!$B$119*G8^'Parameters &amp; DSA'!$B$120</f>
        <v>0.15158297071516957</v>
      </c>
      <c r="I8" s="314">
        <f t="shared" ref="I8:I69" si="31">1-EXP(H7-H8)</f>
        <v>3.9516126029827681E-2</v>
      </c>
      <c r="J8" s="72"/>
      <c r="K8" s="140">
        <f t="shared" si="12"/>
        <v>0.71333345520682401</v>
      </c>
      <c r="L8" s="141">
        <f t="shared" si="13"/>
        <v>0</v>
      </c>
      <c r="M8" s="141">
        <f t="shared" si="14"/>
        <v>5.9444454600568665E-2</v>
      </c>
      <c r="N8" s="27">
        <f t="shared" si="15"/>
        <v>9.9437340540662084E-2</v>
      </c>
      <c r="O8" s="27">
        <f t="shared" si="16"/>
        <v>0</v>
      </c>
      <c r="P8" s="27">
        <f t="shared" si="17"/>
        <v>4.7101898150839927E-2</v>
      </c>
      <c r="Q8" s="27">
        <f t="shared" si="18"/>
        <v>1.1245549076803599E-2</v>
      </c>
      <c r="R8" s="27">
        <f t="shared" si="19"/>
        <v>0</v>
      </c>
      <c r="S8" s="27">
        <f t="shared" si="20"/>
        <v>3.3736647230410817E-2</v>
      </c>
      <c r="T8" s="27">
        <f t="shared" si="21"/>
        <v>2.277473959916457E-3</v>
      </c>
      <c r="U8" s="27">
        <f t="shared" si="26"/>
        <v>6.8324218797493706E-3</v>
      </c>
      <c r="V8" s="27">
        <f t="shared" si="27"/>
        <v>9.109895839665828E-3</v>
      </c>
      <c r="W8" s="27">
        <f t="shared" si="28"/>
        <v>0</v>
      </c>
      <c r="X8" s="27">
        <f t="shared" si="29"/>
        <v>0</v>
      </c>
      <c r="Y8" s="142">
        <f t="shared" si="30"/>
        <v>1.7480863514559478E-2</v>
      </c>
      <c r="Z8" s="89">
        <f t="shared" si="0"/>
        <v>1.0000000000000004</v>
      </c>
      <c r="AB8" s="92">
        <f>(IF('Parameters &amp; DSA'!$H$1=1,(('Parameters &amp; DSA'!$B$76+'Parameters &amp; DSA'!$B$84+'Parameters &amp; DSA'!$B$88+'Parameters &amp; DSA'!$B$92)*($K8))/(1+cDC)^$A8,(('Parameters &amp; DSA'!$B$76+'Parameters &amp; DSA'!$B$84)*($K8))))*($AD$2/$AF$2)</f>
        <v>4592.1268728189716</v>
      </c>
      <c r="AC8" s="371">
        <f>(IF('Parameters &amp; DSA'!$H$1=1,(('Parameters &amp; DSA'!$B$76+'Parameters &amp; DSA'!$B$84+'Parameters &amp; DSA'!$B$88+'Parameters &amp; DSA'!$B$92)*($M8+$N8))/(1+cDC)^$A8,(('Parameters &amp; DSA'!$B$76+'Parameters &amp; DSA'!$B$84)*($M8+$N8))))*($AD$2/$AF$2)</f>
        <v>1022.8110790881419</v>
      </c>
      <c r="AD8" s="371">
        <f>(IF('Parameters &amp; DSA'!$H$1=1,(('Parameters &amp; DSA'!$B$76+'Parameters &amp; DSA'!$B$84+'Parameters &amp; DSA'!$B$88+'Parameters &amp; DSA'!$B$92)*(P8+Q8))/(1+cDC)^$A8,(('Parameters &amp; DSA'!$B$76+'Parameters &amp; DSA'!$B$84)*(P8+Q8))))*($AD$2/$AF$2)</f>
        <v>375.6151886872633</v>
      </c>
      <c r="AE8" s="371">
        <f>(IF('Parameters &amp; DSA'!$H$1=1,(('Parameters &amp; DSA'!$B$76+'Parameters &amp; DSA'!$B$84+'Parameters &amp; DSA'!$B$88+'Parameters &amp; DSA'!$B$92)*(S8+T8))/(1+cDC)^$A8,(('Parameters &amp; DSA'!$B$76+'Parameters &amp; DSA'!$B$84)*(S8+T8))))*($AD$2/$AF$2)</f>
        <v>231.84306373393122</v>
      </c>
      <c r="AF8" s="371">
        <f>(IF('Parameters &amp; DSA'!$H$1=1,(((W8-W7)*cM_Dialysis0)+(W8*cM_Dialysis1))/(1+'Parameters &amp; DSA'!$B$6)^$A8,(((W8-W7)*cM_Dialysis0)+(W8*cM_Dialysis1))))*($AD$2/$AG$2)</f>
        <v>0</v>
      </c>
      <c r="AG8" s="93">
        <f t="shared" si="22"/>
        <v>6222.3962043283082</v>
      </c>
      <c r="AI8" s="88">
        <f t="shared" si="1"/>
        <v>0.63378753579620939</v>
      </c>
      <c r="AJ8" s="27">
        <f t="shared" si="2"/>
        <v>0.58113899533387903</v>
      </c>
      <c r="AK8" s="27">
        <f t="shared" si="3"/>
        <v>0.14116441713257735</v>
      </c>
      <c r="AL8" s="27">
        <f t="shared" si="4"/>
        <v>0.12909629934479674</v>
      </c>
      <c r="AM8" s="27">
        <f t="shared" si="5"/>
        <v>5.1840951140705444E-2</v>
      </c>
      <c r="AN8" s="27">
        <f t="shared" si="6"/>
        <v>4.7095254214051384E-2</v>
      </c>
      <c r="AO8" s="27">
        <f t="shared" si="7"/>
        <v>3.1998080219671737E-2</v>
      </c>
      <c r="AP8" s="27">
        <f t="shared" si="8"/>
        <v>2.771096463260803E-2</v>
      </c>
      <c r="AQ8" s="27">
        <f t="shared" si="9"/>
        <v>8.0940244614041076E-3</v>
      </c>
      <c r="AR8" s="27">
        <f t="shared" si="10"/>
        <v>5.6658171229828748E-3</v>
      </c>
      <c r="AS8" s="27">
        <f t="shared" si="23"/>
        <v>0.86688500875056795</v>
      </c>
      <c r="AT8" s="89">
        <f t="shared" si="24"/>
        <v>0.790707330648318</v>
      </c>
    </row>
    <row r="9" spans="1:46">
      <c r="A9" s="80">
        <v>5</v>
      </c>
      <c r="C9" s="10">
        <f t="shared" si="25"/>
        <v>47</v>
      </c>
      <c r="D9" s="98" t="str" cm="1">
        <f t="array" ref="D9">_xlfn.IFS(C9&lt;=4,"1-4",C9&lt;=9,"5-9",C9&lt;=14,"10-14",C9&lt;=19,"15-19",C9&lt;=24,"20-24",C9&lt;=29,"25-29",C9&lt;=34,"30-34",C9&lt;=39,"35-39",C9&lt;=44,"40-44",C9&lt;=49,"45-49",C9&lt;=54,"50-54",C9&lt;=54,"50-54",C9&lt;=59,"55-59",C9&lt;=64,"60-64",C9&lt;=69,"65-69",C9&lt;=74,"70-74",C9&lt;=79,"75-79",C9&lt;=84,"80-84",C9&gt;84,"85+")</f>
        <v>45-49</v>
      </c>
      <c r="E9" s="83">
        <f>IF(D9="85+",1,VLOOKUP(D9,'Life table 2014'!$AF$3:$AR$21,7,FALSE))</f>
        <v>5.0261626657528424E-3</v>
      </c>
      <c r="F9" s="72"/>
      <c r="G9" s="316">
        <f t="shared" si="11"/>
        <v>1825</v>
      </c>
      <c r="H9" s="27">
        <f>'Parameters &amp; DSA'!$B$119*G9^'Parameters &amp; DSA'!$B$120</f>
        <v>0.19267067040485283</v>
      </c>
      <c r="I9" s="314">
        <f t="shared" si="31"/>
        <v>4.0255043078018415E-2</v>
      </c>
      <c r="J9" s="72"/>
      <c r="K9" s="140">
        <f t="shared" si="12"/>
        <v>0.65515211559325948</v>
      </c>
      <c r="L9" s="141">
        <f t="shared" si="13"/>
        <v>0</v>
      </c>
      <c r="M9" s="141">
        <f t="shared" si="14"/>
        <v>5.4596009632771621E-2</v>
      </c>
      <c r="N9" s="27">
        <f t="shared" si="15"/>
        <v>0.10727076280322349</v>
      </c>
      <c r="O9" s="27">
        <f t="shared" si="16"/>
        <v>0</v>
      </c>
      <c r="P9" s="27">
        <f t="shared" si="17"/>
        <v>5.0812466591000596E-2</v>
      </c>
      <c r="Q9" s="27">
        <f t="shared" si="18"/>
        <v>1.4513545866686482E-2</v>
      </c>
      <c r="R9" s="27">
        <f t="shared" si="19"/>
        <v>0</v>
      </c>
      <c r="S9" s="27">
        <f t="shared" si="20"/>
        <v>4.3540637600059474E-2</v>
      </c>
      <c r="T9" s="27">
        <f t="shared" si="21"/>
        <v>4.4791385448700689E-3</v>
      </c>
      <c r="U9" s="27">
        <f t="shared" si="26"/>
        <v>1.3437415634610206E-2</v>
      </c>
      <c r="V9" s="27">
        <f t="shared" si="27"/>
        <v>1.7916554179480276E-2</v>
      </c>
      <c r="W9" s="27">
        <f>(SUM(V8:W8)*(1-E9))*(1-I9)</f>
        <v>8.6992319624460534E-3</v>
      </c>
      <c r="X9" s="27">
        <f t="shared" si="29"/>
        <v>3.6487605886154984E-4</v>
      </c>
      <c r="Y9" s="142">
        <f t="shared" si="30"/>
        <v>2.9217245532731022E-2</v>
      </c>
      <c r="Z9" s="89">
        <f t="shared" si="0"/>
        <v>1.0000000000000002</v>
      </c>
      <c r="AB9" s="92">
        <f>(IF('Parameters &amp; DSA'!$H$1=1,(('Parameters &amp; DSA'!$B$76+'Parameters &amp; DSA'!$B$84+'Parameters &amp; DSA'!$B$88+'Parameters &amp; DSA'!$B$92)*($K9))/(1+cDC)^$A9,(('Parameters &amp; DSA'!$B$76+'Parameters &amp; DSA'!$B$84)*($K9))))*($AD$2/$AF$2)</f>
        <v>4094.7388464595169</v>
      </c>
      <c r="AC9" s="371">
        <f>(IF('Parameters &amp; DSA'!$H$1=1,(('Parameters &amp; DSA'!$B$76+'Parameters &amp; DSA'!$B$84+'Parameters &amp; DSA'!$B$88+'Parameters &amp; DSA'!$B$92)*($M9+$N9))/(1+cDC)^$A9,(('Parameters &amp; DSA'!$B$76+'Parameters &amp; DSA'!$B$84)*($M9+$N9))))*($AD$2/$AF$2)</f>
        <v>1011.6767469254144</v>
      </c>
      <c r="AD9" s="371">
        <f>(IF('Parameters &amp; DSA'!$H$1=1,(('Parameters &amp; DSA'!$B$76+'Parameters &amp; DSA'!$B$84+'Parameters &amp; DSA'!$B$88+'Parameters &amp; DSA'!$B$92)*(P9+Q9))/(1+cDC)^$A9,(('Parameters &amp; DSA'!$B$76+'Parameters &amp; DSA'!$B$84)*(P9+Q9))))*($AD$2/$AF$2)</f>
        <v>408.29137925101082</v>
      </c>
      <c r="AE9" s="371">
        <f>(IF('Parameters &amp; DSA'!$H$1=1,(('Parameters &amp; DSA'!$B$76+'Parameters &amp; DSA'!$B$84+'Parameters &amp; DSA'!$B$88+'Parameters &amp; DSA'!$B$92)*(S9+T9))/(1+cDC)^$A9,(('Parameters &amp; DSA'!$B$76+'Parameters &amp; DSA'!$B$84)*(S9+T9))))*($AD$2/$AF$2)</f>
        <v>300.12639522789323</v>
      </c>
      <c r="AF9" s="371">
        <f>(IF('Parameters &amp; DSA'!$H$1=1,(((W9-W8)*cM_Dialysis0)+(W9*cM_Dialysis1))/(1+'Parameters &amp; DSA'!$B$6)^$A9,(((W9-W8)*cM_Dialysis0)+(W9*cM_Dialysis1))))*($AD$2/$AG$2)</f>
        <v>9889.897108029696</v>
      </c>
      <c r="AG9" s="93">
        <f t="shared" si="22"/>
        <v>15704.730475893532</v>
      </c>
      <c r="AI9" s="88">
        <f t="shared" si="1"/>
        <v>0.56513997001861493</v>
      </c>
      <c r="AJ9" s="27">
        <f t="shared" si="2"/>
        <v>0.51819396225115955</v>
      </c>
      <c r="AK9" s="27">
        <f t="shared" si="3"/>
        <v>0.13962769980320186</v>
      </c>
      <c r="AL9" s="27">
        <f t="shared" si="4"/>
        <v>0.12769095567256611</v>
      </c>
      <c r="AM9" s="27">
        <f t="shared" si="5"/>
        <v>5.6350792194790202E-2</v>
      </c>
      <c r="AN9" s="27">
        <f t="shared" si="6"/>
        <v>5.1192249084585639E-2</v>
      </c>
      <c r="AO9" s="27">
        <f t="shared" si="7"/>
        <v>4.1422280726777352E-2</v>
      </c>
      <c r="AP9" s="27">
        <f t="shared" si="8"/>
        <v>3.5872506986091429E-2</v>
      </c>
      <c r="AQ9" s="27">
        <f t="shared" si="9"/>
        <v>2.2959010929315949E-2</v>
      </c>
      <c r="AR9" s="27">
        <f t="shared" si="10"/>
        <v>1.6071307650521165E-2</v>
      </c>
      <c r="AS9" s="27">
        <f t="shared" si="23"/>
        <v>0.82549975367270034</v>
      </c>
      <c r="AT9" s="89">
        <f t="shared" si="24"/>
        <v>0.74902098164492381</v>
      </c>
    </row>
    <row r="10" spans="1:46">
      <c r="A10" s="80">
        <v>6</v>
      </c>
      <c r="C10" s="10">
        <f t="shared" si="25"/>
        <v>48</v>
      </c>
      <c r="D10" s="98" t="str" cm="1">
        <f t="array" ref="D10">_xlfn.IFS(C10&lt;=4,"1-4",C10&lt;=9,"5-9",C10&lt;=14,"10-14",C10&lt;=19,"15-19",C10&lt;=24,"20-24",C10&lt;=29,"25-29",C10&lt;=34,"30-34",C10&lt;=39,"35-39",C10&lt;=44,"40-44",C10&lt;=49,"45-49",C10&lt;=54,"50-54",C10&lt;=54,"50-54",C10&lt;=59,"55-59",C10&lt;=64,"60-64",C10&lt;=69,"65-69",C10&lt;=74,"70-74",C10&lt;=79,"75-79",C10&lt;=84,"80-84",C10&gt;84,"85+")</f>
        <v>45-49</v>
      </c>
      <c r="E10" s="83">
        <f>IF(D10="85+",1,VLOOKUP(D10,'Life table 2014'!$AF$3:$AR$21,7,FALSE))</f>
        <v>5.0261626657528424E-3</v>
      </c>
      <c r="F10" s="72"/>
      <c r="G10" s="316">
        <f t="shared" si="11"/>
        <v>2190</v>
      </c>
      <c r="H10" s="27">
        <f>'Parameters &amp; DSA'!$B$119*G10^'Parameters &amp; DSA'!$B$120</f>
        <v>0.23438227719443036</v>
      </c>
      <c r="I10" s="314">
        <f t="shared" si="31"/>
        <v>4.0853648014377075E-2</v>
      </c>
      <c r="J10" s="72"/>
      <c r="K10" s="140">
        <f t="shared" si="12"/>
        <v>0.6017161979902852</v>
      </c>
      <c r="L10" s="141">
        <f t="shared" si="13"/>
        <v>0</v>
      </c>
      <c r="M10" s="141">
        <f t="shared" si="14"/>
        <v>5.0143016499190431E-2</v>
      </c>
      <c r="N10" s="27">
        <f t="shared" si="15"/>
        <v>0.10928610251583847</v>
      </c>
      <c r="O10" s="27">
        <f t="shared" si="16"/>
        <v>0</v>
      </c>
      <c r="P10" s="27">
        <f t="shared" si="17"/>
        <v>5.1767101191712947E-2</v>
      </c>
      <c r="Q10" s="27">
        <f t="shared" si="18"/>
        <v>1.6249418323192429E-2</v>
      </c>
      <c r="R10" s="27">
        <f t="shared" si="19"/>
        <v>0</v>
      </c>
      <c r="S10" s="27">
        <f t="shared" si="20"/>
        <v>4.8748254969577319E-2</v>
      </c>
      <c r="T10" s="27">
        <f t="shared" si="21"/>
        <v>5.972302617356511E-3</v>
      </c>
      <c r="U10" s="27">
        <f t="shared" si="26"/>
        <v>1.7916907852069532E-2</v>
      </c>
      <c r="V10" s="27">
        <f t="shared" si="27"/>
        <v>2.3889210469426044E-2</v>
      </c>
      <c r="W10" s="27">
        <f t="shared" si="28"/>
        <v>2.5400124120451114E-2</v>
      </c>
      <c r="X10" s="27">
        <f t="shared" si="29"/>
        <v>1.0818867508490021E-3</v>
      </c>
      <c r="Y10" s="142">
        <f t="shared" si="30"/>
        <v>4.7829476700051318E-2</v>
      </c>
      <c r="Z10" s="89">
        <f t="shared" si="0"/>
        <v>1.0000000000000002</v>
      </c>
      <c r="AB10" s="92">
        <f>(IF('Parameters &amp; DSA'!$H$1=1,(('Parameters &amp; DSA'!$B$76+'Parameters &amp; DSA'!$B$84+'Parameters &amp; DSA'!$B$88+'Parameters &amp; DSA'!$B$92)*($K10))/(1+cDC)^$A10,(('Parameters &amp; DSA'!$B$76+'Parameters &amp; DSA'!$B$84)*($K10))))*($AD$2/$AF$2)</f>
        <v>3651.22451645416</v>
      </c>
      <c r="AC10" s="371">
        <f>(IF('Parameters &amp; DSA'!$H$1=1,(('Parameters &amp; DSA'!$B$76+'Parameters &amp; DSA'!$B$84+'Parameters &amp; DSA'!$B$88+'Parameters &amp; DSA'!$B$92)*($M10+$N10))/(1+cDC)^$A10,(('Parameters &amp; DSA'!$B$76+'Parameters &amp; DSA'!$B$84)*($M10+$N10))))*($AD$2/$AF$2)</f>
        <v>967.41870989778442</v>
      </c>
      <c r="AD10" s="371">
        <f>(IF('Parameters &amp; DSA'!$H$1=1,(('Parameters &amp; DSA'!$B$76+'Parameters &amp; DSA'!$B$84+'Parameters &amp; DSA'!$B$88+'Parameters &amp; DSA'!$B$92)*(P10+Q10))/(1+cDC)^$A10,(('Parameters &amp; DSA'!$B$76+'Parameters &amp; DSA'!$B$84)*(P10+Q10))))*($AD$2/$AF$2)</f>
        <v>412.72544167194724</v>
      </c>
      <c r="AE10" s="371">
        <f>(IF('Parameters &amp; DSA'!$H$1=1,(('Parameters &amp; DSA'!$B$76+'Parameters &amp; DSA'!$B$84+'Parameters &amp; DSA'!$B$88+'Parameters &amp; DSA'!$B$92)*(S10+T10))/(1+cDC)^$A10,(('Parameters &amp; DSA'!$B$76+'Parameters &amp; DSA'!$B$84)*(S10+T10))))*($AD$2/$AF$2)</f>
        <v>332.04530986995337</v>
      </c>
      <c r="AF10" s="371">
        <f>(IF('Parameters &amp; DSA'!$H$1=1,(((W10-W9)*cM_Dialysis0)+(W10*cM_Dialysis1))/(1+'Parameters &amp; DSA'!$B$6)^$A10,(((W10-W9)*cM_Dialysis0)+(W10*cM_Dialysis1))))*($AD$2/$AG$2)</f>
        <v>23071.803041738298</v>
      </c>
      <c r="AG10" s="93">
        <f t="shared" si="22"/>
        <v>28435.217019632142</v>
      </c>
      <c r="AI10" s="88">
        <f t="shared" si="1"/>
        <v>0.50392784280840863</v>
      </c>
      <c r="AJ10" s="27">
        <f t="shared" si="2"/>
        <v>0.46206670808466693</v>
      </c>
      <c r="AK10" s="27">
        <f t="shared" si="3"/>
        <v>0.13351937723203136</v>
      </c>
      <c r="AL10" s="27">
        <f t="shared" si="4"/>
        <v>0.12210483237634046</v>
      </c>
      <c r="AM10" s="27">
        <f t="shared" si="5"/>
        <v>5.6962764288149809E-2</v>
      </c>
      <c r="AN10" s="27">
        <f t="shared" si="6"/>
        <v>5.1748199171813995E-2</v>
      </c>
      <c r="AO10" s="27">
        <f t="shared" si="7"/>
        <v>4.5827605496008388E-2</v>
      </c>
      <c r="AP10" s="27">
        <f t="shared" si="8"/>
        <v>3.9687604580610984E-2</v>
      </c>
      <c r="AQ10" s="27">
        <f t="shared" si="9"/>
        <v>4.1279041741435207E-2</v>
      </c>
      <c r="AR10" s="27">
        <f t="shared" si="10"/>
        <v>2.8895329219004642E-2</v>
      </c>
      <c r="AS10" s="27">
        <f t="shared" si="23"/>
        <v>0.78151663156603335</v>
      </c>
      <c r="AT10" s="89">
        <f t="shared" si="24"/>
        <v>0.70450267343243689</v>
      </c>
    </row>
    <row r="11" spans="1:46">
      <c r="A11" s="80">
        <v>7</v>
      </c>
      <c r="C11" s="10">
        <f t="shared" si="25"/>
        <v>49</v>
      </c>
      <c r="D11" s="98" t="str" cm="1">
        <f t="array" ref="D11">_xlfn.IFS(C11&lt;=4,"1-4",C11&lt;=9,"5-9",C11&lt;=14,"10-14",C11&lt;=19,"15-19",C11&lt;=24,"20-24",C11&lt;=29,"25-29",C11&lt;=34,"30-34",C11&lt;=39,"35-39",C11&lt;=44,"40-44",C11&lt;=49,"45-49",C11&lt;=54,"50-54",C11&lt;=54,"50-54",C11&lt;=59,"55-59",C11&lt;=64,"60-64",C11&lt;=69,"65-69",C11&lt;=74,"70-74",C11&lt;=79,"75-79",C11&lt;=84,"80-84",C11&gt;84,"85+")</f>
        <v>45-49</v>
      </c>
      <c r="E11" s="83">
        <f>IF(D11="85+",1,VLOOKUP(D11,'Life table 2014'!$AF$3:$AR$21,7,FALSE))</f>
        <v>5.0261626657528424E-3</v>
      </c>
      <c r="F11" s="72"/>
      <c r="G11" s="316">
        <f t="shared" si="11"/>
        <v>2555</v>
      </c>
      <c r="H11" s="27">
        <f>'Parameters &amp; DSA'!$B$119*G11^'Parameters &amp; DSA'!$B$120</f>
        <v>0.27661997622190354</v>
      </c>
      <c r="I11" s="314">
        <f t="shared" si="31"/>
        <v>4.135811475550899E-2</v>
      </c>
      <c r="J11" s="72"/>
      <c r="K11" s="140">
        <f t="shared" si="12"/>
        <v>0.55263865338513951</v>
      </c>
      <c r="L11" s="141">
        <f t="shared" si="13"/>
        <v>0</v>
      </c>
      <c r="M11" s="141">
        <f t="shared" si="14"/>
        <v>4.605322111542829E-2</v>
      </c>
      <c r="N11" s="27">
        <f t="shared" si="15"/>
        <v>0.10764029443767259</v>
      </c>
      <c r="O11" s="27">
        <f t="shared" si="16"/>
        <v>0</v>
      </c>
      <c r="P11" s="27">
        <f t="shared" si="17"/>
        <v>5.0987507891529116E-2</v>
      </c>
      <c r="Q11" s="27">
        <f t="shared" si="18"/>
        <v>1.691866435596627E-2</v>
      </c>
      <c r="R11" s="27">
        <f t="shared" si="19"/>
        <v>0</v>
      </c>
      <c r="S11" s="27">
        <f t="shared" si="20"/>
        <v>5.0755993067898839E-2</v>
      </c>
      <c r="T11" s="27">
        <f t="shared" si="21"/>
        <v>6.8056903954176505E-3</v>
      </c>
      <c r="U11" s="27">
        <f t="shared" si="26"/>
        <v>2.0417071186252952E-2</v>
      </c>
      <c r="V11" s="27">
        <f t="shared" si="27"/>
        <v>2.7222761581670602E-2</v>
      </c>
      <c r="W11" s="27">
        <f t="shared" si="28"/>
        <v>4.7013330323091122E-2</v>
      </c>
      <c r="X11" s="27">
        <f t="shared" si="29"/>
        <v>2.0282680534505957E-3</v>
      </c>
      <c r="Y11" s="142">
        <f t="shared" si="30"/>
        <v>7.1518544206482904E-2</v>
      </c>
      <c r="Z11" s="89">
        <f t="shared" si="0"/>
        <v>1.0000000000000004</v>
      </c>
      <c r="AB11" s="92">
        <f>(IF('Parameters &amp; DSA'!$H$1=1,(('Parameters &amp; DSA'!$B$76+'Parameters &amp; DSA'!$B$84+'Parameters &amp; DSA'!$B$88+'Parameters &amp; DSA'!$B$92)*($K11))/(1+cDC)^$A11,(('Parameters &amp; DSA'!$B$76+'Parameters &amp; DSA'!$B$84)*($K11))))*($AD$2/$AF$2)</f>
        <v>3255.7486495342291</v>
      </c>
      <c r="AC11" s="371">
        <f>(IF('Parameters &amp; DSA'!$H$1=1,(('Parameters &amp; DSA'!$B$76+'Parameters &amp; DSA'!$B$84+'Parameters &amp; DSA'!$B$88+'Parameters &amp; DSA'!$B$92)*($M11+$N11))/(1+cDC)^$A11,(('Parameters &amp; DSA'!$B$76+'Parameters &amp; DSA'!$B$84)*($M11+$N11))))*($AD$2/$AF$2)</f>
        <v>905.45142407085848</v>
      </c>
      <c r="AD11" s="371">
        <f>(IF('Parameters &amp; DSA'!$H$1=1,(('Parameters &amp; DSA'!$B$76+'Parameters &amp; DSA'!$B$84+'Parameters &amp; DSA'!$B$88+'Parameters &amp; DSA'!$B$92)*(P11+Q11))/(1+cDC)^$A11,(('Parameters &amp; DSA'!$B$76+'Parameters &amp; DSA'!$B$84)*(P11+Q11))))*($AD$2/$AF$2)</f>
        <v>400.05422573246096</v>
      </c>
      <c r="AE11" s="371">
        <f>(IF('Parameters &amp; DSA'!$H$1=1,(('Parameters &amp; DSA'!$B$76+'Parameters &amp; DSA'!$B$84+'Parameters &amp; DSA'!$B$88+'Parameters &amp; DSA'!$B$92)*(S11+T11))/(1+cDC)^$A11,(('Parameters &amp; DSA'!$B$76+'Parameters &amp; DSA'!$B$84)*(S11+T11))))*($AD$2/$AF$2)</f>
        <v>339.11195326759747</v>
      </c>
      <c r="AF11" s="371">
        <f>(IF('Parameters &amp; DSA'!$H$1=1,(((W11-W10)*cM_Dialysis0)+(W11*cM_Dialysis1))/(1+'Parameters &amp; DSA'!$B$6)^$A11,(((W11-W10)*cM_Dialysis0)+(W11*cM_Dialysis1))))*($AD$2/$AG$2)</f>
        <v>36308.765562660403</v>
      </c>
      <c r="AG11" s="93">
        <f t="shared" si="22"/>
        <v>41209.131815265551</v>
      </c>
      <c r="AI11" s="88">
        <f t="shared" si="1"/>
        <v>0.44934579790767892</v>
      </c>
      <c r="AJ11" s="27">
        <f t="shared" si="2"/>
        <v>0.41201877727922742</v>
      </c>
      <c r="AK11" s="27">
        <f t="shared" si="3"/>
        <v>0.12496689284474403</v>
      </c>
      <c r="AL11" s="27">
        <f t="shared" si="4"/>
        <v>0.11428349816882544</v>
      </c>
      <c r="AM11" s="27">
        <f t="shared" si="5"/>
        <v>5.5213932222258129E-2</v>
      </c>
      <c r="AN11" s="27">
        <f t="shared" si="6"/>
        <v>5.0159461139263062E-2</v>
      </c>
      <c r="AO11" s="27">
        <f t="shared" si="7"/>
        <v>4.6802916202655739E-2</v>
      </c>
      <c r="AP11" s="27">
        <f t="shared" si="8"/>
        <v>4.0532242768657439E-2</v>
      </c>
      <c r="AQ11" s="27">
        <f t="shared" si="9"/>
        <v>6.0360736163066822E-2</v>
      </c>
      <c r="AR11" s="27">
        <f t="shared" si="10"/>
        <v>4.2252515314146775E-2</v>
      </c>
      <c r="AS11" s="27">
        <f t="shared" si="23"/>
        <v>0.73669027534040366</v>
      </c>
      <c r="AT11" s="89">
        <f t="shared" si="24"/>
        <v>0.65924649467012009</v>
      </c>
    </row>
    <row r="12" spans="1:46">
      <c r="A12" s="80">
        <v>8</v>
      </c>
      <c r="C12" s="10">
        <f t="shared" si="25"/>
        <v>50</v>
      </c>
      <c r="D12" s="98" t="str" cm="1">
        <f t="array" ref="D12">_xlfn.IFS(C12&lt;=4,"1-4",C12&lt;=9,"5-9",C12&lt;=14,"10-14",C12&lt;=19,"15-19",C12&lt;=24,"20-24",C12&lt;=29,"25-29",C12&lt;=34,"30-34",C12&lt;=39,"35-39",C12&lt;=44,"40-44",C12&lt;=49,"45-49",C12&lt;=54,"50-54",C12&lt;=54,"50-54",C12&lt;=59,"55-59",C12&lt;=64,"60-64",C12&lt;=69,"65-69",C12&lt;=74,"70-74",C12&lt;=79,"75-79",C12&lt;=84,"80-84",C12&gt;84,"85+")</f>
        <v>50-54</v>
      </c>
      <c r="E12" s="83">
        <f>IF(D12="85+",1,VLOOKUP(D12,'Life table 2014'!$AF$3:$AR$21,7,FALSE))</f>
        <v>6.8554961659266223E-3</v>
      </c>
      <c r="F12" s="72"/>
      <c r="G12" s="316">
        <f t="shared" si="11"/>
        <v>2920</v>
      </c>
      <c r="H12" s="27">
        <f>'Parameters &amp; DSA'!$B$119*G12^'Parameters &amp; DSA'!$B$120</f>
        <v>0.31931333941244572</v>
      </c>
      <c r="I12" s="314">
        <f t="shared" si="31"/>
        <v>4.1794834001620651E-2</v>
      </c>
      <c r="J12" s="72"/>
      <c r="K12" s="140">
        <f t="shared" si="12"/>
        <v>0.50663080727604448</v>
      </c>
      <c r="L12" s="141">
        <f t="shared" si="13"/>
        <v>0</v>
      </c>
      <c r="M12" s="141">
        <f t="shared" si="14"/>
        <v>4.2219233939670371E-2</v>
      </c>
      <c r="N12" s="27">
        <f t="shared" si="15"/>
        <v>0.10357705481012419</v>
      </c>
      <c r="O12" s="27">
        <f t="shared" si="16"/>
        <v>0</v>
      </c>
      <c r="P12" s="27">
        <f>(SUM(M11:N11)*(1-E12))*p3b_4</f>
        <v>4.9062815436374613E-2</v>
      </c>
      <c r="Q12" s="27">
        <f t="shared" si="18"/>
        <v>1.6860160436002476E-2</v>
      </c>
      <c r="R12" s="27">
        <f t="shared" si="19"/>
        <v>0</v>
      </c>
      <c r="S12" s="27">
        <f t="shared" si="20"/>
        <v>5.0580481308007456E-2</v>
      </c>
      <c r="T12" s="27">
        <f t="shared" si="21"/>
        <v>7.1458836953786804E-3</v>
      </c>
      <c r="U12" s="27">
        <f t="shared" si="26"/>
        <v>2.1437651086136041E-2</v>
      </c>
      <c r="V12" s="27">
        <f t="shared" si="27"/>
        <v>2.8583534781514722E-2</v>
      </c>
      <c r="W12" s="27">
        <f t="shared" si="28"/>
        <v>7.064575196931494E-2</v>
      </c>
      <c r="X12" s="27">
        <f t="shared" si="29"/>
        <v>3.0814146920203275E-3</v>
      </c>
      <c r="Y12" s="142">
        <f t="shared" si="30"/>
        <v>0.10017521056941217</v>
      </c>
      <c r="Z12" s="89">
        <f t="shared" si="0"/>
        <v>1.0000000000000004</v>
      </c>
      <c r="AB12" s="92">
        <f>(IF('Parameters &amp; DSA'!$H$1=1,(('Parameters &amp; DSA'!$B$76+'Parameters &amp; DSA'!$B$84+'Parameters &amp; DSA'!$B$88+'Parameters &amp; DSA'!$B$92)*($K12))/(1+cDC)^$A12,(('Parameters &amp; DSA'!$B$76+'Parameters &amp; DSA'!$B$84)*($K12))))*($AD$2/$AF$2)</f>
        <v>2897.7704649590382</v>
      </c>
      <c r="AC12" s="371">
        <f>(IF('Parameters &amp; DSA'!$H$1=1,(('Parameters &amp; DSA'!$B$76+'Parameters &amp; DSA'!$B$84+'Parameters &amp; DSA'!$B$88+'Parameters &amp; DSA'!$B$92)*($M12+$N12))/(1+cDC)^$A12,(('Parameters &amp; DSA'!$B$76+'Parameters &amp; DSA'!$B$84)*($M12+$N12))))*($AD$2/$AF$2)</f>
        <v>833.90937418773717</v>
      </c>
      <c r="AD12" s="371">
        <f>(IF('Parameters &amp; DSA'!$H$1=1,(('Parameters &amp; DSA'!$B$76+'Parameters &amp; DSA'!$B$84+'Parameters &amp; DSA'!$B$88+'Parameters &amp; DSA'!$B$92)*(P12+Q12))/(1+cDC)^$A12,(('Parameters &amp; DSA'!$B$76+'Parameters &amp; DSA'!$B$84)*(P12+Q12))))*($AD$2/$AF$2)</f>
        <v>377.0588951593237</v>
      </c>
      <c r="AE12" s="371">
        <f>(IF('Parameters &amp; DSA'!$H$1=1,(('Parameters &amp; DSA'!$B$76+'Parameters &amp; DSA'!$B$84+'Parameters &amp; DSA'!$B$88+'Parameters &amp; DSA'!$B$92)*(S12+T12))/(1+cDC)^$A12,(('Parameters &amp; DSA'!$B$76+'Parameters &amp; DSA'!$B$84)*(S12+T12))))*($AD$2/$AF$2)</f>
        <v>330.17683321636997</v>
      </c>
      <c r="AF12" s="371">
        <f>(IF('Parameters &amp; DSA'!$H$1=1,(((W12-W11)*cM_Dialysis0)+(W12*cM_Dialysis1))/(1+'Parameters &amp; DSA'!$B$6)^$A12,(((W12-W11)*cM_Dialysis0)+(W12*cM_Dialysis1))))*($AD$2/$AG$2)</f>
        <v>48213.796668511633</v>
      </c>
      <c r="AG12" s="93">
        <f t="shared" si="22"/>
        <v>52652.712236034102</v>
      </c>
      <c r="AI12" s="88">
        <f t="shared" si="1"/>
        <v>0.39993903765163341</v>
      </c>
      <c r="AJ12" s="27">
        <f t="shared" si="2"/>
        <v>0.36671622177562352</v>
      </c>
      <c r="AK12" s="27">
        <f t="shared" si="3"/>
        <v>0.1150929366677888</v>
      </c>
      <c r="AL12" s="27">
        <f t="shared" si="4"/>
        <v>0.10525366453064688</v>
      </c>
      <c r="AM12" s="27">
        <f t="shared" si="5"/>
        <v>5.2040205907109255E-2</v>
      </c>
      <c r="AN12" s="27">
        <f t="shared" si="6"/>
        <v>4.7276268521672389E-2</v>
      </c>
      <c r="AO12" s="27">
        <f t="shared" si="7"/>
        <v>4.5569725597049832E-2</v>
      </c>
      <c r="AP12" s="27">
        <f t="shared" si="8"/>
        <v>3.9464275533666854E-2</v>
      </c>
      <c r="AQ12" s="27">
        <f t="shared" si="9"/>
        <v>7.8332515275490414E-2</v>
      </c>
      <c r="AR12" s="27">
        <f t="shared" si="10"/>
        <v>5.4832760692843284E-2</v>
      </c>
      <c r="AS12" s="27">
        <f t="shared" si="23"/>
        <v>0.69097442109907181</v>
      </c>
      <c r="AT12" s="89">
        <f t="shared" si="24"/>
        <v>0.61354319105445287</v>
      </c>
    </row>
    <row r="13" spans="1:46">
      <c r="A13" s="80">
        <v>9</v>
      </c>
      <c r="C13" s="10">
        <f t="shared" si="25"/>
        <v>51</v>
      </c>
      <c r="D13" s="98" t="str" cm="1">
        <f t="array" ref="D13">_xlfn.IFS(C13&lt;=4,"1-4",C13&lt;=9,"5-9",C13&lt;=14,"10-14",C13&lt;=19,"15-19",C13&lt;=24,"20-24",C13&lt;=29,"25-29",C13&lt;=34,"30-34",C13&lt;=39,"35-39",C13&lt;=44,"40-44",C13&lt;=49,"45-49",C13&lt;=54,"50-54",C13&lt;=54,"50-54",C13&lt;=59,"55-59",C13&lt;=64,"60-64",C13&lt;=69,"65-69",C13&lt;=74,"70-74",C13&lt;=79,"75-79",C13&lt;=84,"80-84",C13&gt;84,"85+")</f>
        <v>50-54</v>
      </c>
      <c r="E13" s="83">
        <f>IF(D13="85+",1,VLOOKUP(D13,'Life table 2014'!$AF$3:$AR$21,7,FALSE))</f>
        <v>6.8554961659266223E-3</v>
      </c>
      <c r="F13" s="72"/>
      <c r="G13" s="316">
        <f t="shared" si="11"/>
        <v>3285</v>
      </c>
      <c r="H13" s="27">
        <f>'Parameters &amp; DSA'!$B$119*G13^'Parameters &amp; DSA'!$B$120</f>
        <v>0.36240912553476595</v>
      </c>
      <c r="I13" s="314">
        <f t="shared" si="31"/>
        <v>4.2180360156281016E-2</v>
      </c>
      <c r="J13" s="72"/>
      <c r="K13" s="140">
        <f t="shared" si="12"/>
        <v>0.46445317081774462</v>
      </c>
      <c r="L13" s="141">
        <f t="shared" si="13"/>
        <v>0</v>
      </c>
      <c r="M13" s="141">
        <f t="shared" si="14"/>
        <v>3.8704430901478716E-2</v>
      </c>
      <c r="N13" s="27">
        <f t="shared" si="15"/>
        <v>9.8254959791929164E-2</v>
      </c>
      <c r="O13" s="27">
        <f t="shared" si="16"/>
        <v>0</v>
      </c>
      <c r="P13" s="27">
        <f t="shared" si="17"/>
        <v>4.6541823059334859E-2</v>
      </c>
      <c r="Q13" s="27">
        <f t="shared" si="18"/>
        <v>1.6367760291009375E-2</v>
      </c>
      <c r="R13" s="27">
        <f t="shared" si="19"/>
        <v>0</v>
      </c>
      <c r="S13" s="27">
        <f t="shared" si="20"/>
        <v>4.9103280873028156E-2</v>
      </c>
      <c r="T13" s="27">
        <f t="shared" si="21"/>
        <v>7.1663277661790682E-3</v>
      </c>
      <c r="U13" s="27">
        <f t="shared" si="26"/>
        <v>2.1498983298537205E-2</v>
      </c>
      <c r="V13" s="27">
        <f t="shared" si="27"/>
        <v>2.8665311064716273E-2</v>
      </c>
      <c r="W13" s="27">
        <f t="shared" si="28"/>
        <v>9.4392187567426428E-2</v>
      </c>
      <c r="X13" s="27">
        <f t="shared" si="29"/>
        <v>4.1568331885352781E-3</v>
      </c>
      <c r="Y13" s="142">
        <f t="shared" si="30"/>
        <v>0.13069493138008142</v>
      </c>
      <c r="Z13" s="89">
        <f t="shared" si="0"/>
        <v>1.0000000000000007</v>
      </c>
      <c r="AB13" s="92">
        <f>(IF('Parameters &amp; DSA'!$H$1=1,(('Parameters &amp; DSA'!$B$76+'Parameters &amp; DSA'!$B$84+'Parameters &amp; DSA'!$B$88+'Parameters &amp; DSA'!$B$92)*($K13))/(1+cDC)^$A13,(('Parameters &amp; DSA'!$B$76+'Parameters &amp; DSA'!$B$84)*($K13))))*($AD$2/$AF$2)</f>
        <v>2579.152929631166</v>
      </c>
      <c r="AC13" s="371">
        <f>(IF('Parameters &amp; DSA'!$H$1=1,(('Parameters &amp; DSA'!$B$76+'Parameters &amp; DSA'!$B$84+'Parameters &amp; DSA'!$B$88+'Parameters &amp; DSA'!$B$92)*($M13+$N13))/(1+cDC)^$A13,(('Parameters &amp; DSA'!$B$76+'Parameters &amp; DSA'!$B$84)*($M13+$N13))))*($AD$2/$AF$2)</f>
        <v>760.54861058536403</v>
      </c>
      <c r="AD13" s="371">
        <f>(IF('Parameters &amp; DSA'!$H$1=1,(('Parameters &amp; DSA'!$B$76+'Parameters &amp; DSA'!$B$84+'Parameters &amp; DSA'!$B$88+'Parameters &amp; DSA'!$B$92)*(P13+Q13))/(1+cDC)^$A13,(('Parameters &amp; DSA'!$B$76+'Parameters &amp; DSA'!$B$84)*(P13+Q13))))*($AD$2/$AF$2)</f>
        <v>349.34294003040839</v>
      </c>
      <c r="AE13" s="371">
        <f>(IF('Parameters &amp; DSA'!$H$1=1,(('Parameters &amp; DSA'!$B$76+'Parameters &amp; DSA'!$B$84+'Parameters &amp; DSA'!$B$88+'Parameters &amp; DSA'!$B$92)*(S13+T13))/(1+cDC)^$A13,(('Parameters &amp; DSA'!$B$76+'Parameters &amp; DSA'!$B$84)*(S13+T13))))*($AD$2/$AF$2)</f>
        <v>312.47052467203406</v>
      </c>
      <c r="AF13" s="371">
        <f>(IF('Parameters &amp; DSA'!$H$1=1,(((W13-W12)*cM_Dialysis0)+(W13*cM_Dialysis1))/(1+'Parameters &amp; DSA'!$B$6)^$A13,(((W13-W12)*cM_Dialysis0)+(W13*cM_Dialysis1))))*($AD$2/$AG$2)</f>
        <v>58455.302014317756</v>
      </c>
      <c r="AG13" s="93">
        <f t="shared" si="22"/>
        <v>62456.817019236725</v>
      </c>
      <c r="AI13" s="88">
        <f t="shared" si="1"/>
        <v>0.35596468150477223</v>
      </c>
      <c r="AJ13" s="27">
        <f t="shared" si="2"/>
        <v>0.32639480220157524</v>
      </c>
      <c r="AK13" s="27">
        <f t="shared" si="3"/>
        <v>0.10496796867901581</v>
      </c>
      <c r="AL13" s="27">
        <f t="shared" si="4"/>
        <v>9.5994278030240493E-2</v>
      </c>
      <c r="AM13" s="27">
        <f t="shared" si="5"/>
        <v>4.8214957304469862E-2</v>
      </c>
      <c r="AN13" s="27">
        <f t="shared" si="6"/>
        <v>4.3801196181963854E-2</v>
      </c>
      <c r="AO13" s="27">
        <f t="shared" si="7"/>
        <v>4.3125969583515923E-2</v>
      </c>
      <c r="AP13" s="27">
        <f t="shared" si="8"/>
        <v>3.7347934928328629E-2</v>
      </c>
      <c r="AQ13" s="27">
        <f t="shared" si="9"/>
        <v>9.4313325992027144E-2</v>
      </c>
      <c r="AR13" s="27">
        <f t="shared" si="10"/>
        <v>6.6019328194418997E-2</v>
      </c>
      <c r="AS13" s="27">
        <f t="shared" si="23"/>
        <v>0.64658690306380096</v>
      </c>
      <c r="AT13" s="89">
        <f t="shared" si="24"/>
        <v>0.56955753953652732</v>
      </c>
    </row>
    <row r="14" spans="1:46">
      <c r="A14" s="80">
        <v>10</v>
      </c>
      <c r="C14" s="10">
        <f t="shared" si="25"/>
        <v>52</v>
      </c>
      <c r="D14" s="98" t="str" cm="1">
        <f t="array" ref="D14">_xlfn.IFS(C14&lt;=4,"1-4",C14&lt;=9,"5-9",C14&lt;=14,"10-14",C14&lt;=19,"15-19",C14&lt;=24,"20-24",C14&lt;=29,"25-29",C14&lt;=34,"30-34",C14&lt;=39,"35-39",C14&lt;=44,"40-44",C14&lt;=49,"45-49",C14&lt;=54,"50-54",C14&lt;=54,"50-54",C14&lt;=59,"55-59",C14&lt;=64,"60-64",C14&lt;=69,"65-69",C14&lt;=74,"70-74",C14&lt;=79,"75-79",C14&lt;=84,"80-84",C14&gt;84,"85+")</f>
        <v>50-54</v>
      </c>
      <c r="E14" s="83">
        <f>IF(D14="85+",1,VLOOKUP(D14,'Life table 2014'!$AF$3:$AR$21,7,FALSE))</f>
        <v>6.8554961659266223E-3</v>
      </c>
      <c r="F14" s="72"/>
      <c r="G14" s="316">
        <f t="shared" si="11"/>
        <v>3650</v>
      </c>
      <c r="H14" s="27">
        <f>'Parameters &amp; DSA'!$B$119*G14^'Parameters &amp; DSA'!$B$120</f>
        <v>0.4058656119717502</v>
      </c>
      <c r="I14" s="314">
        <f t="shared" si="31"/>
        <v>4.2525783700828268E-2</v>
      </c>
      <c r="J14" s="72"/>
      <c r="K14" s="140">
        <f t="shared" si="12"/>
        <v>0.42578687435626256</v>
      </c>
      <c r="L14" s="141">
        <f t="shared" si="13"/>
        <v>0</v>
      </c>
      <c r="M14" s="141">
        <f t="shared" si="14"/>
        <v>3.5482239529688549E-2</v>
      </c>
      <c r="N14" s="27">
        <f t="shared" si="15"/>
        <v>9.2299602007028927E-2</v>
      </c>
      <c r="O14" s="27">
        <f t="shared" si="16"/>
        <v>0</v>
      </c>
      <c r="P14" s="27">
        <f t="shared" si="17"/>
        <v>4.3720864108592647E-2</v>
      </c>
      <c r="Q14" s="27">
        <f t="shared" si="18"/>
        <v>1.5619576735721469E-2</v>
      </c>
      <c r="R14" s="27">
        <f t="shared" si="19"/>
        <v>0</v>
      </c>
      <c r="S14" s="27">
        <f t="shared" si="20"/>
        <v>4.6858730207164433E-2</v>
      </c>
      <c r="T14" s="27">
        <f t="shared" si="21"/>
        <v>6.9854815691153685E-3</v>
      </c>
      <c r="U14" s="27">
        <f t="shared" si="26"/>
        <v>2.0956444707346106E-2</v>
      </c>
      <c r="V14" s="27">
        <f t="shared" si="27"/>
        <v>2.7941926276461474E-2</v>
      </c>
      <c r="W14" s="27">
        <f t="shared" si="28"/>
        <v>0.11701663746306476</v>
      </c>
      <c r="X14" s="27">
        <f t="shared" si="29"/>
        <v>5.1972409590167615E-3</v>
      </c>
      <c r="Y14" s="142">
        <f t="shared" si="30"/>
        <v>0.16213438208053749</v>
      </c>
      <c r="Z14" s="89">
        <f t="shared" si="0"/>
        <v>1.0000000000000007</v>
      </c>
      <c r="AB14" s="92">
        <f>(IF('Parameters &amp; DSA'!$H$1=1,(('Parameters &amp; DSA'!$B$76+'Parameters &amp; DSA'!$B$84+'Parameters &amp; DSA'!$B$88+'Parameters &amp; DSA'!$B$92)*($K14))/(1+cDC)^$A14,(('Parameters &amp; DSA'!$B$76+'Parameters &amp; DSA'!$B$84)*($K14))))*($AD$2/$AF$2)</f>
        <v>2295.5682359468929</v>
      </c>
      <c r="AC14" s="371">
        <f>(IF('Parameters &amp; DSA'!$H$1=1,(('Parameters &amp; DSA'!$B$76+'Parameters &amp; DSA'!$B$84+'Parameters &amp; DSA'!$B$88+'Parameters &amp; DSA'!$B$92)*($M14+$N14))/(1+cDC)^$A14,(('Parameters &amp; DSA'!$B$76+'Parameters &amp; DSA'!$B$84)*($M14+$N14))))*($AD$2/$AF$2)</f>
        <v>688.91728286826549</v>
      </c>
      <c r="AD14" s="371">
        <f>(IF('Parameters &amp; DSA'!$H$1=1,(('Parameters &amp; DSA'!$B$76+'Parameters &amp; DSA'!$B$84+'Parameters &amp; DSA'!$B$88+'Parameters &amp; DSA'!$B$92)*(P14+Q14))/(1+cDC)^$A14,(('Parameters &amp; DSA'!$B$76+'Parameters &amp; DSA'!$B$84)*(P14+Q14))))*($AD$2/$AF$2)</f>
        <v>319.92538829488598</v>
      </c>
      <c r="AE14" s="371">
        <f>(IF('Parameters &amp; DSA'!$H$1=1,(('Parameters &amp; DSA'!$B$76+'Parameters &amp; DSA'!$B$84+'Parameters &amp; DSA'!$B$88+'Parameters &amp; DSA'!$B$92)*(S14+T14))/(1+cDC)^$A14,(('Parameters &amp; DSA'!$B$76+'Parameters &amp; DSA'!$B$84)*(S14+T14))))*($AD$2/$AF$2)</f>
        <v>290.29326568626192</v>
      </c>
      <c r="AF14" s="371">
        <f>(IF('Parameters &amp; DSA'!$H$1=1,(((W14-W13)*cM_Dialysis0)+(W14*cM_Dialysis1))/(1+'Parameters &amp; DSA'!$B$6)^$A14,(((W14-W13)*cM_Dialysis0)+(W14*cM_Dialysis1))))*($AD$2/$AG$2)</f>
        <v>66901.209272295557</v>
      </c>
      <c r="AG14" s="93">
        <f t="shared" si="22"/>
        <v>70495.913445091865</v>
      </c>
      <c r="AI14" s="88">
        <f t="shared" si="1"/>
        <v>0.31682542225139143</v>
      </c>
      <c r="AJ14" s="27">
        <f t="shared" si="2"/>
        <v>0.29050682947259499</v>
      </c>
      <c r="AK14" s="27">
        <f t="shared" si="3"/>
        <v>9.5081690721769085E-2</v>
      </c>
      <c r="AL14" s="27">
        <f t="shared" si="4"/>
        <v>8.6953175998303198E-2</v>
      </c>
      <c r="AM14" s="27">
        <f t="shared" si="5"/>
        <v>4.4154860939543218E-2</v>
      </c>
      <c r="AN14" s="27">
        <f t="shared" si="6"/>
        <v>4.0112774842610235E-2</v>
      </c>
      <c r="AO14" s="27">
        <f t="shared" si="7"/>
        <v>4.0065150335140388E-2</v>
      </c>
      <c r="AP14" s="27">
        <f t="shared" si="8"/>
        <v>3.4697205467178145E-2</v>
      </c>
      <c r="AQ14" s="27">
        <f t="shared" si="9"/>
        <v>0.10786278519075054</v>
      </c>
      <c r="AR14" s="27">
        <f t="shared" si="10"/>
        <v>7.5503949633525372E-2</v>
      </c>
      <c r="AS14" s="27">
        <f t="shared" si="23"/>
        <v>0.60398990943859476</v>
      </c>
      <c r="AT14" s="89">
        <f t="shared" si="24"/>
        <v>0.52777393541421191</v>
      </c>
    </row>
    <row r="15" spans="1:46">
      <c r="A15" s="80">
        <v>11</v>
      </c>
      <c r="C15" s="10">
        <f t="shared" si="25"/>
        <v>53</v>
      </c>
      <c r="D15" s="98" t="str" cm="1">
        <f t="array" ref="D15">_xlfn.IFS(C15&lt;=4,"1-4",C15&lt;=9,"5-9",C15&lt;=14,"10-14",C15&lt;=19,"15-19",C15&lt;=24,"20-24",C15&lt;=29,"25-29",C15&lt;=34,"30-34",C15&lt;=39,"35-39",C15&lt;=44,"40-44",C15&lt;=49,"45-49",C15&lt;=54,"50-54",C15&lt;=54,"50-54",C15&lt;=59,"55-59",C15&lt;=64,"60-64",C15&lt;=69,"65-69",C15&lt;=74,"70-74",C15&lt;=79,"75-79",C15&lt;=84,"80-84",C15&gt;84,"85+")</f>
        <v>50-54</v>
      </c>
      <c r="E15" s="83">
        <f>IF(D15="85+",1,VLOOKUP(D15,'Life table 2014'!$AF$3:$AR$21,7,FALSE))</f>
        <v>6.8554961659266223E-3</v>
      </c>
      <c r="F15" s="72"/>
      <c r="G15" s="316">
        <f t="shared" si="11"/>
        <v>4015</v>
      </c>
      <c r="H15" s="27">
        <f>'Parameters &amp; DSA'!$B$119*G15^'Parameters &amp; DSA'!$B$120</f>
        <v>0.44964918476241361</v>
      </c>
      <c r="I15" s="314">
        <f t="shared" si="31"/>
        <v>4.2838909238642531E-2</v>
      </c>
      <c r="J15" s="72"/>
      <c r="K15" s="140">
        <f t="shared" si="12"/>
        <v>0.39033959452764122</v>
      </c>
      <c r="L15" s="141">
        <f t="shared" si="13"/>
        <v>0</v>
      </c>
      <c r="M15" s="141">
        <f t="shared" si="14"/>
        <v>3.2528299543970102E-2</v>
      </c>
      <c r="N15" s="27">
        <f>(SUM(M14:N14)*(1-E15))*p3b_3b</f>
        <v>8.6114672808134368E-2</v>
      </c>
      <c r="O15" s="27">
        <f t="shared" si="16"/>
        <v>0</v>
      </c>
      <c r="P15" s="27">
        <f t="shared" si="17"/>
        <v>4.0791160803853116E-2</v>
      </c>
      <c r="Q15" s="27">
        <f t="shared" si="18"/>
        <v>1.4733408169905374E-2</v>
      </c>
      <c r="R15" s="27">
        <f t="shared" si="19"/>
        <v>0</v>
      </c>
      <c r="S15" s="27">
        <f t="shared" si="20"/>
        <v>4.4200224509716148E-2</v>
      </c>
      <c r="T15" s="27">
        <f t="shared" si="21"/>
        <v>6.6843853736112714E-3</v>
      </c>
      <c r="U15" s="27">
        <f t="shared" si="26"/>
        <v>2.0053156120833814E-2</v>
      </c>
      <c r="V15" s="27">
        <f t="shared" si="27"/>
        <v>2.6737541494445086E-2</v>
      </c>
      <c r="W15" s="27">
        <f t="shared" si="28"/>
        <v>0.13779750582392272</v>
      </c>
      <c r="X15" s="27">
        <f t="shared" si="29"/>
        <v>6.1672950376689727E-3</v>
      </c>
      <c r="Y15" s="142">
        <f t="shared" si="30"/>
        <v>0.19385275578629838</v>
      </c>
      <c r="Z15" s="89">
        <f t="shared" si="0"/>
        <v>1.0000000000000007</v>
      </c>
      <c r="AB15" s="92">
        <f>(IF('Parameters &amp; DSA'!$H$1=1,(('Parameters &amp; DSA'!$B$76+'Parameters &amp; DSA'!$B$84+'Parameters &amp; DSA'!$B$88+'Parameters &amp; DSA'!$B$92)*($K15))/(1+cDC)^$A15,(('Parameters &amp; DSA'!$B$76+'Parameters &amp; DSA'!$B$84)*($K15))))*($AD$2/$AF$2)</f>
        <v>2043.16443020768</v>
      </c>
      <c r="AC15" s="371">
        <f>(IF('Parameters &amp; DSA'!$H$1=1,(('Parameters &amp; DSA'!$B$76+'Parameters &amp; DSA'!$B$84+'Parameters &amp; DSA'!$B$88+'Parameters &amp; DSA'!$B$92)*($M15+$N15))/(1+cDC)^$A15,(('Parameters &amp; DSA'!$B$76+'Parameters &amp; DSA'!$B$84)*($M15+$N15))))*($AD$2/$AF$2)</f>
        <v>621.01591640293452</v>
      </c>
      <c r="AD15" s="371">
        <f>(IF('Parameters &amp; DSA'!$H$1=1,(('Parameters &amp; DSA'!$B$76+'Parameters &amp; DSA'!$B$84+'Parameters &amp; DSA'!$B$88+'Parameters &amp; DSA'!$B$92)*(P15+Q15))/(1+cDC)^$A15,(('Parameters &amp; DSA'!$B$76+'Parameters &amp; DSA'!$B$84)*(P15+Q15))))*($AD$2/$AF$2)</f>
        <v>290.6336582817832</v>
      </c>
      <c r="AE15" s="371">
        <f>(IF('Parameters &amp; DSA'!$H$1=1,(('Parameters &amp; DSA'!$B$76+'Parameters &amp; DSA'!$B$84+'Parameters &amp; DSA'!$B$88+'Parameters &amp; DSA'!$B$92)*(S15+T15))/(1+cDC)^$A15,(('Parameters &amp; DSA'!$B$76+'Parameters &amp; DSA'!$B$84)*(S15+T15))))*($AD$2/$AF$2)</f>
        <v>266.34660284570901</v>
      </c>
      <c r="AF15" s="371">
        <f>(IF('Parameters &amp; DSA'!$H$1=1,(((W15-W14)*cM_Dialysis0)+(W15*cM_Dialysis1))/(1+'Parameters &amp; DSA'!$B$6)^$A15,(((W15-W14)*cM_Dialysis0)+(W15*cM_Dialysis1))))*($AD$2/$AG$2)</f>
        <v>73602.483659910737</v>
      </c>
      <c r="AG15" s="93">
        <f t="shared" si="22"/>
        <v>76823.644267648837</v>
      </c>
      <c r="AI15" s="88">
        <f t="shared" si="1"/>
        <v>0.28198962818570183</v>
      </c>
      <c r="AJ15" s="27">
        <f t="shared" si="2"/>
        <v>0.25856483436920402</v>
      </c>
      <c r="AK15" s="27">
        <f t="shared" si="3"/>
        <v>8.571020754607897E-2</v>
      </c>
      <c r="AL15" s="27">
        <f t="shared" si="4"/>
        <v>7.8382859045006192E-2</v>
      </c>
      <c r="AM15" s="27">
        <f t="shared" si="5"/>
        <v>4.0112130000618633E-2</v>
      </c>
      <c r="AN15" s="27">
        <f t="shared" si="6"/>
        <v>3.6440129239119996E-2</v>
      </c>
      <c r="AO15" s="27">
        <f t="shared" si="7"/>
        <v>3.6760124831143395E-2</v>
      </c>
      <c r="AP15" s="27">
        <f t="shared" si="8"/>
        <v>3.1834988602216868E-2</v>
      </c>
      <c r="AQ15" s="27">
        <f t="shared" si="9"/>
        <v>0.11886361892897304</v>
      </c>
      <c r="AR15" s="27">
        <f t="shared" si="10"/>
        <v>8.3204533250281126E-2</v>
      </c>
      <c r="AS15" s="27">
        <f t="shared" si="23"/>
        <v>0.56343570949251587</v>
      </c>
      <c r="AT15" s="89">
        <f t="shared" si="24"/>
        <v>0.48842734450582814</v>
      </c>
    </row>
    <row r="16" spans="1:46">
      <c r="A16" s="80">
        <v>12</v>
      </c>
      <c r="C16" s="10">
        <f t="shared" si="25"/>
        <v>54</v>
      </c>
      <c r="D16" s="98" t="str" cm="1">
        <f t="array" ref="D16">_xlfn.IFS(C16&lt;=4,"1-4",C16&lt;=9,"5-9",C16&lt;=14,"10-14",C16&lt;=19,"15-19",C16&lt;=24,"20-24",C16&lt;=29,"25-29",C16&lt;=34,"30-34",C16&lt;=39,"35-39",C16&lt;=44,"40-44",C16&lt;=49,"45-49",C16&lt;=54,"50-54",C16&lt;=54,"50-54",C16&lt;=59,"55-59",C16&lt;=64,"60-64",C16&lt;=69,"65-69",C16&lt;=74,"70-74",C16&lt;=79,"75-79",C16&lt;=84,"80-84",C16&gt;84,"85+")</f>
        <v>50-54</v>
      </c>
      <c r="E16" s="83">
        <f>IF(D16="85+",1,VLOOKUP(D16,'Life table 2014'!$AF$3:$AR$21,7,FALSE))</f>
        <v>6.8554961659266223E-3</v>
      </c>
      <c r="F16" s="72"/>
      <c r="G16" s="316">
        <f t="shared" si="11"/>
        <v>4380</v>
      </c>
      <c r="H16" s="27">
        <f>'Parameters &amp; DSA'!$B$119*G16^'Parameters &amp; DSA'!$B$120</f>
        <v>0.49373216052532021</v>
      </c>
      <c r="I16" s="314">
        <f t="shared" si="31"/>
        <v>4.3125443217429171E-2</v>
      </c>
      <c r="J16" s="72"/>
      <c r="K16" s="140">
        <f t="shared" si="12"/>
        <v>0.35784334424672093</v>
      </c>
      <c r="L16" s="141">
        <f t="shared" si="13"/>
        <v>0</v>
      </c>
      <c r="M16" s="141">
        <f t="shared" si="14"/>
        <v>2.9820278687226743E-2</v>
      </c>
      <c r="N16" s="27">
        <f>(SUM(M15:N15)*(1-E16))*p3b_3b</f>
        <v>7.9955810796092111E-2</v>
      </c>
      <c r="O16" s="27">
        <f t="shared" si="16"/>
        <v>0</v>
      </c>
      <c r="P16" s="27">
        <f t="shared" si="17"/>
        <v>3.7873805113938362E-2</v>
      </c>
      <c r="Q16" s="27">
        <f t="shared" si="18"/>
        <v>1.3785980126011033E-2</v>
      </c>
      <c r="R16" s="27">
        <f t="shared" si="19"/>
        <v>0</v>
      </c>
      <c r="S16" s="27">
        <f t="shared" si="20"/>
        <v>4.1357940378033128E-2</v>
      </c>
      <c r="T16" s="27">
        <f t="shared" si="21"/>
        <v>6.3169713294209499E-3</v>
      </c>
      <c r="U16" s="27">
        <f t="shared" si="26"/>
        <v>1.895091398826285E-2</v>
      </c>
      <c r="V16" s="27">
        <f t="shared" si="27"/>
        <v>2.52678853176838E-2</v>
      </c>
      <c r="W16" s="27">
        <f t="shared" si="28"/>
        <v>0.15636007527162007</v>
      </c>
      <c r="X16" s="27">
        <f t="shared" si="29"/>
        <v>7.0470026606961264E-3</v>
      </c>
      <c r="Y16" s="142">
        <f t="shared" si="30"/>
        <v>0.22541999208429453</v>
      </c>
      <c r="Z16" s="89">
        <f t="shared" si="0"/>
        <v>1.0000000000000007</v>
      </c>
      <c r="AB16" s="92">
        <f>(IF('Parameters &amp; DSA'!$H$1=1,(('Parameters &amp; DSA'!$B$76+'Parameters &amp; DSA'!$B$84+'Parameters &amp; DSA'!$B$88+'Parameters &amp; DSA'!$B$92)*($K16))/(1+cDC)^$A16,(('Parameters &amp; DSA'!$B$76+'Parameters &amp; DSA'!$B$84)*($K16))))*($AD$2/$AF$2)</f>
        <v>1818.5130912233315</v>
      </c>
      <c r="AC16" s="371">
        <f>(IF('Parameters &amp; DSA'!$H$1=1,(('Parameters &amp; DSA'!$B$76+'Parameters &amp; DSA'!$B$84+'Parameters &amp; DSA'!$B$88+'Parameters &amp; DSA'!$B$92)*($M16+$N16))/(1+cDC)^$A16,(('Parameters &amp; DSA'!$B$76+'Parameters &amp; DSA'!$B$84)*($M16+$N16))))*($AD$2/$AF$2)</f>
        <v>557.86773468974059</v>
      </c>
      <c r="AD16" s="371">
        <f>(IF('Parameters &amp; DSA'!$H$1=1,(('Parameters &amp; DSA'!$B$76+'Parameters &amp; DSA'!$B$84+'Parameters &amp; DSA'!$B$88+'Parameters &amp; DSA'!$B$92)*(P16+Q16))/(1+cDC)^$A16,(('Parameters &amp; DSA'!$B$76+'Parameters &amp; DSA'!$B$84)*(P16+Q16))))*($AD$2/$AF$2)</f>
        <v>262.52827461801996</v>
      </c>
      <c r="AE16" s="371">
        <f>(IF('Parameters &amp; DSA'!$H$1=1,(('Parameters &amp; DSA'!$B$76+'Parameters &amp; DSA'!$B$84+'Parameters &amp; DSA'!$B$88+'Parameters &amp; DSA'!$B$92)*(S16+T16))/(1+cDC)^$A16,(('Parameters &amp; DSA'!$B$76+'Parameters &amp; DSA'!$B$84)*(S16+T16))))*($AD$2/$AF$2)</f>
        <v>242.27766830601365</v>
      </c>
      <c r="AF16" s="371">
        <f>(IF('Parameters &amp; DSA'!$H$1=1,(((W16-W15)*cM_Dialysis0)+(W16*cM_Dialysis1))/(1+'Parameters &amp; DSA'!$B$6)^$A16,(((W16-W15)*cM_Dialysis0)+(W16*cM_Dialysis1))))*($AD$2/$AG$2)</f>
        <v>78687.075791917247</v>
      </c>
      <c r="AG16" s="93">
        <f t="shared" si="22"/>
        <v>81568.262560754345</v>
      </c>
      <c r="AI16" s="88">
        <f t="shared" si="1"/>
        <v>0.25098412191561797</v>
      </c>
      <c r="AJ16" s="27">
        <f t="shared" si="2"/>
        <v>0.23013494620332417</v>
      </c>
      <c r="AK16" s="27">
        <f t="shared" si="3"/>
        <v>7.6994740489863281E-2</v>
      </c>
      <c r="AL16" s="27">
        <f t="shared" si="4"/>
        <v>7.0412475524332968E-2</v>
      </c>
      <c r="AM16" s="27">
        <f t="shared" si="5"/>
        <v>3.6233133982390434E-2</v>
      </c>
      <c r="AN16" s="27">
        <f t="shared" si="6"/>
        <v>3.2916229704986873E-2</v>
      </c>
      <c r="AO16" s="27">
        <f t="shared" si="7"/>
        <v>3.3438223861584716E-2</v>
      </c>
      <c r="AP16" s="27">
        <f t="shared" si="8"/>
        <v>2.8958157253320051E-2</v>
      </c>
      <c r="AQ16" s="27">
        <f t="shared" si="9"/>
        <v>0.12739019723782</v>
      </c>
      <c r="AR16" s="27">
        <f t="shared" si="10"/>
        <v>8.9173138066473992E-2</v>
      </c>
      <c r="AS16" s="27">
        <f t="shared" si="23"/>
        <v>0.52504041748727637</v>
      </c>
      <c r="AT16" s="89">
        <f t="shared" si="24"/>
        <v>0.45159494675243805</v>
      </c>
    </row>
    <row r="17" spans="1:46">
      <c r="A17" s="80">
        <v>13</v>
      </c>
      <c r="C17" s="10">
        <f t="shared" si="25"/>
        <v>55</v>
      </c>
      <c r="D17" s="98" t="str" cm="1">
        <f t="array" ref="D17">_xlfn.IFS(C17&lt;=4,"1-4",C17&lt;=9,"5-9",C17&lt;=14,"10-14",C17&lt;=19,"15-19",C17&lt;=24,"20-24",C17&lt;=29,"25-29",C17&lt;=34,"30-34",C17&lt;=39,"35-39",C17&lt;=44,"40-44",C17&lt;=49,"45-49",C17&lt;=54,"50-54",C17&lt;=54,"50-54",C17&lt;=59,"55-59",C17&lt;=64,"60-64",C17&lt;=69,"65-69",C17&lt;=74,"70-74",C17&lt;=79,"75-79",C17&lt;=84,"80-84",C17&gt;84,"85+")</f>
        <v>55-59</v>
      </c>
      <c r="E17" s="83">
        <f>IF(D17="85+",1,VLOOKUP(D17,'Life table 2014'!$AF$3:$AR$21,7,FALSE))</f>
        <v>9.6699779598412583E-3</v>
      </c>
      <c r="F17" s="72"/>
      <c r="G17" s="316">
        <f t="shared" si="11"/>
        <v>4745</v>
      </c>
      <c r="H17" s="27">
        <f>'Parameters &amp; DSA'!$B$119*G17^'Parameters &amp; DSA'!$B$120</f>
        <v>0.53809132829562223</v>
      </c>
      <c r="I17" s="314">
        <f t="shared" si="31"/>
        <v>4.3389687829287871E-2</v>
      </c>
      <c r="J17" s="72"/>
      <c r="K17" s="140">
        <f t="shared" si="12"/>
        <v>0.32712277568748854</v>
      </c>
      <c r="L17" s="141">
        <f t="shared" si="13"/>
        <v>0</v>
      </c>
      <c r="M17" s="141">
        <f t="shared" si="14"/>
        <v>2.7260231307290713E-2</v>
      </c>
      <c r="N17" s="27">
        <f t="shared" si="15"/>
        <v>7.3770592329730517E-2</v>
      </c>
      <c r="O17" s="27">
        <f t="shared" si="16"/>
        <v>0</v>
      </c>
      <c r="P17" s="27">
        <f t="shared" si="17"/>
        <v>3.4943964787767082E-2</v>
      </c>
      <c r="Q17" s="27">
        <f t="shared" si="18"/>
        <v>1.2790059063817232E-2</v>
      </c>
      <c r="R17" s="27">
        <f t="shared" si="19"/>
        <v>0</v>
      </c>
      <c r="S17" s="27">
        <f t="shared" si="20"/>
        <v>3.8370177191451721E-2</v>
      </c>
      <c r="T17" s="27">
        <f t="shared" si="21"/>
        <v>5.9017370452507031E-3</v>
      </c>
      <c r="U17" s="27">
        <f t="shared" si="26"/>
        <v>1.7705211135752109E-2</v>
      </c>
      <c r="V17" s="27">
        <f t="shared" si="27"/>
        <v>2.3606948181002813E-2</v>
      </c>
      <c r="W17" s="27">
        <f t="shared" si="28"/>
        <v>0.17206704867632239</v>
      </c>
      <c r="X17" s="27">
        <f t="shared" si="29"/>
        <v>7.804573537191991E-3</v>
      </c>
      <c r="Y17" s="142">
        <f t="shared" si="30"/>
        <v>0.25865668105693485</v>
      </c>
      <c r="Z17" s="89">
        <f t="shared" si="0"/>
        <v>1.0000000000000007</v>
      </c>
      <c r="AB17" s="92">
        <f>(IF('Parameters &amp; DSA'!$H$1=1,(('Parameters &amp; DSA'!$B$76+'Parameters &amp; DSA'!$B$84+'Parameters &amp; DSA'!$B$88+'Parameters &amp; DSA'!$B$92)*($K17))/(1+cDC)^$A17,(('Parameters &amp; DSA'!$B$76+'Parameters &amp; DSA'!$B$84)*($K17))))*($AD$2/$AF$2)</f>
        <v>1613.9759011604356</v>
      </c>
      <c r="AC17" s="371">
        <f>(IF('Parameters &amp; DSA'!$H$1=1,(('Parameters &amp; DSA'!$B$76+'Parameters &amp; DSA'!$B$84+'Parameters &amp; DSA'!$B$88+'Parameters &amp; DSA'!$B$92)*($M17+$N17))/(1+cDC)^$A17,(('Parameters &amp; DSA'!$B$76+'Parameters &amp; DSA'!$B$84)*($M17+$N17))))*($AD$2/$AF$2)</f>
        <v>498.47129806797784</v>
      </c>
      <c r="AD17" s="371">
        <f>(IF('Parameters &amp; DSA'!$H$1=1,(('Parameters &amp; DSA'!$B$76+'Parameters &amp; DSA'!$B$84+'Parameters &amp; DSA'!$B$88+'Parameters &amp; DSA'!$B$92)*(P17+Q17))/(1+cDC)^$A17,(('Parameters &amp; DSA'!$B$76+'Parameters &amp; DSA'!$B$84)*(P17+Q17))))*($AD$2/$AF$2)</f>
        <v>235.51268785844169</v>
      </c>
      <c r="AE17" s="371">
        <f>(IF('Parameters &amp; DSA'!$H$1=1,(('Parameters &amp; DSA'!$B$76+'Parameters &amp; DSA'!$B$84+'Parameters &amp; DSA'!$B$88+'Parameters &amp; DSA'!$B$92)*(S17+T17))/(1+cDC)^$A17,(('Parameters &amp; DSA'!$B$76+'Parameters &amp; DSA'!$B$84)*(S17+T17))))*($AD$2/$AF$2)</f>
        <v>218.43114569479428</v>
      </c>
      <c r="AF17" s="371">
        <f>(IF('Parameters &amp; DSA'!$H$1=1,(((W17-W16)*cM_Dialysis0)+(W17*cM_Dialysis1))/(1+'Parameters &amp; DSA'!$B$6)^$A17,(((W17-W16)*cM_Dialysis0)+(W17*cM_Dialysis1))))*($AD$2/$AG$2)</f>
        <v>81879.445122513309</v>
      </c>
      <c r="AG17" s="93">
        <f t="shared" si="22"/>
        <v>84445.836155294965</v>
      </c>
      <c r="AI17" s="88">
        <f t="shared" si="1"/>
        <v>0.22275469244668308</v>
      </c>
      <c r="AJ17" s="27">
        <f t="shared" si="2"/>
        <v>0.20425052697154486</v>
      </c>
      <c r="AK17" s="27">
        <f t="shared" si="3"/>
        <v>6.8797074736244038E-2</v>
      </c>
      <c r="AL17" s="27">
        <f t="shared" si="4"/>
        <v>6.2915626576457481E-2</v>
      </c>
      <c r="AM17" s="27">
        <f t="shared" si="5"/>
        <v>3.2504547505002659E-2</v>
      </c>
      <c r="AN17" s="27">
        <f t="shared" si="6"/>
        <v>2.9528970710933196E-2</v>
      </c>
      <c r="AO17" s="27">
        <f t="shared" si="7"/>
        <v>3.0147019323545566E-2</v>
      </c>
      <c r="AP17" s="27">
        <f t="shared" si="8"/>
        <v>2.6107909615769202E-2</v>
      </c>
      <c r="AQ17" s="27">
        <f t="shared" si="9"/>
        <v>0.13324447036181647</v>
      </c>
      <c r="AR17" s="27">
        <f t="shared" si="10"/>
        <v>9.3271129253271523E-2</v>
      </c>
      <c r="AS17" s="27">
        <f t="shared" si="23"/>
        <v>0.48744780437329183</v>
      </c>
      <c r="AT17" s="89">
        <f t="shared" si="24"/>
        <v>0.41607416312797624</v>
      </c>
    </row>
    <row r="18" spans="1:46">
      <c r="A18" s="80">
        <v>14</v>
      </c>
      <c r="C18" s="10">
        <f t="shared" si="25"/>
        <v>56</v>
      </c>
      <c r="D18" s="98" t="str" cm="1">
        <f t="array" ref="D18">_xlfn.IFS(C18&lt;=4,"1-4",C18&lt;=9,"5-9",C18&lt;=14,"10-14",C18&lt;=19,"15-19",C18&lt;=24,"20-24",C18&lt;=29,"25-29",C18&lt;=34,"30-34",C18&lt;=39,"35-39",C18&lt;=44,"40-44",C18&lt;=49,"45-49",C18&lt;=54,"50-54",C18&lt;=54,"50-54",C18&lt;=59,"55-59",C18&lt;=64,"60-64",C18&lt;=69,"65-69",C18&lt;=74,"70-74",C18&lt;=79,"75-79",C18&lt;=84,"80-84",C18&gt;84,"85+")</f>
        <v>55-59</v>
      </c>
      <c r="E18" s="83">
        <f>IF(D18="85+",1,VLOOKUP(D18,'Life table 2014'!$AF$3:$AR$21,7,FALSE))</f>
        <v>9.6699779598412583E-3</v>
      </c>
      <c r="F18" s="72"/>
      <c r="G18" s="316">
        <f t="shared" si="11"/>
        <v>5110</v>
      </c>
      <c r="H18" s="27">
        <f>'Parameters &amp; DSA'!$B$119*G18^'Parameters &amp; DSA'!$B$120</f>
        <v>0.58270693560677034</v>
      </c>
      <c r="I18" s="314">
        <f t="shared" si="31"/>
        <v>4.3634969087258835E-2</v>
      </c>
      <c r="J18" s="72"/>
      <c r="K18" s="140">
        <f t="shared" si="12"/>
        <v>0.29903954368285707</v>
      </c>
      <c r="L18" s="141">
        <f t="shared" si="13"/>
        <v>0</v>
      </c>
      <c r="M18" s="141">
        <f>(K17*(1-E18))*p3a_3b</f>
        <v>2.4919961973571419E-2</v>
      </c>
      <c r="N18" s="27">
        <f t="shared" si="15"/>
        <v>6.7893689220876643E-2</v>
      </c>
      <c r="O18" s="27">
        <f t="shared" si="16"/>
        <v>0</v>
      </c>
      <c r="P18" s="27">
        <f t="shared" si="17"/>
        <v>3.2160168578309986E-2</v>
      </c>
      <c r="Q18" s="27">
        <f t="shared" si="18"/>
        <v>1.1818109223251235E-2</v>
      </c>
      <c r="R18" s="27">
        <f t="shared" si="19"/>
        <v>0</v>
      </c>
      <c r="S18" s="27">
        <f t="shared" si="20"/>
        <v>3.5454327669753725E-2</v>
      </c>
      <c r="T18" s="27">
        <f t="shared" si="21"/>
        <v>5.4804757252241909E-3</v>
      </c>
      <c r="U18" s="27">
        <f t="shared" si="26"/>
        <v>1.6441427175672572E-2</v>
      </c>
      <c r="V18" s="27">
        <f t="shared" si="27"/>
        <v>2.1921902900896763E-2</v>
      </c>
      <c r="W18" s="27">
        <f t="shared" si="28"/>
        <v>0.18532616930070231</v>
      </c>
      <c r="X18" s="27">
        <f t="shared" si="29"/>
        <v>8.4556643196985245E-3</v>
      </c>
      <c r="Y18" s="142">
        <f t="shared" si="30"/>
        <v>0.29108856022918628</v>
      </c>
      <c r="Z18" s="89">
        <f t="shared" si="0"/>
        <v>1.0000000000000009</v>
      </c>
      <c r="AB18" s="92">
        <f>(IF('Parameters &amp; DSA'!$H$1=1,(('Parameters &amp; DSA'!$B$76+'Parameters &amp; DSA'!$B$84+'Parameters &amp; DSA'!$B$88+'Parameters &amp; DSA'!$B$92)*($K18))/(1+cDC)^$A18,(('Parameters &amp; DSA'!$B$76+'Parameters &amp; DSA'!$B$84)*($K18))))*($AD$2/$AF$2)</f>
        <v>1432.4440236909625</v>
      </c>
      <c r="AC18" s="371">
        <f>(IF('Parameters &amp; DSA'!$H$1=1,(('Parameters &amp; DSA'!$B$76+'Parameters &amp; DSA'!$B$84+'Parameters &amp; DSA'!$B$88+'Parameters &amp; DSA'!$B$92)*($M18+$N18))/(1+cDC)^$A18,(('Parameters &amp; DSA'!$B$76+'Parameters &amp; DSA'!$B$84)*($M18+$N18))))*($AD$2/$AF$2)</f>
        <v>444.59123476801341</v>
      </c>
      <c r="AD18" s="371">
        <f>(IF('Parameters &amp; DSA'!$H$1=1,(('Parameters &amp; DSA'!$B$76+'Parameters &amp; DSA'!$B$84+'Parameters &amp; DSA'!$B$88+'Parameters &amp; DSA'!$B$92)*(P18+Q18))/(1+cDC)^$A18,(('Parameters &amp; DSA'!$B$76+'Parameters &amp; DSA'!$B$84)*(P18+Q18))))*($AD$2/$AF$2)</f>
        <v>210.66251116232786</v>
      </c>
      <c r="AE18" s="371">
        <f>(IF('Parameters &amp; DSA'!$H$1=1,(('Parameters &amp; DSA'!$B$76+'Parameters &amp; DSA'!$B$84+'Parameters &amp; DSA'!$B$88+'Parameters &amp; DSA'!$B$92)*(S18+T18))/(1+cDC)^$A18,(('Parameters &amp; DSA'!$B$76+'Parameters &amp; DSA'!$B$84)*(S18+T18))))*($AD$2/$AF$2)</f>
        <v>196.08381474219757</v>
      </c>
      <c r="AF18" s="371">
        <f>(IF('Parameters &amp; DSA'!$H$1=1,(((W18-W17)*cM_Dialysis0)+(W18*cM_Dialysis1))/(1+'Parameters &amp; DSA'!$B$6)^$A18,(((W18-W17)*cM_Dialysis0)+(W18*cM_Dialysis1))))*($AD$2/$AG$2)</f>
        <v>83972.507510541225</v>
      </c>
      <c r="AG18" s="93">
        <f t="shared" si="22"/>
        <v>86256.289094904729</v>
      </c>
      <c r="AI18" s="88">
        <f t="shared" si="1"/>
        <v>0.19770036697261162</v>
      </c>
      <c r="AJ18" s="27">
        <f t="shared" si="2"/>
        <v>0.18127745679830687</v>
      </c>
      <c r="AK18" s="27">
        <f t="shared" si="3"/>
        <v>6.1360757427688178E-2</v>
      </c>
      <c r="AL18" s="27">
        <f t="shared" si="4"/>
        <v>5.6115038547346605E-2</v>
      </c>
      <c r="AM18" s="27">
        <f t="shared" si="5"/>
        <v>2.9074822523849846E-2</v>
      </c>
      <c r="AN18" s="27">
        <f t="shared" si="6"/>
        <v>2.641321441562005E-2</v>
      </c>
      <c r="AO18" s="27">
        <f t="shared" si="7"/>
        <v>2.7062727402104365E-2</v>
      </c>
      <c r="AP18" s="27">
        <f t="shared" si="8"/>
        <v>2.3436852359679461E-2</v>
      </c>
      <c r="AQ18" s="27">
        <f t="shared" si="9"/>
        <v>0.13701539075405997</v>
      </c>
      <c r="AR18" s="27">
        <f t="shared" si="10"/>
        <v>9.5910773527841969E-2</v>
      </c>
      <c r="AS18" s="27">
        <f t="shared" si="23"/>
        <v>0.45221406508031403</v>
      </c>
      <c r="AT18" s="89">
        <f t="shared" si="24"/>
        <v>0.38315333564879495</v>
      </c>
    </row>
    <row r="19" spans="1:46">
      <c r="A19" s="80">
        <v>15</v>
      </c>
      <c r="C19" s="10">
        <f t="shared" si="25"/>
        <v>57</v>
      </c>
      <c r="D19" s="98" t="str" cm="1">
        <f t="array" ref="D19">_xlfn.IFS(C19&lt;=4,"1-4",C19&lt;=9,"5-9",C19&lt;=14,"10-14",C19&lt;=19,"15-19",C19&lt;=24,"20-24",C19&lt;=29,"25-29",C19&lt;=34,"30-34",C19&lt;=39,"35-39",C19&lt;=44,"40-44",C19&lt;=49,"45-49",C19&lt;=54,"50-54",C19&lt;=54,"50-54",C19&lt;=59,"55-59",C19&lt;=64,"60-64",C19&lt;=69,"65-69",C19&lt;=74,"70-74",C19&lt;=79,"75-79",C19&lt;=84,"80-84",C19&gt;84,"85+")</f>
        <v>55-59</v>
      </c>
      <c r="E19" s="83">
        <f>IF(D19="85+",1,VLOOKUP(D19,'Life table 2014'!$AF$3:$AR$21,7,FALSE))</f>
        <v>9.6699779598412583E-3</v>
      </c>
      <c r="F19" s="72"/>
      <c r="G19" s="316">
        <f t="shared" si="11"/>
        <v>5475</v>
      </c>
      <c r="H19" s="27">
        <f>'Parameters &amp; DSA'!$B$119*G19^'Parameters &amp; DSA'!$B$120</f>
        <v>0.62756196108333639</v>
      </c>
      <c r="I19" s="314">
        <f t="shared" si="31"/>
        <v>4.3863912840689467E-2</v>
      </c>
      <c r="J19" s="72"/>
      <c r="K19" s="140">
        <f t="shared" si="12"/>
        <v>0.27336723497199034</v>
      </c>
      <c r="L19" s="141">
        <f t="shared" si="13"/>
        <v>0</v>
      </c>
      <c r="M19" s="141">
        <f t="shared" si="14"/>
        <v>2.278060291433253E-2</v>
      </c>
      <c r="N19" s="27">
        <f t="shared" si="15"/>
        <v>6.2371669979552923E-2</v>
      </c>
      <c r="O19" s="27">
        <f t="shared" si="16"/>
        <v>0</v>
      </c>
      <c r="P19" s="27">
        <f t="shared" si="17"/>
        <v>2.9544475253472431E-2</v>
      </c>
      <c r="Q19" s="27">
        <f t="shared" si="18"/>
        <v>1.0888252206127082E-2</v>
      </c>
      <c r="R19" s="27">
        <f t="shared" si="19"/>
        <v>0</v>
      </c>
      <c r="S19" s="27">
        <f t="shared" si="20"/>
        <v>3.2664756618381266E-2</v>
      </c>
      <c r="T19" s="27">
        <f t="shared" si="21"/>
        <v>5.0673705935447557E-3</v>
      </c>
      <c r="U19" s="27">
        <f t="shared" si="26"/>
        <v>1.5202111780634266E-2</v>
      </c>
      <c r="V19" s="27">
        <f t="shared" si="27"/>
        <v>2.0269482374179023E-2</v>
      </c>
      <c r="W19" s="27">
        <f t="shared" si="28"/>
        <v>0.19624118351437805</v>
      </c>
      <c r="X19" s="27">
        <f t="shared" si="29"/>
        <v>9.0028043968119614E-3</v>
      </c>
      <c r="Y19" s="142">
        <f t="shared" si="30"/>
        <v>0.32260005539659609</v>
      </c>
      <c r="Z19" s="89">
        <f t="shared" si="0"/>
        <v>1.0000000000000007</v>
      </c>
      <c r="AB19" s="92">
        <f>(IF('Parameters &amp; DSA'!$H$1=1,(('Parameters &amp; DSA'!$B$76+'Parameters &amp; DSA'!$B$84+'Parameters &amp; DSA'!$B$88+'Parameters &amp; DSA'!$B$92)*($K19))/(1+cDC)^$A19,(('Parameters &amp; DSA'!$B$76+'Parameters &amp; DSA'!$B$84)*($K19))))*($AD$2/$AF$2)</f>
        <v>1271.3299371648975</v>
      </c>
      <c r="AC19" s="371">
        <f>(IF('Parameters &amp; DSA'!$H$1=1,(('Parameters &amp; DSA'!$B$76+'Parameters &amp; DSA'!$B$84+'Parameters &amp; DSA'!$B$88+'Parameters &amp; DSA'!$B$92)*($M19+$N19))/(1+cDC)^$A19,(('Parameters &amp; DSA'!$B$76+'Parameters &amp; DSA'!$B$84)*($M19+$N19))))*($AD$2/$AF$2)</f>
        <v>396.01173768584141</v>
      </c>
      <c r="AD19" s="371">
        <f>(IF('Parameters &amp; DSA'!$H$1=1,(('Parameters &amp; DSA'!$B$76+'Parameters &amp; DSA'!$B$84+'Parameters &amp; DSA'!$B$88+'Parameters &amp; DSA'!$B$92)*(P19+Q19))/(1+cDC)^$A19,(('Parameters &amp; DSA'!$B$76+'Parameters &amp; DSA'!$B$84)*(P19+Q19))))*($AD$2/$AF$2)</f>
        <v>188.0376661302696</v>
      </c>
      <c r="AE19" s="371">
        <f>(IF('Parameters &amp; DSA'!$H$1=1,(('Parameters &amp; DSA'!$B$76+'Parameters &amp; DSA'!$B$84+'Parameters &amp; DSA'!$B$88+'Parameters &amp; DSA'!$B$92)*(S19+T19))/(1+cDC)^$A19,(('Parameters &amp; DSA'!$B$76+'Parameters &amp; DSA'!$B$84)*(S19+T19))))*($AD$2/$AF$2)</f>
        <v>175.47817287741492</v>
      </c>
      <c r="AF19" s="371">
        <f>(IF('Parameters &amp; DSA'!$H$1=1,(((W19-W18)*cM_Dialysis0)+(W19*cM_Dialysis1))/(1+'Parameters &amp; DSA'!$B$6)^$A19,(((W19-W18)*cM_Dialysis0)+(W19*cM_Dialysis1))))*($AD$2/$AG$2)</f>
        <v>84961.700155663842</v>
      </c>
      <c r="AG19" s="93">
        <f t="shared" si="22"/>
        <v>86992.55766952227</v>
      </c>
      <c r="AI19" s="88">
        <f t="shared" si="1"/>
        <v>0.17546402579357781</v>
      </c>
      <c r="AJ19" s="27">
        <f t="shared" si="2"/>
        <v>0.16088828181011303</v>
      </c>
      <c r="AK19" s="27">
        <f t="shared" si="3"/>
        <v>5.4656003704926057E-2</v>
      </c>
      <c r="AL19" s="27">
        <f t="shared" si="4"/>
        <v>4.9983472879392671E-2</v>
      </c>
      <c r="AM19" s="27">
        <f t="shared" si="5"/>
        <v>2.5952229185779285E-2</v>
      </c>
      <c r="AN19" s="27">
        <f t="shared" si="6"/>
        <v>2.3576473888533817E-2</v>
      </c>
      <c r="AO19" s="27">
        <f t="shared" si="7"/>
        <v>2.4218816651667519E-2</v>
      </c>
      <c r="AP19" s="27">
        <f t="shared" si="8"/>
        <v>2.0973969909150444E-2</v>
      </c>
      <c r="AQ19" s="27">
        <f t="shared" si="9"/>
        <v>0.13896995763938935</v>
      </c>
      <c r="AR19" s="27">
        <f t="shared" si="10"/>
        <v>9.7278970347572546E-2</v>
      </c>
      <c r="AS19" s="27">
        <f t="shared" si="23"/>
        <v>0.41926103297534001</v>
      </c>
      <c r="AT19" s="89">
        <f t="shared" si="24"/>
        <v>0.35270116883476249</v>
      </c>
    </row>
    <row r="20" spans="1:46">
      <c r="A20" s="80">
        <v>16</v>
      </c>
      <c r="C20" s="10">
        <f t="shared" si="25"/>
        <v>58</v>
      </c>
      <c r="D20" s="98" t="str" cm="1">
        <f t="array" ref="D20">_xlfn.IFS(C20&lt;=4,"1-4",C20&lt;=9,"5-9",C20&lt;=14,"10-14",C20&lt;=19,"15-19",C20&lt;=24,"20-24",C20&lt;=29,"25-29",C20&lt;=34,"30-34",C20&lt;=39,"35-39",C20&lt;=44,"40-44",C20&lt;=49,"45-49",C20&lt;=54,"50-54",C20&lt;=54,"50-54",C20&lt;=59,"55-59",C20&lt;=64,"60-64",C20&lt;=69,"65-69",C20&lt;=74,"70-74",C20&lt;=79,"75-79",C20&lt;=84,"80-84",C20&gt;84,"85+")</f>
        <v>55-59</v>
      </c>
      <c r="E20" s="83">
        <f>IF(D20="85+",1,VLOOKUP(D20,'Life table 2014'!$AF$3:$AR$21,7,FALSE))</f>
        <v>9.6699779598412583E-3</v>
      </c>
      <c r="F20" s="72"/>
      <c r="G20" s="316">
        <f t="shared" si="11"/>
        <v>5840</v>
      </c>
      <c r="H20" s="27">
        <f>'Parameters &amp; DSA'!$B$119*G20^'Parameters &amp; DSA'!$B$120</f>
        <v>0.67264157870554264</v>
      </c>
      <c r="I20" s="314">
        <f t="shared" si="31"/>
        <v>4.4078629383301537E-2</v>
      </c>
      <c r="J20" s="72"/>
      <c r="K20" s="140">
        <f t="shared" si="12"/>
        <v>0.24989887369372474</v>
      </c>
      <c r="L20" s="141">
        <f t="shared" si="13"/>
        <v>0</v>
      </c>
      <c r="M20" s="141">
        <f t="shared" si="14"/>
        <v>2.0824906141143729E-2</v>
      </c>
      <c r="N20" s="27">
        <f t="shared" si="15"/>
        <v>5.7223149769416164E-2</v>
      </c>
      <c r="O20" s="27">
        <f t="shared" si="16"/>
        <v>0</v>
      </c>
      <c r="P20" s="27">
        <f t="shared" si="17"/>
        <v>2.7105702522355023E-2</v>
      </c>
      <c r="Q20" s="27">
        <f t="shared" si="18"/>
        <v>1.0010435969052224E-2</v>
      </c>
      <c r="R20" s="27">
        <f t="shared" si="19"/>
        <v>0</v>
      </c>
      <c r="S20" s="27">
        <f t="shared" si="20"/>
        <v>3.003130790715669E-2</v>
      </c>
      <c r="T20" s="27">
        <f t="shared" si="21"/>
        <v>4.6709072966760962E-3</v>
      </c>
      <c r="U20" s="27">
        <f t="shared" si="26"/>
        <v>1.4012721890028289E-2</v>
      </c>
      <c r="V20" s="27">
        <f t="shared" si="27"/>
        <v>1.8683629186704385E-2</v>
      </c>
      <c r="W20" s="27">
        <f t="shared" si="28"/>
        <v>0.20496580449294113</v>
      </c>
      <c r="X20" s="27">
        <f t="shared" si="29"/>
        <v>9.4512080284030551E-3</v>
      </c>
      <c r="Y20" s="142">
        <f t="shared" si="30"/>
        <v>0.35312135310239923</v>
      </c>
      <c r="Z20" s="89">
        <f t="shared" si="0"/>
        <v>1.0000000000000007</v>
      </c>
      <c r="AB20" s="92">
        <f>(IF('Parameters &amp; DSA'!$H$1=1,(('Parameters &amp; DSA'!$B$76+'Parameters &amp; DSA'!$B$84+'Parameters &amp; DSA'!$B$88+'Parameters &amp; DSA'!$B$92)*($K20))/(1+cDC)^$A20,(('Parameters &amp; DSA'!$B$76+'Parameters &amp; DSA'!$B$84)*($K20))))*($AD$2/$AF$2)</f>
        <v>1128.3371513303898</v>
      </c>
      <c r="AC20" s="371">
        <f>(IF('Parameters &amp; DSA'!$H$1=1,(('Parameters &amp; DSA'!$B$76+'Parameters &amp; DSA'!$B$84+'Parameters &amp; DSA'!$B$88+'Parameters &amp; DSA'!$B$92)*($M20+$N20))/(1+cDC)^$A20,(('Parameters &amp; DSA'!$B$76+'Parameters &amp; DSA'!$B$84)*($M20+$N20))))*($AD$2/$AF$2)</f>
        <v>352.40063218903407</v>
      </c>
      <c r="AD20" s="371">
        <f>(IF('Parameters &amp; DSA'!$H$1=1,(('Parameters &amp; DSA'!$B$76+'Parameters &amp; DSA'!$B$84+'Parameters &amp; DSA'!$B$88+'Parameters &amp; DSA'!$B$92)*(P20+Q20))/(1+cDC)^$A20,(('Parameters &amp; DSA'!$B$76+'Parameters &amp; DSA'!$B$84)*(P20+Q20))))*($AD$2/$AF$2)</f>
        <v>167.58586125164413</v>
      </c>
      <c r="AE20" s="371">
        <f>(IF('Parameters &amp; DSA'!$H$1=1,(('Parameters &amp; DSA'!$B$76+'Parameters &amp; DSA'!$B$84+'Parameters &amp; DSA'!$B$88+'Parameters &amp; DSA'!$B$92)*(S20+T20))/(1+cDC)^$A20,(('Parameters &amp; DSA'!$B$76+'Parameters &amp; DSA'!$B$84)*(S20+T20))))*($AD$2/$AF$2)</f>
        <v>156.68657513013068</v>
      </c>
      <c r="AF20" s="371">
        <f>(IF('Parameters &amp; DSA'!$H$1=1,(((W20-W19)*cM_Dialysis0)+(W20*cM_Dialysis1))/(1+'Parameters &amp; DSA'!$B$6)^$A20,(((W20-W19)*cM_Dialysis0)+(W20*cM_Dialysis1))))*($AD$2/$AG$2)</f>
        <v>85018.323643395488</v>
      </c>
      <c r="AG20" s="93">
        <f t="shared" si="22"/>
        <v>86823.333863296692</v>
      </c>
      <c r="AI20" s="88">
        <f t="shared" si="1"/>
        <v>0.1557287162342724</v>
      </c>
      <c r="AJ20" s="27">
        <f t="shared" si="2"/>
        <v>0.14279237849530627</v>
      </c>
      <c r="AK20" s="27">
        <f t="shared" si="3"/>
        <v>4.863696811386397E-2</v>
      </c>
      <c r="AL20" s="27">
        <f t="shared" si="4"/>
        <v>4.4479003437203367E-2</v>
      </c>
      <c r="AM20" s="27">
        <f t="shared" si="5"/>
        <v>2.3129550419360129E-2</v>
      </c>
      <c r="AN20" s="27">
        <f t="shared" si="6"/>
        <v>2.1012192733500475E-2</v>
      </c>
      <c r="AO20" s="27">
        <f t="shared" si="7"/>
        <v>2.1625273232730193E-2</v>
      </c>
      <c r="AP20" s="27">
        <f t="shared" si="8"/>
        <v>1.872791047489971E-2</v>
      </c>
      <c r="AQ20" s="27">
        <f t="shared" si="9"/>
        <v>0.13937093304445666</v>
      </c>
      <c r="AR20" s="27">
        <f t="shared" si="10"/>
        <v>9.7559653131119653E-2</v>
      </c>
      <c r="AS20" s="27">
        <f t="shared" si="23"/>
        <v>0.38849144104468336</v>
      </c>
      <c r="AT20" s="89">
        <f t="shared" si="24"/>
        <v>0.32457113827202949</v>
      </c>
    </row>
    <row r="21" spans="1:46">
      <c r="A21" s="80">
        <v>17</v>
      </c>
      <c r="C21" s="10">
        <f t="shared" si="25"/>
        <v>59</v>
      </c>
      <c r="D21" s="98" t="str" cm="1">
        <f t="array" ref="D21">_xlfn.IFS(C21&lt;=4,"1-4",C21&lt;=9,"5-9",C21&lt;=14,"10-14",C21&lt;=19,"15-19",C21&lt;=24,"20-24",C21&lt;=29,"25-29",C21&lt;=34,"30-34",C21&lt;=39,"35-39",C21&lt;=44,"40-44",C21&lt;=49,"45-49",C21&lt;=54,"50-54",C21&lt;=54,"50-54",C21&lt;=59,"55-59",C21&lt;=64,"60-64",C21&lt;=69,"65-69",C21&lt;=74,"70-74",C21&lt;=79,"75-79",C21&lt;=84,"80-84",C21&gt;84,"85+")</f>
        <v>55-59</v>
      </c>
      <c r="E21" s="83">
        <f>IF(D21="85+",1,VLOOKUP(D21,'Life table 2014'!$AF$3:$AR$21,7,FALSE))</f>
        <v>9.6699779598412583E-3</v>
      </c>
      <c r="F21" s="72"/>
      <c r="G21" s="316">
        <f t="shared" si="11"/>
        <v>6205</v>
      </c>
      <c r="H21" s="27">
        <f>'Parameters &amp; DSA'!$B$119*G21^'Parameters &amp; DSA'!$B$120</f>
        <v>0.71793275431906123</v>
      </c>
      <c r="I21" s="314">
        <f t="shared" si="31"/>
        <v>4.4280840797847221E-2</v>
      </c>
      <c r="J21" s="72"/>
      <c r="K21" s="140">
        <f t="shared" si="12"/>
        <v>0.22844525270115443</v>
      </c>
      <c r="L21" s="141">
        <f t="shared" si="13"/>
        <v>0</v>
      </c>
      <c r="M21" s="141">
        <f t="shared" si="14"/>
        <v>1.9037104391762868E-2</v>
      </c>
      <c r="N21" s="27">
        <f t="shared" si="15"/>
        <v>5.2449047345422509E-2</v>
      </c>
      <c r="O21" s="27">
        <f t="shared" si="16"/>
        <v>0</v>
      </c>
      <c r="P21" s="27">
        <f t="shared" si="17"/>
        <v>2.4844285584673817E-2</v>
      </c>
      <c r="Q21" s="27">
        <f t="shared" si="18"/>
        <v>9.1893065625602271E-3</v>
      </c>
      <c r="R21" s="27">
        <f t="shared" si="19"/>
        <v>0</v>
      </c>
      <c r="S21" s="27">
        <f t="shared" si="20"/>
        <v>2.7567919687680697E-2</v>
      </c>
      <c r="T21" s="27">
        <f t="shared" si="21"/>
        <v>4.2958306934567569E-3</v>
      </c>
      <c r="U21" s="27">
        <f t="shared" si="26"/>
        <v>1.288749208037027E-2</v>
      </c>
      <c r="V21" s="27">
        <f t="shared" si="27"/>
        <v>1.7183322773827028E-2</v>
      </c>
      <c r="W21" s="27">
        <f t="shared" si="28"/>
        <v>0.21167912913229689</v>
      </c>
      <c r="X21" s="27">
        <f t="shared" si="29"/>
        <v>9.8076194529354878E-3</v>
      </c>
      <c r="Y21" s="142">
        <f t="shared" si="30"/>
        <v>0.38261368959385983</v>
      </c>
      <c r="Z21" s="89">
        <f t="shared" si="0"/>
        <v>1.0000000000000009</v>
      </c>
      <c r="AB21" s="92">
        <f>(IF('Parameters &amp; DSA'!$H$1=1,(('Parameters &amp; DSA'!$B$76+'Parameters &amp; DSA'!$B$84+'Parameters &amp; DSA'!$B$88+'Parameters &amp; DSA'!$B$92)*($K21))/(1+cDC)^$A21,(('Parameters &amp; DSA'!$B$76+'Parameters &amp; DSA'!$B$84)*($K21))))*($AD$2/$AF$2)</f>
        <v>1001.4274735884289</v>
      </c>
      <c r="AC21" s="371">
        <f>(IF('Parameters &amp; DSA'!$H$1=1,(('Parameters &amp; DSA'!$B$76+'Parameters &amp; DSA'!$B$84+'Parameters &amp; DSA'!$B$88+'Parameters &amp; DSA'!$B$92)*($M21+$N21))/(1+cDC)^$A21,(('Parameters &amp; DSA'!$B$76+'Parameters &amp; DSA'!$B$84)*($M21+$N21))))*($AD$2/$AF$2)</f>
        <v>313.3713460195134</v>
      </c>
      <c r="AD21" s="371">
        <f>(IF('Parameters &amp; DSA'!$H$1=1,(('Parameters &amp; DSA'!$B$76+'Parameters &amp; DSA'!$B$84+'Parameters &amp; DSA'!$B$88+'Parameters &amp; DSA'!$B$92)*(P21+Q21))/(1+cDC)^$A21,(('Parameters &amp; DSA'!$B$76+'Parameters &amp; DSA'!$B$84)*(P21+Q21))))*($AD$2/$AF$2)</f>
        <v>149.19186894082193</v>
      </c>
      <c r="AE21" s="371">
        <f>(IF('Parameters &amp; DSA'!$H$1=1,(('Parameters &amp; DSA'!$B$76+'Parameters &amp; DSA'!$B$84+'Parameters &amp; DSA'!$B$88+'Parameters &amp; DSA'!$B$92)*(S21+T21))/(1+cDC)^$A21,(('Parameters &amp; DSA'!$B$76+'Parameters &amp; DSA'!$B$84)*(S21+T21))))*($AD$2/$AF$2)</f>
        <v>139.68000939366232</v>
      </c>
      <c r="AF21" s="371">
        <f>(IF('Parameters &amp; DSA'!$H$1=1,(((W21-W20)*cM_Dialysis0)+(W21*cM_Dialysis1))/(1+'Parameters &amp; DSA'!$B$6)^$A21,(((W21-W20)*cM_Dialysis0)+(W21*cM_Dialysis1))))*($AD$2/$AG$2)</f>
        <v>84298.717589909225</v>
      </c>
      <c r="AG21" s="93">
        <f t="shared" si="22"/>
        <v>85902.388287851645</v>
      </c>
      <c r="AI21" s="88">
        <f t="shared" si="1"/>
        <v>0.13821313485936307</v>
      </c>
      <c r="AJ21" s="27">
        <f t="shared" si="2"/>
        <v>0.12673181121053623</v>
      </c>
      <c r="AK21" s="27">
        <f t="shared" si="3"/>
        <v>4.3250297451151914E-2</v>
      </c>
      <c r="AL21" s="27">
        <f t="shared" si="4"/>
        <v>3.9552838172112428E-2</v>
      </c>
      <c r="AM21" s="27">
        <f t="shared" si="5"/>
        <v>2.0590882960250058E-2</v>
      </c>
      <c r="AN21" s="27">
        <f t="shared" si="6"/>
        <v>1.8705923525066701E-2</v>
      </c>
      <c r="AO21" s="27">
        <f t="shared" si="7"/>
        <v>1.9278093006880756E-2</v>
      </c>
      <c r="AP21" s="27">
        <f t="shared" si="8"/>
        <v>1.669520639458167E-2</v>
      </c>
      <c r="AQ21" s="27">
        <f t="shared" si="9"/>
        <v>0.13846554723956297</v>
      </c>
      <c r="AR21" s="27">
        <f t="shared" si="10"/>
        <v>9.6925883067694077E-2</v>
      </c>
      <c r="AS21" s="27">
        <f t="shared" si="23"/>
        <v>0.35979795551720872</v>
      </c>
      <c r="AT21" s="89">
        <f t="shared" si="24"/>
        <v>0.29861166236999109</v>
      </c>
    </row>
    <row r="22" spans="1:46">
      <c r="A22" s="80">
        <v>18</v>
      </c>
      <c r="C22" s="10">
        <f t="shared" si="25"/>
        <v>60</v>
      </c>
      <c r="D22" s="98" t="str" cm="1">
        <f t="array" ref="D22">_xlfn.IFS(C22&lt;=4,"1-4",C22&lt;=9,"5-9",C22&lt;=14,"10-14",C22&lt;=19,"15-19",C22&lt;=24,"20-24",C22&lt;=29,"25-29",C22&lt;=34,"30-34",C22&lt;=39,"35-39",C22&lt;=44,"40-44",C22&lt;=49,"45-49",C22&lt;=54,"50-54",C22&lt;=54,"50-54",C22&lt;=59,"55-59",C22&lt;=64,"60-64",C22&lt;=69,"65-69",C22&lt;=74,"70-74",C22&lt;=79,"75-79",C22&lt;=84,"80-84",C22&gt;84,"85+")</f>
        <v>60-64</v>
      </c>
      <c r="E22" s="83">
        <f>IF(D22="85+",1,VLOOKUP(D22,'Life table 2014'!$AF$3:$AR$21,7,FALSE))</f>
        <v>1.2786572991074552E-2</v>
      </c>
      <c r="F22" s="72"/>
      <c r="G22" s="316">
        <f t="shared" si="11"/>
        <v>6570</v>
      </c>
      <c r="H22" s="27">
        <f>'Parameters &amp; DSA'!$B$119*G22^'Parameters &amp; DSA'!$B$120</f>
        <v>0.76342393582915613</v>
      </c>
      <c r="I22" s="314">
        <f t="shared" si="31"/>
        <v>4.4471971150922718E-2</v>
      </c>
      <c r="J22" s="72"/>
      <c r="K22" s="140">
        <f t="shared" si="12"/>
        <v>0.20817620381817845</v>
      </c>
      <c r="L22" s="141">
        <f t="shared" si="13"/>
        <v>0</v>
      </c>
      <c r="M22" s="141">
        <f t="shared" si="14"/>
        <v>1.7348016984848204E-2</v>
      </c>
      <c r="N22" s="27">
        <f t="shared" si="15"/>
        <v>4.788820314152821E-2</v>
      </c>
      <c r="O22" s="27">
        <f t="shared" si="16"/>
        <v>0</v>
      </c>
      <c r="P22" s="27">
        <f t="shared" si="17"/>
        <v>2.2683885698618622E-2</v>
      </c>
      <c r="Q22" s="27">
        <f t="shared" si="18"/>
        <v>8.3996047842737412E-3</v>
      </c>
      <c r="R22" s="27">
        <f t="shared" si="19"/>
        <v>0</v>
      </c>
      <c r="S22" s="27">
        <f t="shared" si="20"/>
        <v>2.5198814352821237E-2</v>
      </c>
      <c r="T22" s="27">
        <f t="shared" si="21"/>
        <v>3.9320402763899573E-3</v>
      </c>
      <c r="U22" s="27">
        <f t="shared" si="26"/>
        <v>1.1796120829169872E-2</v>
      </c>
      <c r="V22" s="27">
        <f t="shared" si="27"/>
        <v>1.5728161105559829E-2</v>
      </c>
      <c r="W22" s="27">
        <f t="shared" si="28"/>
        <v>0.21588826238538444</v>
      </c>
      <c r="X22" s="27">
        <f t="shared" si="29"/>
        <v>1.0047823074525526E-2</v>
      </c>
      <c r="Y22" s="142">
        <f t="shared" si="30"/>
        <v>0.41291286354870271</v>
      </c>
      <c r="Z22" s="89">
        <f t="shared" si="0"/>
        <v>1.0000000000000009</v>
      </c>
      <c r="AB22" s="92">
        <f>(IF('Parameters &amp; DSA'!$H$1=1,(('Parameters &amp; DSA'!$B$76+'Parameters &amp; DSA'!$B$84+'Parameters &amp; DSA'!$B$88+'Parameters &amp; DSA'!$B$92)*($K22))/(1+cDC)^$A22,(('Parameters &amp; DSA'!$B$76+'Parameters &amp; DSA'!$B$84)*($K22))))*($AD$2/$AF$2)</f>
        <v>885.99490494589065</v>
      </c>
      <c r="AC22" s="371">
        <f>(IF('Parameters &amp; DSA'!$H$1=1,(('Parameters &amp; DSA'!$B$76+'Parameters &amp; DSA'!$B$84+'Parameters &amp; DSA'!$B$88+'Parameters &amp; DSA'!$B$92)*($M22+$N22))/(1+cDC)^$A22,(('Parameters &amp; DSA'!$B$76+'Parameters &amp; DSA'!$B$84)*($M22+$N22))))*($AD$2/$AF$2)</f>
        <v>277.64440694854738</v>
      </c>
      <c r="AD22" s="371">
        <f>(IF('Parameters &amp; DSA'!$H$1=1,(('Parameters &amp; DSA'!$B$76+'Parameters &amp; DSA'!$B$84+'Parameters &amp; DSA'!$B$88+'Parameters &amp; DSA'!$B$92)*(P22+Q22))/(1+cDC)^$A22,(('Parameters &amp; DSA'!$B$76+'Parameters &amp; DSA'!$B$84)*(P22+Q22))))*($AD$2/$AF$2)</f>
        <v>132.29088479214488</v>
      </c>
      <c r="AE22" s="371">
        <f>(IF('Parameters &amp; DSA'!$H$1=1,(('Parameters &amp; DSA'!$B$76+'Parameters &amp; DSA'!$B$84+'Parameters &amp; DSA'!$B$88+'Parameters &amp; DSA'!$B$92)*(S22+T22))/(1+cDC)^$A22,(('Parameters &amp; DSA'!$B$76+'Parameters &amp; DSA'!$B$84)*(S22+T22))))*($AD$2/$AF$2)</f>
        <v>123.98049491162236</v>
      </c>
      <c r="AF22" s="371">
        <f>(IF('Parameters &amp; DSA'!$H$1=1,(((W22-W21)*cM_Dialysis0)+(W22*cM_Dialysis1))/(1+'Parameters &amp; DSA'!$B$6)^$A22,(((W22-W21)*cM_Dialysis0)+(W22*cM_Dialysis1))))*($AD$2/$AG$2)</f>
        <v>82415.212402121295</v>
      </c>
      <c r="AG22" s="93">
        <f t="shared" si="22"/>
        <v>83835.123093719507</v>
      </c>
      <c r="AI22" s="88">
        <f t="shared" si="1"/>
        <v>0.12228157955682623</v>
      </c>
      <c r="AJ22" s="27">
        <f t="shared" si="2"/>
        <v>0.11212368542751454</v>
      </c>
      <c r="AK22" s="27">
        <f t="shared" si="3"/>
        <v>3.8319403923502325E-2</v>
      </c>
      <c r="AL22" s="27">
        <f t="shared" si="4"/>
        <v>3.5043485745962895E-2</v>
      </c>
      <c r="AM22" s="27">
        <f t="shared" si="5"/>
        <v>1.8258274695543017E-2</v>
      </c>
      <c r="AN22" s="27">
        <f t="shared" si="6"/>
        <v>1.6586850151779044E-2</v>
      </c>
      <c r="AO22" s="27">
        <f t="shared" si="7"/>
        <v>1.7111306924452483E-2</v>
      </c>
      <c r="AP22" s="27">
        <f t="shared" si="8"/>
        <v>1.4818727178191569E-2</v>
      </c>
      <c r="AQ22" s="27">
        <f t="shared" si="9"/>
        <v>0.13605023819394998</v>
      </c>
      <c r="AR22" s="27">
        <f t="shared" si="10"/>
        <v>9.5235166735764987E-2</v>
      </c>
      <c r="AS22" s="27">
        <f t="shared" si="23"/>
        <v>0.33202080329427403</v>
      </c>
      <c r="AT22" s="89">
        <f t="shared" si="24"/>
        <v>0.27380791523921305</v>
      </c>
    </row>
    <row r="23" spans="1:46">
      <c r="A23" s="80">
        <v>19</v>
      </c>
      <c r="C23" s="10">
        <f t="shared" si="25"/>
        <v>61</v>
      </c>
      <c r="D23" s="98" t="str" cm="1">
        <f t="array" ref="D23">_xlfn.IFS(C23&lt;=4,"1-4",C23&lt;=9,"5-9",C23&lt;=14,"10-14",C23&lt;=19,"15-19",C23&lt;=24,"20-24",C23&lt;=29,"25-29",C23&lt;=34,"30-34",C23&lt;=39,"35-39",C23&lt;=44,"40-44",C23&lt;=49,"45-49",C23&lt;=54,"50-54",C23&lt;=54,"50-54",C23&lt;=59,"55-59",C23&lt;=64,"60-64",C23&lt;=69,"65-69",C23&lt;=74,"70-74",C23&lt;=79,"75-79",C23&lt;=84,"80-84",C23&gt;84,"85+")</f>
        <v>60-64</v>
      </c>
      <c r="E23" s="83">
        <f>IF(D23="85+",1,VLOOKUP(D23,'Life table 2014'!$AF$3:$AR$21,7,FALSE))</f>
        <v>1.2786572991074552E-2</v>
      </c>
      <c r="F23" s="72"/>
      <c r="G23" s="316">
        <f t="shared" si="11"/>
        <v>6935</v>
      </c>
      <c r="H23" s="27">
        <f>'Parameters &amp; DSA'!$B$119*G23^'Parameters &amp; DSA'!$B$120</f>
        <v>0.80910481129583944</v>
      </c>
      <c r="I23" s="314">
        <f t="shared" si="31"/>
        <v>4.4653211852669794E-2</v>
      </c>
      <c r="J23" s="72"/>
      <c r="K23" s="140">
        <f t="shared" si="12"/>
        <v>0.18970554793204847</v>
      </c>
      <c r="L23" s="141">
        <f t="shared" si="13"/>
        <v>0</v>
      </c>
      <c r="M23" s="141">
        <f t="shared" si="14"/>
        <v>1.5808795661004037E-2</v>
      </c>
      <c r="N23" s="27">
        <f t="shared" si="15"/>
        <v>4.3701406295903765E-2</v>
      </c>
      <c r="O23" s="27">
        <f t="shared" si="16"/>
        <v>0</v>
      </c>
      <c r="P23" s="27">
        <f t="shared" si="17"/>
        <v>2.0700666140164938E-2</v>
      </c>
      <c r="Q23" s="27">
        <f t="shared" si="18"/>
        <v>7.6715097907538686E-3</v>
      </c>
      <c r="R23" s="27">
        <f t="shared" si="19"/>
        <v>0</v>
      </c>
      <c r="S23" s="27">
        <f t="shared" si="20"/>
        <v>2.301452937226162E-2</v>
      </c>
      <c r="T23" s="27">
        <f t="shared" si="21"/>
        <v>3.5947963537753006E-3</v>
      </c>
      <c r="U23" s="27">
        <f t="shared" si="26"/>
        <v>1.0784389061325901E-2</v>
      </c>
      <c r="V23" s="27">
        <f t="shared" si="27"/>
        <v>1.4379185415101203E-2</v>
      </c>
      <c r="W23" s="27">
        <f t="shared" si="28"/>
        <v>0.21844467003212018</v>
      </c>
      <c r="X23" s="27">
        <f t="shared" si="29"/>
        <v>1.0210173153925488E-2</v>
      </c>
      <c r="Y23" s="142">
        <f t="shared" si="30"/>
        <v>0.44198433079161603</v>
      </c>
      <c r="Z23" s="89">
        <f t="shared" si="0"/>
        <v>1.0000000000000009</v>
      </c>
      <c r="AB23" s="92">
        <f>(IF('Parameters &amp; DSA'!$H$1=1,(('Parameters &amp; DSA'!$B$76+'Parameters &amp; DSA'!$B$84+'Parameters &amp; DSA'!$B$88+'Parameters &amp; DSA'!$B$92)*($K23))/(1+cDC)^$A23,(('Parameters &amp; DSA'!$B$76+'Parameters &amp; DSA'!$B$84)*($K23))))*($AD$2/$AF$2)</f>
        <v>783.86802069372357</v>
      </c>
      <c r="AC23" s="371">
        <f>(IF('Parameters &amp; DSA'!$H$1=1,(('Parameters &amp; DSA'!$B$76+'Parameters &amp; DSA'!$B$84+'Parameters &amp; DSA'!$B$88+'Parameters &amp; DSA'!$B$92)*($M23+$N23))/(1+cDC)^$A23,(('Parameters &amp; DSA'!$B$76+'Parameters &amp; DSA'!$B$84)*($M23+$N23))))*($AD$2/$AF$2)</f>
        <v>245.89762781083343</v>
      </c>
      <c r="AD23" s="371">
        <f>(IF('Parameters &amp; DSA'!$H$1=1,(('Parameters &amp; DSA'!$B$76+'Parameters &amp; DSA'!$B$84+'Parameters &amp; DSA'!$B$88+'Parameters &amp; DSA'!$B$92)*(P23+Q23))/(1+cDC)^$A23,(('Parameters &amp; DSA'!$B$76+'Parameters &amp; DSA'!$B$84)*(P23+Q23))))*($AD$2/$AF$2)</f>
        <v>117.23453337121008</v>
      </c>
      <c r="AE23" s="371">
        <f>(IF('Parameters &amp; DSA'!$H$1=1,(('Parameters &amp; DSA'!$B$76+'Parameters &amp; DSA'!$B$84+'Parameters &amp; DSA'!$B$88+'Parameters &amp; DSA'!$B$92)*(S23+T23))/(1+cDC)^$A23,(('Parameters &amp; DSA'!$B$76+'Parameters &amp; DSA'!$B$84)*(S23+T23))))*($AD$2/$AF$2)</f>
        <v>109.95039268084263</v>
      </c>
      <c r="AF23" s="371">
        <f>(IF('Parameters &amp; DSA'!$H$1=1,(((W23-W22)*cM_Dialysis0)+(W23*cM_Dialysis1))/(1+'Parameters &amp; DSA'!$B$6)^$A23,(((W23-W22)*cM_Dialysis0)+(W23*cM_Dialysis1))))*($AD$2/$AG$2)</f>
        <v>80300.719149497032</v>
      </c>
      <c r="AG23" s="93">
        <f t="shared" si="22"/>
        <v>81557.669724053645</v>
      </c>
      <c r="AI23" s="88">
        <f t="shared" si="1"/>
        <v>0.10818642319434711</v>
      </c>
      <c r="AJ23" s="27">
        <f t="shared" si="2"/>
        <v>9.9199409475519654E-2</v>
      </c>
      <c r="AK23" s="27">
        <f t="shared" si="3"/>
        <v>3.3937836628780194E-2</v>
      </c>
      <c r="AL23" s="27">
        <f t="shared" si="4"/>
        <v>3.1036497762953103E-2</v>
      </c>
      <c r="AM23" s="27">
        <f t="shared" si="5"/>
        <v>1.6180255483652616E-2</v>
      </c>
      <c r="AN23" s="27">
        <f t="shared" si="6"/>
        <v>1.4699059883810409E-2</v>
      </c>
      <c r="AO23" s="27">
        <f t="shared" si="7"/>
        <v>1.5174926644445938E-2</v>
      </c>
      <c r="AP23" s="27">
        <f t="shared" si="8"/>
        <v>1.3141783902652414E-2</v>
      </c>
      <c r="AQ23" s="27">
        <f t="shared" si="9"/>
        <v>0.13277619147002984</v>
      </c>
      <c r="AR23" s="27">
        <f t="shared" si="10"/>
        <v>9.2943334029020885E-2</v>
      </c>
      <c r="AS23" s="27">
        <f t="shared" si="23"/>
        <v>0.30625563342125572</v>
      </c>
      <c r="AT23" s="89">
        <f t="shared" si="24"/>
        <v>0.25102008505395645</v>
      </c>
    </row>
    <row r="24" spans="1:46">
      <c r="A24" s="80">
        <v>20</v>
      </c>
      <c r="C24" s="10">
        <f t="shared" si="25"/>
        <v>62</v>
      </c>
      <c r="D24" s="98" t="str" cm="1">
        <f t="array" ref="D24">_xlfn.IFS(C24&lt;=4,"1-4",C24&lt;=9,"5-9",C24&lt;=14,"10-14",C24&lt;=19,"15-19",C24&lt;=24,"20-24",C24&lt;=29,"25-29",C24&lt;=34,"30-34",C24&lt;=39,"35-39",C24&lt;=44,"40-44",C24&lt;=49,"45-49",C24&lt;=54,"50-54",C24&lt;=54,"50-54",C24&lt;=59,"55-59",C24&lt;=64,"60-64",C24&lt;=69,"65-69",C24&lt;=74,"70-74",C24&lt;=79,"75-79",C24&lt;=84,"80-84",C24&gt;84,"85+")</f>
        <v>60-64</v>
      </c>
      <c r="E24" s="83">
        <f>IF(D24="85+",1,VLOOKUP(D24,'Life table 2014'!$AF$3:$AR$21,7,FALSE))</f>
        <v>1.2786572991074552E-2</v>
      </c>
      <c r="F24" s="72"/>
      <c r="G24" s="316">
        <f t="shared" si="11"/>
        <v>7300</v>
      </c>
      <c r="H24" s="27">
        <f>'Parameters &amp; DSA'!$B$119*G24^'Parameters &amp; DSA'!$B$120</f>
        <v>0.85496611723552984</v>
      </c>
      <c r="I24" s="314">
        <f t="shared" si="31"/>
        <v>4.4825569975744606E-2</v>
      </c>
      <c r="J24" s="72"/>
      <c r="K24" s="140">
        <f t="shared" si="12"/>
        <v>0.17287372070455714</v>
      </c>
      <c r="L24" s="141">
        <f t="shared" si="13"/>
        <v>0</v>
      </c>
      <c r="M24" s="141">
        <f t="shared" si="14"/>
        <v>1.4406143392046428E-2</v>
      </c>
      <c r="N24" s="27">
        <f t="shared" si="15"/>
        <v>3.9865576353627571E-2</v>
      </c>
      <c r="O24" s="27">
        <f t="shared" si="16"/>
        <v>0</v>
      </c>
      <c r="P24" s="27">
        <f t="shared" si="17"/>
        <v>1.8883694062244636E-2</v>
      </c>
      <c r="Q24" s="27">
        <f t="shared" si="18"/>
        <v>7.0023482581156229E-3</v>
      </c>
      <c r="R24" s="27">
        <f t="shared" si="19"/>
        <v>0</v>
      </c>
      <c r="S24" s="27">
        <f t="shared" si="20"/>
        <v>2.1007044774346881E-2</v>
      </c>
      <c r="T24" s="27">
        <f t="shared" si="21"/>
        <v>3.2836354550497089E-3</v>
      </c>
      <c r="U24" s="27">
        <f t="shared" si="26"/>
        <v>9.8509063651491258E-3</v>
      </c>
      <c r="V24" s="27">
        <f t="shared" si="27"/>
        <v>1.3134541820198836E-2</v>
      </c>
      <c r="W24" s="27">
        <f t="shared" si="28"/>
        <v>0.21954382078455323</v>
      </c>
      <c r="X24" s="27">
        <f t="shared" si="29"/>
        <v>1.0303015440928856E-2</v>
      </c>
      <c r="Y24" s="142">
        <f t="shared" si="30"/>
        <v>0.46984555258918276</v>
      </c>
      <c r="Z24" s="89">
        <f t="shared" si="0"/>
        <v>1.0000000000000009</v>
      </c>
      <c r="AB24" s="92">
        <f>(IF('Parameters &amp; DSA'!$H$1=1,(('Parameters &amp; DSA'!$B$76+'Parameters &amp; DSA'!$B$84+'Parameters &amp; DSA'!$B$88+'Parameters &amp; DSA'!$B$92)*($K24))/(1+cDC)^$A24,(('Parameters &amp; DSA'!$B$76+'Parameters &amp; DSA'!$B$84)*($K24))))*($AD$2/$AF$2)</f>
        <v>693.51310084996658</v>
      </c>
      <c r="AC24" s="371">
        <f>(IF('Parameters &amp; DSA'!$H$1=1,(('Parameters &amp; DSA'!$B$76+'Parameters &amp; DSA'!$B$84+'Parameters &amp; DSA'!$B$88+'Parameters &amp; DSA'!$B$92)*($M24+$N24))/(1+cDC)^$A24,(('Parameters &amp; DSA'!$B$76+'Parameters &amp; DSA'!$B$84)*($M24+$N24))))*($AD$2/$AF$2)</f>
        <v>217.72047536135753</v>
      </c>
      <c r="AD24" s="371">
        <f>(IF('Parameters &amp; DSA'!$H$1=1,(('Parameters &amp; DSA'!$B$76+'Parameters &amp; DSA'!$B$84+'Parameters &amp; DSA'!$B$88+'Parameters &amp; DSA'!$B$92)*(P24+Q24))/(1+cDC)^$A24,(('Parameters &amp; DSA'!$B$76+'Parameters &amp; DSA'!$B$84)*(P24+Q24))))*($AD$2/$AF$2)</f>
        <v>103.84637644843184</v>
      </c>
      <c r="AE24" s="371">
        <f>(IF('Parameters &amp; DSA'!$H$1=1,(('Parameters &amp; DSA'!$B$76+'Parameters &amp; DSA'!$B$84+'Parameters &amp; DSA'!$B$88+'Parameters &amp; DSA'!$B$92)*(S24+T24))/(1+cDC)^$A24,(('Parameters &amp; DSA'!$B$76+'Parameters &amp; DSA'!$B$84)*(S24+T24))))*($AD$2/$AF$2)</f>
        <v>97.446302994968349</v>
      </c>
      <c r="AF24" s="371">
        <f>(IF('Parameters &amp; DSA'!$H$1=1,(((W24-W23)*cM_Dialysis0)+(W24*cM_Dialysis1))/(1+'Parameters &amp; DSA'!$B$6)^$A24,(((W24-W23)*cM_Dialysis0)+(W24*cM_Dialysis1))))*($AD$2/$AG$2)</f>
        <v>77799.566975105379</v>
      </c>
      <c r="AG24" s="93">
        <f t="shared" si="22"/>
        <v>78912.093230760103</v>
      </c>
      <c r="AI24" s="88">
        <f t="shared" si="1"/>
        <v>9.5715987690093512E-2</v>
      </c>
      <c r="AJ24" s="27">
        <f t="shared" si="2"/>
        <v>8.7764889307473753E-2</v>
      </c>
      <c r="AK24" s="27">
        <f t="shared" si="3"/>
        <v>3.0048935361175456E-2</v>
      </c>
      <c r="AL24" s="27">
        <f t="shared" si="4"/>
        <v>2.7480057886935642E-2</v>
      </c>
      <c r="AM24" s="27">
        <f t="shared" si="5"/>
        <v>1.433247400462485E-2</v>
      </c>
      <c r="AN24" s="27">
        <f t="shared" si="6"/>
        <v>1.3020430603829874E-2</v>
      </c>
      <c r="AO24" s="27">
        <f t="shared" si="7"/>
        <v>1.3449160695710253E-2</v>
      </c>
      <c r="AP24" s="27">
        <f t="shared" si="8"/>
        <v>1.1647236766034715E-2</v>
      </c>
      <c r="AQ24" s="27">
        <f t="shared" si="9"/>
        <v>0.12882836789802762</v>
      </c>
      <c r="AR24" s="27">
        <f t="shared" si="10"/>
        <v>9.0179857528619331E-2</v>
      </c>
      <c r="AS24" s="27">
        <f t="shared" si="23"/>
        <v>0.28237492564963168</v>
      </c>
      <c r="AT24" s="89">
        <f t="shared" si="24"/>
        <v>0.2300924720928933</v>
      </c>
    </row>
    <row r="25" spans="1:46">
      <c r="A25" s="80">
        <v>21</v>
      </c>
      <c r="C25" s="10">
        <f t="shared" si="25"/>
        <v>63</v>
      </c>
      <c r="D25" s="98" t="str" cm="1">
        <f t="array" ref="D25">_xlfn.IFS(C25&lt;=4,"1-4",C25&lt;=9,"5-9",C25&lt;=14,"10-14",C25&lt;=19,"15-19",C25&lt;=24,"20-24",C25&lt;=29,"25-29",C25&lt;=34,"30-34",C25&lt;=39,"35-39",C25&lt;=44,"40-44",C25&lt;=49,"45-49",C25&lt;=54,"50-54",C25&lt;=54,"50-54",C25&lt;=59,"55-59",C25&lt;=64,"60-64",C25&lt;=69,"65-69",C25&lt;=74,"70-74",C25&lt;=79,"75-79",C25&lt;=84,"80-84",C25&gt;84,"85+")</f>
        <v>60-64</v>
      </c>
      <c r="E25" s="83">
        <f>IF(D25="85+",1,VLOOKUP(D25,'Life table 2014'!$AF$3:$AR$21,7,FALSE))</f>
        <v>1.2786572991074552E-2</v>
      </c>
      <c r="F25" s="72"/>
      <c r="G25" s="316">
        <f t="shared" si="11"/>
        <v>7665</v>
      </c>
      <c r="H25" s="27">
        <f>'Parameters &amp; DSA'!$B$119*G25^'Parameters &amp; DSA'!$B$120</f>
        <v>0.90099948470554325</v>
      </c>
      <c r="I25" s="314">
        <f t="shared" si="31"/>
        <v>4.4989904611660081E-2</v>
      </c>
      <c r="J25" s="72"/>
      <c r="K25" s="140">
        <f t="shared" si="12"/>
        <v>0.15753531531371973</v>
      </c>
      <c r="L25" s="141">
        <f t="shared" si="13"/>
        <v>0</v>
      </c>
      <c r="M25" s="141">
        <f t="shared" si="14"/>
        <v>1.3127942942809978E-2</v>
      </c>
      <c r="N25" s="27">
        <f t="shared" si="15"/>
        <v>3.6356344227003609E-2</v>
      </c>
      <c r="O25" s="27">
        <f t="shared" si="16"/>
        <v>0</v>
      </c>
      <c r="P25" s="27">
        <f t="shared" si="17"/>
        <v>1.7221426212791182E-2</v>
      </c>
      <c r="Q25" s="27">
        <f t="shared" si="18"/>
        <v>6.3887621376952286E-3</v>
      </c>
      <c r="R25" s="27">
        <f t="shared" si="19"/>
        <v>0</v>
      </c>
      <c r="S25" s="27">
        <f t="shared" si="20"/>
        <v>1.9166286413085695E-2</v>
      </c>
      <c r="T25" s="27">
        <f t="shared" si="21"/>
        <v>2.9975107092050698E-3</v>
      </c>
      <c r="U25" s="27">
        <f t="shared" si="26"/>
        <v>8.9925321276152093E-3</v>
      </c>
      <c r="V25" s="27">
        <f t="shared" si="27"/>
        <v>1.1990042836820279E-2</v>
      </c>
      <c r="W25" s="27">
        <f t="shared" si="28"/>
        <v>0.21936887851270351</v>
      </c>
      <c r="X25" s="27">
        <f t="shared" si="29"/>
        <v>1.0334325225159164E-2</v>
      </c>
      <c r="Y25" s="142">
        <f t="shared" si="30"/>
        <v>0.49652063334139213</v>
      </c>
      <c r="Z25" s="89">
        <f t="shared" si="0"/>
        <v>1.0000000000000007</v>
      </c>
      <c r="AB25" s="92">
        <f>(IF('Parameters &amp; DSA'!$H$1=1,(('Parameters &amp; DSA'!$B$76+'Parameters &amp; DSA'!$B$84+'Parameters &amp; DSA'!$B$88+'Parameters &amp; DSA'!$B$92)*($K25))/(1+cDC)^$A25,(('Parameters &amp; DSA'!$B$76+'Parameters &amp; DSA'!$B$84)*($K25))))*($AD$2/$AF$2)</f>
        <v>613.57321430830359</v>
      </c>
      <c r="AC25" s="371">
        <f>(IF('Parameters &amp; DSA'!$H$1=1,(('Parameters &amp; DSA'!$B$76+'Parameters &amp; DSA'!$B$84+'Parameters &amp; DSA'!$B$88+'Parameters &amp; DSA'!$B$92)*($M25+$N25))/(1+cDC)^$A25,(('Parameters &amp; DSA'!$B$76+'Parameters &amp; DSA'!$B$84)*($M25+$N25))))*($AD$2/$AF$2)</f>
        <v>192.73286803072423</v>
      </c>
      <c r="AD25" s="371">
        <f>(IF('Parameters &amp; DSA'!$H$1=1,(('Parameters &amp; DSA'!$B$76+'Parameters &amp; DSA'!$B$84+'Parameters &amp; DSA'!$B$88+'Parameters &amp; DSA'!$B$92)*(P25+Q25))/(1+cDC)^$A25,(('Parameters &amp; DSA'!$B$76+'Parameters &amp; DSA'!$B$84)*(P25+Q25))))*($AD$2/$AF$2)</f>
        <v>91.957661225252764</v>
      </c>
      <c r="AE25" s="371">
        <f>(IF('Parameters &amp; DSA'!$H$1=1,(('Parameters &amp; DSA'!$B$76+'Parameters &amp; DSA'!$B$84+'Parameters &amp; DSA'!$B$88+'Parameters &amp; DSA'!$B$92)*(S25+T25))/(1+cDC)^$A25,(('Parameters &amp; DSA'!$B$76+'Parameters &amp; DSA'!$B$84)*(S25+T25))))*($AD$2/$AF$2)</f>
        <v>86.324213808944791</v>
      </c>
      <c r="AF25" s="371">
        <f>(IF('Parameters &amp; DSA'!$H$1=1,(((W25-W24)*cM_Dialysis0)+(W25*cM_Dialysis1))/(1+'Parameters &amp; DSA'!$B$6)^$A25,(((W25-W24)*cM_Dialysis0)+(W25*cM_Dialysis1))))*($AD$2/$AG$2)</f>
        <v>75007.061302312155</v>
      </c>
      <c r="AG25" s="93">
        <f t="shared" si="22"/>
        <v>75991.649259685379</v>
      </c>
      <c r="AI25" s="88">
        <f t="shared" si="1"/>
        <v>8.4682994676995985E-2</v>
      </c>
      <c r="AJ25" s="27">
        <f t="shared" si="2"/>
        <v>7.7648403714076331E-2</v>
      </c>
      <c r="AK25" s="27">
        <f t="shared" si="3"/>
        <v>2.6600242737009439E-2</v>
      </c>
      <c r="AL25" s="27">
        <f t="shared" si="4"/>
        <v>2.4326193305471051E-2</v>
      </c>
      <c r="AM25" s="27">
        <f t="shared" si="5"/>
        <v>1.2691639651880568E-2</v>
      </c>
      <c r="AN25" s="27">
        <f t="shared" si="6"/>
        <v>1.1529803806572604E-2</v>
      </c>
      <c r="AO25" s="27">
        <f t="shared" si="7"/>
        <v>1.191413309448278E-2</v>
      </c>
      <c r="AP25" s="27">
        <f t="shared" si="8"/>
        <v>1.0317872776830739E-2</v>
      </c>
      <c r="AQ25" s="27">
        <f t="shared" si="9"/>
        <v>0.12436682064653841</v>
      </c>
      <c r="AR25" s="27">
        <f t="shared" si="10"/>
        <v>8.7056774452576882E-2</v>
      </c>
      <c r="AS25" s="27">
        <f t="shared" si="23"/>
        <v>0.26025583080690717</v>
      </c>
      <c r="AT25" s="89">
        <f t="shared" si="24"/>
        <v>0.2108790480555276</v>
      </c>
    </row>
    <row r="26" spans="1:46">
      <c r="A26" s="80">
        <v>22</v>
      </c>
      <c r="C26" s="10">
        <f t="shared" si="25"/>
        <v>64</v>
      </c>
      <c r="D26" s="98" t="str" cm="1">
        <f t="array" ref="D26">_xlfn.IFS(C26&lt;=4,"1-4",C26&lt;=9,"5-9",C26&lt;=14,"10-14",C26&lt;=19,"15-19",C26&lt;=24,"20-24",C26&lt;=29,"25-29",C26&lt;=34,"30-34",C26&lt;=39,"35-39",C26&lt;=44,"40-44",C26&lt;=49,"45-49",C26&lt;=54,"50-54",C26&lt;=54,"50-54",C26&lt;=59,"55-59",C26&lt;=64,"60-64",C26&lt;=69,"65-69",C26&lt;=74,"70-74",C26&lt;=79,"75-79",C26&lt;=84,"80-84",C26&gt;84,"85+")</f>
        <v>60-64</v>
      </c>
      <c r="E26" s="83">
        <f>IF(D26="85+",1,VLOOKUP(D26,'Life table 2014'!$AF$3:$AR$21,7,FALSE))</f>
        <v>1.2786572991074552E-2</v>
      </c>
      <c r="F26" s="72"/>
      <c r="G26" s="316">
        <f t="shared" si="11"/>
        <v>8030</v>
      </c>
      <c r="H26" s="27">
        <f>'Parameters &amp; DSA'!$B$119*G26^'Parameters &amp; DSA'!$B$120</f>
        <v>0.94719731427061538</v>
      </c>
      <c r="I26" s="314">
        <f t="shared" si="31"/>
        <v>4.5146954658006E-2</v>
      </c>
      <c r="J26" s="72"/>
      <c r="K26" s="140">
        <f t="shared" si="12"/>
        <v>0.14355782631303593</v>
      </c>
      <c r="L26" s="141">
        <f t="shared" si="13"/>
        <v>0</v>
      </c>
      <c r="M26" s="141">
        <f t="shared" si="14"/>
        <v>1.1963152192752994E-2</v>
      </c>
      <c r="N26" s="27">
        <f t="shared" si="15"/>
        <v>3.314926791714657E-2</v>
      </c>
      <c r="O26" s="27">
        <f t="shared" si="16"/>
        <v>0</v>
      </c>
      <c r="P26" s="27">
        <f t="shared" si="17"/>
        <v>1.5702284802858901E-2</v>
      </c>
      <c r="Q26" s="27">
        <f t="shared" si="18"/>
        <v>5.8270737384524722E-3</v>
      </c>
      <c r="R26" s="27">
        <f t="shared" si="19"/>
        <v>0</v>
      </c>
      <c r="S26" s="27">
        <f t="shared" si="20"/>
        <v>1.7481221215357428E-2</v>
      </c>
      <c r="T26" s="27">
        <f t="shared" si="21"/>
        <v>2.7350497640784037E-3</v>
      </c>
      <c r="U26" s="27">
        <f t="shared" si="26"/>
        <v>8.2051492922352101E-3</v>
      </c>
      <c r="V26" s="27">
        <f t="shared" si="27"/>
        <v>1.0940199056313615E-2</v>
      </c>
      <c r="W26" s="27">
        <f t="shared" si="28"/>
        <v>0.21808904056489581</v>
      </c>
      <c r="X26" s="27">
        <f t="shared" si="29"/>
        <v>1.0311593049656013E-2</v>
      </c>
      <c r="Y26" s="142">
        <f t="shared" si="30"/>
        <v>0.52203814209321742</v>
      </c>
      <c r="Z26" s="89">
        <f t="shared" si="0"/>
        <v>1.0000000000000007</v>
      </c>
      <c r="AB26" s="92">
        <f>(IF('Parameters &amp; DSA'!$H$1=1,(('Parameters &amp; DSA'!$B$76+'Parameters &amp; DSA'!$B$84+'Parameters &amp; DSA'!$B$88+'Parameters &amp; DSA'!$B$92)*($K26))/(1+cDC)^$A26,(('Parameters &amp; DSA'!$B$76+'Parameters &amp; DSA'!$B$84)*($K26))))*($AD$2/$AF$2)</f>
        <v>542.84784073324784</v>
      </c>
      <c r="AC26" s="371">
        <f>(IF('Parameters &amp; DSA'!$H$1=1,(('Parameters &amp; DSA'!$B$76+'Parameters &amp; DSA'!$B$84+'Parameters &amp; DSA'!$B$88+'Parameters &amp; DSA'!$B$92)*($M26+$N26))/(1+cDC)^$A26,(('Parameters &amp; DSA'!$B$76+'Parameters &amp; DSA'!$B$84)*($M26+$N26))))*($AD$2/$AF$2)</f>
        <v>170.58756374250254</v>
      </c>
      <c r="AD26" s="371">
        <f>(IF('Parameters &amp; DSA'!$H$1=1,(('Parameters &amp; DSA'!$B$76+'Parameters &amp; DSA'!$B$84+'Parameters &amp; DSA'!$B$88+'Parameters &amp; DSA'!$B$92)*(P26+Q26))/(1+cDC)^$A26,(('Parameters &amp; DSA'!$B$76+'Parameters &amp; DSA'!$B$84)*(P26+Q26))))*($AD$2/$AF$2)</f>
        <v>81.41085788689962</v>
      </c>
      <c r="AE26" s="371">
        <f>(IF('Parameters &amp; DSA'!$H$1=1,(('Parameters &amp; DSA'!$B$76+'Parameters &amp; DSA'!$B$84+'Parameters &amp; DSA'!$B$88+'Parameters &amp; DSA'!$B$92)*(S26+T26))/(1+cDC)^$A26,(('Parameters &amp; DSA'!$B$76+'Parameters &amp; DSA'!$B$84)*(S26+T26))))*($AD$2/$AF$2)</f>
        <v>76.445564346556438</v>
      </c>
      <c r="AF26" s="371">
        <f>(IF('Parameters &amp; DSA'!$H$1=1,(((W26-W25)*cM_Dialysis0)+(W26*cM_Dialysis1))/(1+'Parameters &amp; DSA'!$B$6)^$A26,(((W26-W25)*cM_Dialysis0)+(W26*cM_Dialysis1))))*($AD$2/$AG$2)</f>
        <v>72004.290596573541</v>
      </c>
      <c r="AG26" s="93">
        <f t="shared" si="22"/>
        <v>72875.582423282744</v>
      </c>
      <c r="AI26" s="88">
        <f t="shared" si="1"/>
        <v>7.4921752995778162E-2</v>
      </c>
      <c r="AJ26" s="27">
        <f t="shared" si="2"/>
        <v>6.8698025450944764E-2</v>
      </c>
      <c r="AK26" s="27">
        <f t="shared" si="3"/>
        <v>2.3543833752021327E-2</v>
      </c>
      <c r="AL26" s="27">
        <f t="shared" si="4"/>
        <v>2.1531076113327774E-2</v>
      </c>
      <c r="AM26" s="27">
        <f t="shared" si="5"/>
        <v>1.1236010771522845E-2</v>
      </c>
      <c r="AN26" s="27">
        <f t="shared" si="6"/>
        <v>1.0207428143061021E-2</v>
      </c>
      <c r="AO26" s="27">
        <f t="shared" si="7"/>
        <v>1.0550720219977803E-2</v>
      </c>
      <c r="AP26" s="27">
        <f t="shared" si="8"/>
        <v>9.1371305046170897E-3</v>
      </c>
      <c r="AQ26" s="27">
        <f t="shared" si="9"/>
        <v>0.11952864264114993</v>
      </c>
      <c r="AR26" s="27">
        <f t="shared" si="10"/>
        <v>8.3670049848804939E-2</v>
      </c>
      <c r="AS26" s="27">
        <f t="shared" si="23"/>
        <v>0.23978096038045005</v>
      </c>
      <c r="AT26" s="89">
        <f t="shared" si="24"/>
        <v>0.19324371006075558</v>
      </c>
    </row>
    <row r="27" spans="1:46">
      <c r="A27" s="80">
        <v>23</v>
      </c>
      <c r="C27" s="10">
        <f t="shared" si="25"/>
        <v>65</v>
      </c>
      <c r="D27" s="98" t="str" cm="1">
        <f t="array" ref="D27">_xlfn.IFS(C27&lt;=4,"1-4",C27&lt;=9,"5-9",C27&lt;=14,"10-14",C27&lt;=19,"15-19",C27&lt;=24,"20-24",C27&lt;=29,"25-29",C27&lt;=34,"30-34",C27&lt;=39,"35-39",C27&lt;=44,"40-44",C27&lt;=49,"45-49",C27&lt;=54,"50-54",C27&lt;=54,"50-54",C27&lt;=59,"55-59",C27&lt;=64,"60-64",C27&lt;=69,"65-69",C27&lt;=74,"70-74",C27&lt;=79,"75-79",C27&lt;=84,"80-84",C27&gt;84,"85+")</f>
        <v>65-69</v>
      </c>
      <c r="E27" s="83">
        <f>IF(D27="85+",1,VLOOKUP(D27,'Life table 2014'!$AF$3:$AR$21,7,FALSE))</f>
        <v>1.9054958178566062E-2</v>
      </c>
      <c r="F27" s="72"/>
      <c r="G27" s="316">
        <f t="shared" si="11"/>
        <v>8395</v>
      </c>
      <c r="H27" s="27">
        <f>'Parameters &amp; DSA'!$B$119*G27^'Parameters &amp; DSA'!$B$120</f>
        <v>0.99355267335900466</v>
      </c>
      <c r="I27" s="314">
        <f t="shared" si="31"/>
        <v>4.5297360356096661E-2</v>
      </c>
      <c r="J27" s="72"/>
      <c r="K27" s="140">
        <f t="shared" si="12"/>
        <v>0.12998985040286323</v>
      </c>
      <c r="L27" s="141">
        <f t="shared" si="13"/>
        <v>0</v>
      </c>
      <c r="M27" s="141">
        <f t="shared" si="14"/>
        <v>1.0832487533571937E-2</v>
      </c>
      <c r="N27" s="27">
        <f t="shared" si="15"/>
        <v>3.002868899271639E-2</v>
      </c>
      <c r="O27" s="27">
        <f t="shared" si="16"/>
        <v>0</v>
      </c>
      <c r="P27" s="27">
        <f t="shared" si="17"/>
        <v>1.422411583865513E-2</v>
      </c>
      <c r="Q27" s="27">
        <f t="shared" si="18"/>
        <v>5.2797793786738302E-3</v>
      </c>
      <c r="R27" s="27">
        <f t="shared" si="19"/>
        <v>0</v>
      </c>
      <c r="S27" s="27">
        <f t="shared" si="20"/>
        <v>1.5839338136021501E-2</v>
      </c>
      <c r="T27" s="27">
        <f t="shared" si="21"/>
        <v>2.4788813476745155E-3</v>
      </c>
      <c r="U27" s="27">
        <f t="shared" si="26"/>
        <v>7.4366440430235466E-3</v>
      </c>
      <c r="V27" s="27">
        <f t="shared" si="27"/>
        <v>9.9155253906980621E-3</v>
      </c>
      <c r="W27" s="27">
        <f t="shared" si="28"/>
        <v>0.21448836117856546</v>
      </c>
      <c r="X27" s="27">
        <f t="shared" si="29"/>
        <v>1.0176735859993008E-2</v>
      </c>
      <c r="Y27" s="142">
        <f t="shared" si="30"/>
        <v>0.54930959189754414</v>
      </c>
      <c r="Z27" s="89">
        <f t="shared" si="0"/>
        <v>1.0000000000000009</v>
      </c>
      <c r="AB27" s="92">
        <f>(IF('Parameters &amp; DSA'!$H$1=1,(('Parameters &amp; DSA'!$B$76+'Parameters &amp; DSA'!$B$84+'Parameters &amp; DSA'!$B$88+'Parameters &amp; DSA'!$B$92)*($K27))/(1+cDC)^$A27,(('Parameters &amp; DSA'!$B$76+'Parameters &amp; DSA'!$B$84)*($K27))))*($AD$2/$AF$2)</f>
        <v>477.2253005204638</v>
      </c>
      <c r="AC27" s="371">
        <f>(IF('Parameters &amp; DSA'!$H$1=1,(('Parameters &amp; DSA'!$B$76+'Parameters &amp; DSA'!$B$84+'Parameters &amp; DSA'!$B$88+'Parameters &amp; DSA'!$B$92)*($M27+$N27))/(1+cDC)^$A27,(('Parameters &amp; DSA'!$B$76+'Parameters &amp; DSA'!$B$84)*($M27+$N27))))*($AD$2/$AF$2)</f>
        <v>150.01161388326474</v>
      </c>
      <c r="AD27" s="371">
        <f>(IF('Parameters &amp; DSA'!$H$1=1,(('Parameters &amp; DSA'!$B$76+'Parameters &amp; DSA'!$B$84+'Parameters &amp; DSA'!$B$88+'Parameters &amp; DSA'!$B$92)*(P27+Q27))/(1+cDC)^$A27,(('Parameters &amp; DSA'!$B$76+'Parameters &amp; DSA'!$B$84)*(P27+Q27))))*($AD$2/$AF$2)</f>
        <v>71.60368465355532</v>
      </c>
      <c r="AE27" s="371">
        <f>(IF('Parameters &amp; DSA'!$H$1=1,(('Parameters &amp; DSA'!$B$76+'Parameters &amp; DSA'!$B$84+'Parameters &amp; DSA'!$B$88+'Parameters &amp; DSA'!$B$92)*(S27+T27))/(1+cDC)^$A27,(('Parameters &amp; DSA'!$B$76+'Parameters &amp; DSA'!$B$84)*(S27+T27))))*($AD$2/$AF$2)</f>
        <v>67.250772048846756</v>
      </c>
      <c r="AF27" s="371">
        <f>(IF('Parameters &amp; DSA'!$H$1=1,(((W27-W26)*cM_Dialysis0)+(W27*cM_Dialysis1))/(1+'Parameters &amp; DSA'!$B$6)^$A27,(((W27-W26)*cM_Dialysis0)+(W27*cM_Dialysis1))))*($AD$2/$AG$2)</f>
        <v>67944.403429008307</v>
      </c>
      <c r="AG27" s="93">
        <f t="shared" si="22"/>
        <v>68710.494800114437</v>
      </c>
      <c r="AI27" s="88">
        <f t="shared" si="1"/>
        <v>6.5864784578741217E-2</v>
      </c>
      <c r="AJ27" s="27">
        <f t="shared" si="2"/>
        <v>6.0393416683220555E-2</v>
      </c>
      <c r="AK27" s="27">
        <f t="shared" si="3"/>
        <v>2.0704020976999429E-2</v>
      </c>
      <c r="AL27" s="27">
        <f t="shared" si="4"/>
        <v>1.8934038364479943E-2</v>
      </c>
      <c r="AM27" s="27">
        <f t="shared" si="5"/>
        <v>9.8824627688579702E-3</v>
      </c>
      <c r="AN27" s="27">
        <f t="shared" si="6"/>
        <v>8.9777885266232975E-3</v>
      </c>
      <c r="AO27" s="27">
        <f t="shared" si="7"/>
        <v>9.2816906583128335E-3</v>
      </c>
      <c r="AP27" s="27">
        <f t="shared" si="8"/>
        <v>8.0381260312358174E-3</v>
      </c>
      <c r="AQ27" s="27">
        <f t="shared" si="9"/>
        <v>0.11370359764019901</v>
      </c>
      <c r="AR27" s="27">
        <f t="shared" si="10"/>
        <v>7.9592518348139296E-2</v>
      </c>
      <c r="AS27" s="27">
        <f t="shared" si="23"/>
        <v>0.21943655662311046</v>
      </c>
      <c r="AT27" s="89">
        <f t="shared" si="24"/>
        <v>0.17593588795369891</v>
      </c>
    </row>
    <row r="28" spans="1:46">
      <c r="A28" s="80">
        <v>24</v>
      </c>
      <c r="C28" s="10">
        <f t="shared" si="25"/>
        <v>66</v>
      </c>
      <c r="D28" s="98" t="str" cm="1">
        <f t="array" ref="D28">_xlfn.IFS(C28&lt;=4,"1-4",C28&lt;=9,"5-9",C28&lt;=14,"10-14",C28&lt;=19,"15-19",C28&lt;=24,"20-24",C28&lt;=29,"25-29",C28&lt;=34,"30-34",C28&lt;=39,"35-39",C28&lt;=44,"40-44",C28&lt;=49,"45-49",C28&lt;=54,"50-54",C28&lt;=54,"50-54",C28&lt;=59,"55-59",C28&lt;=64,"60-64",C28&lt;=69,"65-69",C28&lt;=74,"70-74",C28&lt;=79,"75-79",C28&lt;=84,"80-84",C28&gt;84,"85+")</f>
        <v>65-69</v>
      </c>
      <c r="E28" s="83">
        <f>IF(D28="85+",1,VLOOKUP(D28,'Life table 2014'!$AF$3:$AR$21,7,FALSE))</f>
        <v>1.9054958178566062E-2</v>
      </c>
      <c r="F28" s="72"/>
      <c r="G28" s="316">
        <f t="shared" si="11"/>
        <v>8760</v>
      </c>
      <c r="H28" s="27">
        <f>'Parameters &amp; DSA'!$B$119*G28^'Parameters &amp; DSA'!$B$120</f>
        <v>1.0400592111953153</v>
      </c>
      <c r="I28" s="314">
        <f t="shared" si="31"/>
        <v>4.5441680196473988E-2</v>
      </c>
      <c r="J28" s="72"/>
      <c r="K28" s="140">
        <f t="shared" si="12"/>
        <v>0.11770421468289104</v>
      </c>
      <c r="L28" s="141">
        <f t="shared" si="13"/>
        <v>0</v>
      </c>
      <c r="M28" s="141">
        <f t="shared" si="14"/>
        <v>9.8086845569075858E-3</v>
      </c>
      <c r="N28" s="27">
        <f t="shared" si="15"/>
        <v>2.7198885779021607E-2</v>
      </c>
      <c r="O28" s="27">
        <f t="shared" si="16"/>
        <v>0</v>
      </c>
      <c r="P28" s="27">
        <f t="shared" si="17"/>
        <v>1.2883682737431287E-2</v>
      </c>
      <c r="Q28" s="27">
        <f t="shared" si="18"/>
        <v>4.7830623274109042E-3</v>
      </c>
      <c r="R28" s="27">
        <f t="shared" si="19"/>
        <v>0</v>
      </c>
      <c r="S28" s="27">
        <f t="shared" si="20"/>
        <v>1.434918698223272E-2</v>
      </c>
      <c r="T28" s="27">
        <f t="shared" si="21"/>
        <v>2.2461458221910494E-3</v>
      </c>
      <c r="U28" s="27">
        <f t="shared" si="26"/>
        <v>6.7384374665731481E-3</v>
      </c>
      <c r="V28" s="27">
        <f t="shared" si="27"/>
        <v>8.9845832887641974E-3</v>
      </c>
      <c r="W28" s="27">
        <f t="shared" si="28"/>
        <v>0.21012489917503582</v>
      </c>
      <c r="X28" s="27">
        <f t="shared" si="29"/>
        <v>1.0002980720542716E-2</v>
      </c>
      <c r="Y28" s="142">
        <f t="shared" si="30"/>
        <v>0.57517523646099866</v>
      </c>
      <c r="Z28" s="89">
        <f t="shared" si="0"/>
        <v>1.0000000000000009</v>
      </c>
      <c r="AB28" s="92">
        <f>(IF('Parameters &amp; DSA'!$H$1=1,(('Parameters &amp; DSA'!$B$76+'Parameters &amp; DSA'!$B$84+'Parameters &amp; DSA'!$B$88+'Parameters &amp; DSA'!$B$92)*($K28))/(1+cDC)^$A28,(('Parameters &amp; DSA'!$B$76+'Parameters &amp; DSA'!$B$84)*($K28))))*($AD$2/$AF$2)</f>
        <v>419.53558689525869</v>
      </c>
      <c r="AC28" s="371">
        <f>(IF('Parameters &amp; DSA'!$H$1=1,(('Parameters &amp; DSA'!$B$76+'Parameters &amp; DSA'!$B$84+'Parameters &amp; DSA'!$B$88+'Parameters &amp; DSA'!$B$92)*($M28+$N28))/(1+cDC)^$A28,(('Parameters &amp; DSA'!$B$76+'Parameters &amp; DSA'!$B$84)*($M28+$N28))))*($AD$2/$AF$2)</f>
        <v>131.90685467194581</v>
      </c>
      <c r="AD28" s="371">
        <f>(IF('Parameters &amp; DSA'!$H$1=1,(('Parameters &amp; DSA'!$B$76+'Parameters &amp; DSA'!$B$84+'Parameters &amp; DSA'!$B$88+'Parameters &amp; DSA'!$B$92)*(P28+Q28))/(1+cDC)^$A28,(('Parameters &amp; DSA'!$B$76+'Parameters &amp; DSA'!$B$84)*(P28+Q28))))*($AD$2/$AF$2)</f>
        <v>62.969947841509487</v>
      </c>
      <c r="AE28" s="371">
        <f>(IF('Parameters &amp; DSA'!$H$1=1,(('Parameters &amp; DSA'!$B$76+'Parameters &amp; DSA'!$B$84+'Parameters &amp; DSA'!$B$88+'Parameters &amp; DSA'!$B$92)*(S28+T28))/(1+cDC)^$A28,(('Parameters &amp; DSA'!$B$76+'Parameters &amp; DSA'!$B$84)*(S28+T28))))*($AD$2/$AF$2)</f>
        <v>59.151090779403319</v>
      </c>
      <c r="AF28" s="371">
        <f>(IF('Parameters &amp; DSA'!$H$1=1,(((W28-W27)*cM_Dialysis0)+(W28*cM_Dialysis1))/(1+'Parameters &amp; DSA'!$B$6)^$A28,(((W28-W27)*cM_Dialysis0)+(W28*cM_Dialysis1))))*($AD$2/$AG$2)</f>
        <v>64343.256177002761</v>
      </c>
      <c r="AG28" s="93">
        <f t="shared" si="22"/>
        <v>65016.819657190877</v>
      </c>
      <c r="AI28" s="88">
        <f t="shared" si="1"/>
        <v>5.7902674111862333E-2</v>
      </c>
      <c r="AJ28" s="27">
        <f t="shared" si="2"/>
        <v>5.3092716344192159E-2</v>
      </c>
      <c r="AK28" s="27">
        <f t="shared" si="3"/>
        <v>1.8205272348200841E-2</v>
      </c>
      <c r="AL28" s="27">
        <f t="shared" si="4"/>
        <v>1.6648907256207622E-2</v>
      </c>
      <c r="AM28" s="27">
        <f t="shared" si="5"/>
        <v>8.6908679087054092E-3</v>
      </c>
      <c r="AN28" s="27">
        <f t="shared" si="6"/>
        <v>7.8952763113916257E-3</v>
      </c>
      <c r="AO28" s="27">
        <f t="shared" si="7"/>
        <v>8.1638040722778141E-3</v>
      </c>
      <c r="AP28" s="27">
        <f t="shared" si="8"/>
        <v>7.0700143371524036E-3</v>
      </c>
      <c r="AQ28" s="27">
        <f t="shared" si="9"/>
        <v>0.10778734637583337</v>
      </c>
      <c r="AR28" s="27">
        <f t="shared" si="10"/>
        <v>7.5451142463083348E-2</v>
      </c>
      <c r="AS28" s="27">
        <f t="shared" si="23"/>
        <v>0.20074996481687979</v>
      </c>
      <c r="AT28" s="89">
        <f t="shared" si="24"/>
        <v>0.16015805671202715</v>
      </c>
    </row>
    <row r="29" spans="1:46">
      <c r="A29" s="80">
        <v>25</v>
      </c>
      <c r="C29" s="10">
        <f t="shared" si="25"/>
        <v>67</v>
      </c>
      <c r="D29" s="98" t="str" cm="1">
        <f t="array" ref="D29">_xlfn.IFS(C29&lt;=4,"1-4",C29&lt;=9,"5-9",C29&lt;=14,"10-14",C29&lt;=19,"15-19",C29&lt;=24,"20-24",C29&lt;=29,"25-29",C29&lt;=34,"30-34",C29&lt;=39,"35-39",C29&lt;=44,"40-44",C29&lt;=49,"45-49",C29&lt;=54,"50-54",C29&lt;=54,"50-54",C29&lt;=59,"55-59",C29&lt;=64,"60-64",C29&lt;=69,"65-69",C29&lt;=74,"70-74",C29&lt;=79,"75-79",C29&lt;=84,"80-84",C29&gt;84,"85+")</f>
        <v>65-69</v>
      </c>
      <c r="E29" s="83">
        <f>IF(D29="85+",1,VLOOKUP(D29,'Life table 2014'!$AF$3:$AR$21,7,FALSE))</f>
        <v>1.9054958178566062E-2</v>
      </c>
      <c r="F29" s="72"/>
      <c r="G29" s="316">
        <f t="shared" si="11"/>
        <v>9125</v>
      </c>
      <c r="H29" s="27">
        <f>'Parameters &amp; DSA'!$B$119*G29^'Parameters &amp; DSA'!$B$120</f>
        <v>1.0867110876902621</v>
      </c>
      <c r="I29" s="314">
        <f t="shared" si="31"/>
        <v>4.5580404341029612E-2</v>
      </c>
      <c r="J29" s="72"/>
      <c r="K29" s="140">
        <f t="shared" si="12"/>
        <v>0.10657972227200085</v>
      </c>
      <c r="L29" s="141">
        <f t="shared" si="13"/>
        <v>0</v>
      </c>
      <c r="M29" s="141">
        <f t="shared" si="14"/>
        <v>8.8816435226667378E-3</v>
      </c>
      <c r="N29" s="27">
        <f t="shared" si="15"/>
        <v>2.4633766428102381E-2</v>
      </c>
      <c r="O29" s="27">
        <f t="shared" si="16"/>
        <v>0</v>
      </c>
      <c r="P29" s="27">
        <f t="shared" si="17"/>
        <v>1.1668626202785337E-2</v>
      </c>
      <c r="Q29" s="27">
        <f t="shared" si="18"/>
        <v>4.3325264941200571E-3</v>
      </c>
      <c r="R29" s="27">
        <f t="shared" si="19"/>
        <v>0</v>
      </c>
      <c r="S29" s="27">
        <f t="shared" si="20"/>
        <v>1.2997579482360178E-2</v>
      </c>
      <c r="T29" s="27">
        <f t="shared" si="21"/>
        <v>2.0348886789845109E-3</v>
      </c>
      <c r="U29" s="27">
        <f t="shared" si="26"/>
        <v>6.1046660369535322E-3</v>
      </c>
      <c r="V29" s="27">
        <f t="shared" si="27"/>
        <v>8.1395547159380435E-3</v>
      </c>
      <c r="W29" s="27">
        <f t="shared" si="28"/>
        <v>0.20513756538333824</v>
      </c>
      <c r="X29" s="27">
        <f t="shared" si="29"/>
        <v>9.796795055586803E-3</v>
      </c>
      <c r="Y29" s="142">
        <f t="shared" si="30"/>
        <v>0.59969266572716406</v>
      </c>
      <c r="Z29" s="89">
        <f t="shared" si="0"/>
        <v>1.0000000000000007</v>
      </c>
      <c r="AB29" s="92">
        <f>(IF('Parameters &amp; DSA'!$H$1=1,(('Parameters &amp; DSA'!$B$76+'Parameters &amp; DSA'!$B$84+'Parameters &amp; DSA'!$B$88+'Parameters &amp; DSA'!$B$92)*($K29))/(1+cDC)^$A29,(('Parameters &amp; DSA'!$B$76+'Parameters &amp; DSA'!$B$84)*($K29))))*($AD$2/$AF$2)</f>
        <v>368.81973457734068</v>
      </c>
      <c r="AC29" s="371">
        <f>(IF('Parameters &amp; DSA'!$H$1=1,(('Parameters &amp; DSA'!$B$76+'Parameters &amp; DSA'!$B$84+'Parameters &amp; DSA'!$B$88+'Parameters &amp; DSA'!$B$92)*($M29+$N29))/(1+cDC)^$A29,(('Parameters &amp; DSA'!$B$76+'Parameters &amp; DSA'!$B$84)*($M29+$N29))))*($AD$2/$AF$2)</f>
        <v>115.98026659092524</v>
      </c>
      <c r="AD29" s="371">
        <f>(IF('Parameters &amp; DSA'!$H$1=1,(('Parameters &amp; DSA'!$B$76+'Parameters &amp; DSA'!$B$84+'Parameters &amp; DSA'!$B$88+'Parameters &amp; DSA'!$B$92)*(P29+Q29))/(1+cDC)^$A29,(('Parameters &amp; DSA'!$B$76+'Parameters &amp; DSA'!$B$84)*(P29+Q29))))*($AD$2/$AF$2)</f>
        <v>55.372079836564915</v>
      </c>
      <c r="AE29" s="371">
        <f>(IF('Parameters &amp; DSA'!$H$1=1,(('Parameters &amp; DSA'!$B$76+'Parameters &amp; DSA'!$B$84+'Parameters &amp; DSA'!$B$88+'Parameters &amp; DSA'!$B$92)*(S29+T29))/(1+cDC)^$A29,(('Parameters &amp; DSA'!$B$76+'Parameters &amp; DSA'!$B$84)*(S29+T29))))*($AD$2/$AF$2)</f>
        <v>52.019941496563526</v>
      </c>
      <c r="AF29" s="371">
        <f>(IF('Parameters &amp; DSA'!$H$1=1,(((W29-W28)*cM_Dialysis0)+(W29*cM_Dialysis1))/(1+'Parameters &amp; DSA'!$B$6)^$A29,(((W29-W28)*cM_Dialysis0)+(W29*cM_Dialysis1))))*($AD$2/$AG$2)</f>
        <v>60749.757024722967</v>
      </c>
      <c r="AG29" s="93">
        <f t="shared" si="22"/>
        <v>61341.949047224363</v>
      </c>
      <c r="AI29" s="88">
        <f t="shared" si="1"/>
        <v>5.0903068927468556E-2</v>
      </c>
      <c r="AJ29" s="27">
        <f t="shared" si="2"/>
        <v>4.667456626258442E-2</v>
      </c>
      <c r="AK29" s="27">
        <f t="shared" si="3"/>
        <v>1.6007146448574979E-2</v>
      </c>
      <c r="AL29" s="27">
        <f t="shared" si="4"/>
        <v>1.4638698700115594E-2</v>
      </c>
      <c r="AM29" s="27">
        <f t="shared" si="5"/>
        <v>7.6422396426482405E-3</v>
      </c>
      <c r="AN29" s="27">
        <f t="shared" si="6"/>
        <v>6.9426430421454348E-3</v>
      </c>
      <c r="AO29" s="27">
        <f t="shared" si="7"/>
        <v>7.1795905136068051E-3</v>
      </c>
      <c r="AP29" s="27">
        <f t="shared" si="8"/>
        <v>6.2176661047575596E-3</v>
      </c>
      <c r="AQ29" s="27">
        <f t="shared" si="9"/>
        <v>0.10186234035550221</v>
      </c>
      <c r="AR29" s="27">
        <f t="shared" si="10"/>
        <v>7.1303638248851539E-2</v>
      </c>
      <c r="AS29" s="27">
        <f t="shared" si="23"/>
        <v>0.1835943858878008</v>
      </c>
      <c r="AT29" s="89">
        <f t="shared" si="24"/>
        <v>0.14577721235845453</v>
      </c>
    </row>
    <row r="30" spans="1:46">
      <c r="A30" s="80">
        <v>26</v>
      </c>
      <c r="C30" s="10">
        <f t="shared" si="25"/>
        <v>68</v>
      </c>
      <c r="D30" s="98" t="str" cm="1">
        <f t="array" ref="D30">_xlfn.IFS(C30&lt;=4,"1-4",C30&lt;=9,"5-9",C30&lt;=14,"10-14",C30&lt;=19,"15-19",C30&lt;=24,"20-24",C30&lt;=29,"25-29",C30&lt;=34,"30-34",C30&lt;=39,"35-39",C30&lt;=44,"40-44",C30&lt;=49,"45-49",C30&lt;=54,"50-54",C30&lt;=54,"50-54",C30&lt;=59,"55-59",C30&lt;=64,"60-64",C30&lt;=69,"65-69",C30&lt;=74,"70-74",C30&lt;=79,"75-79",C30&lt;=84,"80-84",C30&gt;84,"85+")</f>
        <v>65-69</v>
      </c>
      <c r="E30" s="83">
        <f>IF(D30="85+",1,VLOOKUP(D30,'Life table 2014'!$AF$3:$AR$21,7,FALSE))</f>
        <v>1.9054958178566062E-2</v>
      </c>
      <c r="F30" s="72"/>
      <c r="G30" s="316">
        <f t="shared" si="11"/>
        <v>9490</v>
      </c>
      <c r="H30" s="27">
        <f>'Parameters &amp; DSA'!$B$119*G30^'Parameters &amp; DSA'!$B$120</f>
        <v>1.1335029135285237</v>
      </c>
      <c r="I30" s="314">
        <f t="shared" si="31"/>
        <v>4.5713965390580147E-2</v>
      </c>
      <c r="J30" s="72"/>
      <c r="K30" s="140">
        <f t="shared" si="12"/>
        <v>9.65066308813151E-2</v>
      </c>
      <c r="L30" s="141">
        <f t="shared" si="13"/>
        <v>0</v>
      </c>
      <c r="M30" s="141">
        <f t="shared" si="14"/>
        <v>8.0422192401095917E-3</v>
      </c>
      <c r="N30" s="27">
        <f t="shared" si="15"/>
        <v>2.2309240325020525E-2</v>
      </c>
      <c r="O30" s="27">
        <f t="shared" si="16"/>
        <v>0</v>
      </c>
      <c r="P30" s="27">
        <f t="shared" si="17"/>
        <v>1.0567534890799195E-2</v>
      </c>
      <c r="Q30" s="27">
        <f t="shared" si="18"/>
        <v>3.9240628503642511E-3</v>
      </c>
      <c r="R30" s="27">
        <f t="shared" si="19"/>
        <v>0</v>
      </c>
      <c r="S30" s="27">
        <f t="shared" si="20"/>
        <v>1.1772188551092761E-2</v>
      </c>
      <c r="T30" s="27">
        <f t="shared" si="21"/>
        <v>1.8432531386512051E-3</v>
      </c>
      <c r="U30" s="27">
        <f t="shared" si="26"/>
        <v>5.5297594159536157E-3</v>
      </c>
      <c r="V30" s="27">
        <f t="shared" si="27"/>
        <v>7.3730125546048204E-3</v>
      </c>
      <c r="W30" s="27">
        <f t="shared" si="28"/>
        <v>0.19964917155147879</v>
      </c>
      <c r="X30" s="27">
        <f t="shared" si="29"/>
        <v>9.563961943860777E-3</v>
      </c>
      <c r="Y30" s="142">
        <f t="shared" si="30"/>
        <v>0.62291896465675012</v>
      </c>
      <c r="Z30" s="89">
        <f t="shared" si="0"/>
        <v>1.0000000000000009</v>
      </c>
      <c r="AB30" s="92">
        <f>(IF('Parameters &amp; DSA'!$H$1=1,(('Parameters &amp; DSA'!$B$76+'Parameters &amp; DSA'!$B$84+'Parameters &amp; DSA'!$B$88+'Parameters &amp; DSA'!$B$92)*($K30))/(1+cDC)^$A30,(('Parameters &amp; DSA'!$B$76+'Parameters &amp; DSA'!$B$84)*($K30))))*($AD$2/$AF$2)</f>
        <v>324.23470347382187</v>
      </c>
      <c r="AC30" s="371">
        <f>(IF('Parameters &amp; DSA'!$H$1=1,(('Parameters &amp; DSA'!$B$76+'Parameters &amp; DSA'!$B$84+'Parameters &amp; DSA'!$B$88+'Parameters &amp; DSA'!$B$92)*($M30+$N30))/(1+cDC)^$A30,(('Parameters &amp; DSA'!$B$76+'Parameters &amp; DSA'!$B$84)*($M30+$N30))))*($AD$2/$AF$2)</f>
        <v>101.9722313609748</v>
      </c>
      <c r="AD30" s="371">
        <f>(IF('Parameters &amp; DSA'!$H$1=1,(('Parameters &amp; DSA'!$B$76+'Parameters &amp; DSA'!$B$84+'Parameters &amp; DSA'!$B$88+'Parameters &amp; DSA'!$B$92)*(P30+Q30))/(1+cDC)^$A30,(('Parameters &amp; DSA'!$B$76+'Parameters &amp; DSA'!$B$84)*(P30+Q30))))*($AD$2/$AF$2)</f>
        <v>48.68762750868926</v>
      </c>
      <c r="AE30" s="371">
        <f>(IF('Parameters &amp; DSA'!$H$1=1,(('Parameters &amp; DSA'!$B$76+'Parameters &amp; DSA'!$B$84+'Parameters &amp; DSA'!$B$88+'Parameters &amp; DSA'!$B$92)*(S30+T30))/(1+cDC)^$A30,(('Parameters &amp; DSA'!$B$76+'Parameters &amp; DSA'!$B$84)*(S30+T30))))*($AD$2/$AF$2)</f>
        <v>45.743993533132134</v>
      </c>
      <c r="AF30" s="371">
        <f>(IF('Parameters &amp; DSA'!$H$1=1,(((W30-W29)*cM_Dialysis0)+(W30*cM_Dialysis1))/(1+'Parameters &amp; DSA'!$B$6)^$A30,(((W30-W29)*cM_Dialysis0)+(W30*cM_Dialysis1))))*($AD$2/$AG$2)</f>
        <v>57201.8913368344</v>
      </c>
      <c r="AG30" s="93">
        <f t="shared" si="22"/>
        <v>57722.52989271102</v>
      </c>
      <c r="AI30" s="88">
        <f t="shared" si="1"/>
        <v>4.474961590251976E-2</v>
      </c>
      <c r="AJ30" s="27">
        <f t="shared" si="2"/>
        <v>4.1032278734382213E-2</v>
      </c>
      <c r="AK30" s="27">
        <f t="shared" si="3"/>
        <v>1.4073811770413799E-2</v>
      </c>
      <c r="AL30" s="27">
        <f t="shared" si="4"/>
        <v>1.2870644416923479E-2</v>
      </c>
      <c r="AM30" s="27">
        <f t="shared" si="5"/>
        <v>6.7196774647372308E-3</v>
      </c>
      <c r="AN30" s="27">
        <f t="shared" si="6"/>
        <v>6.1045353427118046E-3</v>
      </c>
      <c r="AO30" s="27">
        <f t="shared" si="7"/>
        <v>6.3134085232806787E-3</v>
      </c>
      <c r="AP30" s="27">
        <f t="shared" si="8"/>
        <v>5.467535523968124E-3</v>
      </c>
      <c r="AQ30" s="27">
        <f t="shared" si="9"/>
        <v>9.5995095232794328E-2</v>
      </c>
      <c r="AR30" s="27">
        <f t="shared" si="10"/>
        <v>6.7196566662956023E-2</v>
      </c>
      <c r="AS30" s="27">
        <f t="shared" si="23"/>
        <v>0.16785160889374579</v>
      </c>
      <c r="AT30" s="89">
        <f t="shared" si="24"/>
        <v>0.13267156068094166</v>
      </c>
    </row>
    <row r="31" spans="1:46">
      <c r="A31" s="80">
        <v>27</v>
      </c>
      <c r="C31" s="10">
        <f t="shared" si="25"/>
        <v>69</v>
      </c>
      <c r="D31" s="98" t="str" cm="1">
        <f t="array" ref="D31">_xlfn.IFS(C31&lt;=4,"1-4",C31&lt;=9,"5-9",C31&lt;=14,"10-14",C31&lt;=19,"15-19",C31&lt;=24,"20-24",C31&lt;=29,"25-29",C31&lt;=34,"30-34",C31&lt;=39,"35-39",C31&lt;=44,"40-44",C31&lt;=49,"45-49",C31&lt;=54,"50-54",C31&lt;=54,"50-54",C31&lt;=59,"55-59",C31&lt;=64,"60-64",C31&lt;=69,"65-69",C31&lt;=74,"70-74",C31&lt;=79,"75-79",C31&lt;=84,"80-84",C31&gt;84,"85+")</f>
        <v>65-69</v>
      </c>
      <c r="E31" s="83">
        <f>IF(D31="85+",1,VLOOKUP(D31,'Life table 2014'!$AF$3:$AR$21,7,FALSE))</f>
        <v>1.9054958178566062E-2</v>
      </c>
      <c r="F31" s="72"/>
      <c r="G31" s="316">
        <f t="shared" si="11"/>
        <v>9855</v>
      </c>
      <c r="H31" s="27">
        <f>'Parameters &amp; DSA'!$B$119*G31^'Parameters &amp; DSA'!$B$120</f>
        <v>1.1804296993268069</v>
      </c>
      <c r="I31" s="314">
        <f t="shared" si="31"/>
        <v>4.5842747105277137E-2</v>
      </c>
      <c r="J31" s="72"/>
      <c r="K31" s="140">
        <f t="shared" si="12"/>
        <v>8.7385570214692926E-2</v>
      </c>
      <c r="L31" s="141">
        <f t="shared" si="13"/>
        <v>0</v>
      </c>
      <c r="M31" s="141">
        <f t="shared" si="14"/>
        <v>7.2821308512244108E-3</v>
      </c>
      <c r="N31" s="27">
        <f t="shared" si="15"/>
        <v>2.0203184345596585E-2</v>
      </c>
      <c r="O31" s="27">
        <f t="shared" si="16"/>
        <v>0</v>
      </c>
      <c r="P31" s="27">
        <f t="shared" si="17"/>
        <v>9.5699294268615388E-3</v>
      </c>
      <c r="Q31" s="27">
        <f t="shared" si="18"/>
        <v>3.5538652380662414E-3</v>
      </c>
      <c r="R31" s="27">
        <f t="shared" si="19"/>
        <v>0</v>
      </c>
      <c r="S31" s="27">
        <f t="shared" si="20"/>
        <v>1.0661595714198731E-2</v>
      </c>
      <c r="T31" s="27">
        <f t="shared" si="21"/>
        <v>1.6695000022203988E-3</v>
      </c>
      <c r="U31" s="27">
        <f t="shared" si="26"/>
        <v>5.0085000066611967E-3</v>
      </c>
      <c r="V31" s="27">
        <f t="shared" si="27"/>
        <v>6.678000008881595E-3</v>
      </c>
      <c r="W31" s="27">
        <f t="shared" si="28"/>
        <v>0.19376775984044628</v>
      </c>
      <c r="X31" s="27">
        <f t="shared" si="29"/>
        <v>9.3096252054604943E-3</v>
      </c>
      <c r="Y31" s="142">
        <f t="shared" si="30"/>
        <v>0.6449103391456904</v>
      </c>
      <c r="Z31" s="89">
        <f t="shared" si="0"/>
        <v>1.0000000000000009</v>
      </c>
      <c r="AB31" s="92">
        <f>(IF('Parameters &amp; DSA'!$H$1=1,(('Parameters &amp; DSA'!$B$76+'Parameters &amp; DSA'!$B$84+'Parameters &amp; DSA'!$B$88+'Parameters &amp; DSA'!$B$92)*($K31))/(1+cDC)^$A31,(('Parameters &amp; DSA'!$B$76+'Parameters &amp; DSA'!$B$84)*($K31))))*($AD$2/$AF$2)</f>
        <v>285.03936498200619</v>
      </c>
      <c r="AC31" s="371">
        <f>(IF('Parameters &amp; DSA'!$H$1=1,(('Parameters &amp; DSA'!$B$76+'Parameters &amp; DSA'!$B$84+'Parameters &amp; DSA'!$B$88+'Parameters &amp; DSA'!$B$92)*($M31+$N31))/(1+cDC)^$A31,(('Parameters &amp; DSA'!$B$76+'Parameters &amp; DSA'!$B$84)*($M31+$N31))))*($AD$2/$AF$2)</f>
        <v>89.653208999886729</v>
      </c>
      <c r="AD31" s="371">
        <f>(IF('Parameters &amp; DSA'!$H$1=1,(('Parameters &amp; DSA'!$B$76+'Parameters &amp; DSA'!$B$84+'Parameters &amp; DSA'!$B$88+'Parameters &amp; DSA'!$B$92)*(P31+Q31))/(1+cDC)^$A31,(('Parameters &amp; DSA'!$B$76+'Parameters &amp; DSA'!$B$84)*(P31+Q31))))*($AD$2/$AF$2)</f>
        <v>42.807961180028791</v>
      </c>
      <c r="AE31" s="371">
        <f>(IF('Parameters &amp; DSA'!$H$1=1,(('Parameters &amp; DSA'!$B$76+'Parameters &amp; DSA'!$B$84+'Parameters &amp; DSA'!$B$88+'Parameters &amp; DSA'!$B$92)*(S31+T31))/(1+cDC)^$A31,(('Parameters &amp; DSA'!$B$76+'Parameters &amp; DSA'!$B$84)*(S31+T31))))*($AD$2/$AF$2)</f>
        <v>40.222289376896029</v>
      </c>
      <c r="AF31" s="371">
        <f>(IF('Parameters &amp; DSA'!$H$1=1,(((W31-W30)*cM_Dialysis0)+(W31*cM_Dialysis1))/(1+'Parameters &amp; DSA'!$B$6)^$A31,(((W31-W30)*cM_Dialysis0)+(W31*cM_Dialysis1))))*($AD$2/$AG$2)</f>
        <v>53729.661933119693</v>
      </c>
      <c r="AG31" s="93">
        <f t="shared" si="22"/>
        <v>54187.38475765851</v>
      </c>
      <c r="AI31" s="88">
        <f t="shared" si="1"/>
        <v>3.9340027342485762E-2</v>
      </c>
      <c r="AJ31" s="27">
        <f t="shared" si="2"/>
        <v>3.6072063073153672E-2</v>
      </c>
      <c r="AK31" s="27">
        <f t="shared" si="3"/>
        <v>1.2373588095875047E-2</v>
      </c>
      <c r="AL31" s="27">
        <f t="shared" si="4"/>
        <v>1.131577252427631E-2</v>
      </c>
      <c r="AM31" s="27">
        <f t="shared" si="5"/>
        <v>5.9081887282646474E-3</v>
      </c>
      <c r="AN31" s="27">
        <f t="shared" si="6"/>
        <v>5.367333044237625E-3</v>
      </c>
      <c r="AO31" s="27">
        <f t="shared" si="7"/>
        <v>5.5513243371292029E-3</v>
      </c>
      <c r="AP31" s="27">
        <f t="shared" si="8"/>
        <v>4.8075556819108974E-3</v>
      </c>
      <c r="AQ31" s="27">
        <f t="shared" si="9"/>
        <v>9.023848735877478E-2</v>
      </c>
      <c r="AR31" s="27">
        <f t="shared" si="10"/>
        <v>6.3166941151142339E-2</v>
      </c>
      <c r="AS31" s="27">
        <f t="shared" si="23"/>
        <v>0.15341161586252944</v>
      </c>
      <c r="AT31" s="89">
        <f t="shared" si="24"/>
        <v>0.12072966547472085</v>
      </c>
    </row>
    <row r="32" spans="1:46">
      <c r="A32" s="80">
        <v>28</v>
      </c>
      <c r="C32" s="10">
        <f t="shared" si="25"/>
        <v>70</v>
      </c>
      <c r="D32" s="98" t="str" cm="1">
        <f t="array" ref="D32">_xlfn.IFS(C32&lt;=4,"1-4",C32&lt;=9,"5-9",C32&lt;=14,"10-14",C32&lt;=19,"15-19",C32&lt;=24,"20-24",C32&lt;=29,"25-29",C32&lt;=34,"30-34",C32&lt;=39,"35-39",C32&lt;=44,"40-44",C32&lt;=49,"45-49",C32&lt;=54,"50-54",C32&lt;=54,"50-54",C32&lt;=59,"55-59",C32&lt;=64,"60-64",C32&lt;=69,"65-69",C32&lt;=74,"70-74",C32&lt;=79,"75-79",C32&lt;=84,"80-84",C32&gt;84,"85+")</f>
        <v>70-74</v>
      </c>
      <c r="E32" s="83">
        <f>IF(D32="85+",1,VLOOKUP(D32,'Life table 2014'!$AF$3:$AR$21,7,FALSE))</f>
        <v>2.9749702885658147E-2</v>
      </c>
      <c r="F32" s="72"/>
      <c r="G32" s="316">
        <f t="shared" si="11"/>
        <v>10220</v>
      </c>
      <c r="H32" s="27">
        <f>'Parameters &amp; DSA'!$B$119*G32^'Parameters &amp; DSA'!$B$120</f>
        <v>1.2274868122027784</v>
      </c>
      <c r="I32" s="314">
        <f t="shared" si="31"/>
        <v>4.5967091528803516E-2</v>
      </c>
      <c r="J32" s="72"/>
      <c r="K32" s="140">
        <f t="shared" si="12"/>
        <v>7.8263885043980297E-2</v>
      </c>
      <c r="L32" s="141">
        <f t="shared" si="13"/>
        <v>0</v>
      </c>
      <c r="M32" s="141">
        <f t="shared" si="14"/>
        <v>6.5219904203316914E-3</v>
      </c>
      <c r="N32" s="27">
        <f t="shared" si="15"/>
        <v>1.8095895338712188E-2</v>
      </c>
      <c r="O32" s="27">
        <f t="shared" si="16"/>
        <v>0</v>
      </c>
      <c r="P32" s="27">
        <f t="shared" si="17"/>
        <v>8.5717398972847188E-3</v>
      </c>
      <c r="Q32" s="27">
        <f t="shared" si="18"/>
        <v>3.1833414182284472E-3</v>
      </c>
      <c r="R32" s="27">
        <f t="shared" si="19"/>
        <v>0</v>
      </c>
      <c r="S32" s="27">
        <f t="shared" si="20"/>
        <v>9.5500242546853464E-3</v>
      </c>
      <c r="T32" s="27">
        <f t="shared" si="21"/>
        <v>1.495531160325131E-3</v>
      </c>
      <c r="U32" s="27">
        <f t="shared" si="26"/>
        <v>4.4865934809753929E-3</v>
      </c>
      <c r="V32" s="27">
        <f t="shared" si="27"/>
        <v>5.9821246413005241E-3</v>
      </c>
      <c r="W32" s="27">
        <f t="shared" si="28"/>
        <v>0.18554276050252064</v>
      </c>
      <c r="X32" s="27">
        <f t="shared" si="29"/>
        <v>8.9397975465997613E-3</v>
      </c>
      <c r="Y32" s="142">
        <f t="shared" si="30"/>
        <v>0.66936631629505672</v>
      </c>
      <c r="Z32" s="89">
        <f t="shared" si="0"/>
        <v>1.0000000000000009</v>
      </c>
      <c r="AB32" s="92">
        <f>(IF('Parameters &amp; DSA'!$H$1=1,(('Parameters &amp; DSA'!$B$76+'Parameters &amp; DSA'!$B$84+'Parameters &amp; DSA'!$B$88+'Parameters &amp; DSA'!$B$92)*($K32))/(1+cDC)^$A32,(('Parameters &amp; DSA'!$B$76+'Parameters &amp; DSA'!$B$84)*($K32))))*($AD$2/$AF$2)</f>
        <v>247.8502123044733</v>
      </c>
      <c r="AC32" s="371">
        <f>(IF('Parameters &amp; DSA'!$H$1=1,(('Parameters &amp; DSA'!$B$76+'Parameters &amp; DSA'!$B$84+'Parameters &amp; DSA'!$B$88+'Parameters &amp; DSA'!$B$92)*($M32+$N32))/(1+cDC)^$A32,(('Parameters &amp; DSA'!$B$76+'Parameters &amp; DSA'!$B$84)*($M32+$N32))))*($AD$2/$AF$2)</f>
        <v>77.961223218570566</v>
      </c>
      <c r="AD32" s="371">
        <f>(IF('Parameters &amp; DSA'!$H$1=1,(('Parameters &amp; DSA'!$B$76+'Parameters &amp; DSA'!$B$84+'Parameters &amp; DSA'!$B$88+'Parameters &amp; DSA'!$B$92)*(P32+Q32))/(1+cDC)^$A32,(('Parameters &amp; DSA'!$B$76+'Parameters &amp; DSA'!$B$84)*(P32+Q32))))*($AD$2/$AF$2)</f>
        <v>37.226613502115924</v>
      </c>
      <c r="AE32" s="371">
        <f>(IF('Parameters &amp; DSA'!$H$1=1,(('Parameters &amp; DSA'!$B$76+'Parameters &amp; DSA'!$B$84+'Parameters &amp; DSA'!$B$88+'Parameters &amp; DSA'!$B$92)*(S32+T32))/(1+cDC)^$A32,(('Parameters &amp; DSA'!$B$76+'Parameters &amp; DSA'!$B$84)*(S32+T32))))*($AD$2/$AF$2)</f>
        <v>34.979649337529764</v>
      </c>
      <c r="AF32" s="371">
        <f>(IF('Parameters &amp; DSA'!$H$1=1,(((W32-W31)*cM_Dialysis0)+(W32*cM_Dialysis1))/(1+'Parameters &amp; DSA'!$B$6)^$A32,(((W32-W31)*cM_Dialysis0)+(W32*cM_Dialysis1))))*($AD$2/$AG$2)</f>
        <v>49178.202589945235</v>
      </c>
      <c r="AG32" s="93">
        <f t="shared" si="22"/>
        <v>49576.220288307923</v>
      </c>
      <c r="AI32" s="88">
        <f t="shared" si="1"/>
        <v>3.4207324765526341E-2</v>
      </c>
      <c r="AJ32" s="27">
        <f t="shared" si="2"/>
        <v>3.1365732559451499E-2</v>
      </c>
      <c r="AK32" s="27">
        <f t="shared" si="3"/>
        <v>1.0759905577483356E-2</v>
      </c>
      <c r="AL32" s="27">
        <f t="shared" si="4"/>
        <v>9.8400434016454198E-3</v>
      </c>
      <c r="AM32" s="27">
        <f t="shared" si="5"/>
        <v>5.1378727746388304E-3</v>
      </c>
      <c r="AN32" s="27">
        <f t="shared" si="6"/>
        <v>4.6675344320809579E-3</v>
      </c>
      <c r="AO32" s="27">
        <f t="shared" si="7"/>
        <v>4.8277554977567928E-3</v>
      </c>
      <c r="AP32" s="27">
        <f t="shared" si="8"/>
        <v>4.1809308850651386E-3</v>
      </c>
      <c r="AQ32" s="27">
        <f t="shared" si="9"/>
        <v>8.3711074950000033E-2</v>
      </c>
      <c r="AR32" s="27">
        <f t="shared" si="10"/>
        <v>5.8597752465000021E-2</v>
      </c>
      <c r="AS32" s="27">
        <f t="shared" si="23"/>
        <v>0.13864393356540536</v>
      </c>
      <c r="AT32" s="89">
        <f t="shared" si="24"/>
        <v>0.10865199374324302</v>
      </c>
    </row>
    <row r="33" spans="1:46">
      <c r="A33" s="80">
        <v>29</v>
      </c>
      <c r="C33" s="10">
        <f t="shared" si="25"/>
        <v>71</v>
      </c>
      <c r="D33" s="98" t="str" cm="1">
        <f t="array" ref="D33">_xlfn.IFS(C33&lt;=4,"1-4",C33&lt;=9,"5-9",C33&lt;=14,"10-14",C33&lt;=19,"15-19",C33&lt;=24,"20-24",C33&lt;=29,"25-29",C33&lt;=34,"30-34",C33&lt;=39,"35-39",C33&lt;=44,"40-44",C33&lt;=49,"45-49",C33&lt;=54,"50-54",C33&lt;=54,"50-54",C33&lt;=59,"55-59",C33&lt;=64,"60-64",C33&lt;=69,"65-69",C33&lt;=74,"70-74",C33&lt;=79,"75-79",C33&lt;=84,"80-84",C33&gt;84,"85+")</f>
        <v>70-74</v>
      </c>
      <c r="E33" s="83">
        <f>IF(D33="85+",1,VLOOKUP(D33,'Life table 2014'!$AF$3:$AR$21,7,FALSE))</f>
        <v>2.9749702885658147E-2</v>
      </c>
      <c r="F33" s="72"/>
      <c r="G33" s="316">
        <f t="shared" si="11"/>
        <v>10585</v>
      </c>
      <c r="H33" s="27">
        <f>'Parameters &amp; DSA'!$B$119*G33^'Parameters &amp; DSA'!$B$120</f>
        <v>1.274669938447587</v>
      </c>
      <c r="I33" s="314">
        <f t="shared" si="31"/>
        <v>4.6087304855179201E-2</v>
      </c>
      <c r="J33" s="72"/>
      <c r="K33" s="140">
        <f t="shared" si="12"/>
        <v>7.0094360969764236E-2</v>
      </c>
      <c r="L33" s="141">
        <f t="shared" si="13"/>
        <v>0</v>
      </c>
      <c r="M33" s="141">
        <f t="shared" si="14"/>
        <v>5.8411967474803527E-3</v>
      </c>
      <c r="N33" s="27">
        <f t="shared" si="15"/>
        <v>1.6208025302455208E-2</v>
      </c>
      <c r="O33" s="27">
        <f t="shared" si="16"/>
        <v>0</v>
      </c>
      <c r="P33" s="27">
        <f t="shared" si="17"/>
        <v>7.677485669584044E-3</v>
      </c>
      <c r="Q33" s="27">
        <f t="shared" si="18"/>
        <v>2.8513427847449732E-3</v>
      </c>
      <c r="R33" s="27">
        <f t="shared" si="19"/>
        <v>0</v>
      </c>
      <c r="S33" s="27">
        <f t="shared" si="20"/>
        <v>8.5540283542349244E-3</v>
      </c>
      <c r="T33" s="27">
        <f t="shared" si="21"/>
        <v>1.3396191779008555E-3</v>
      </c>
      <c r="U33" s="27">
        <f t="shared" si="26"/>
        <v>4.0188575337025663E-3</v>
      </c>
      <c r="V33" s="27">
        <f t="shared" si="27"/>
        <v>5.3584767116034221E-3</v>
      </c>
      <c r="W33" s="27">
        <f t="shared" si="28"/>
        <v>0.17726280758064486</v>
      </c>
      <c r="X33" s="27">
        <f t="shared" si="29"/>
        <v>8.5642691349378311E-3</v>
      </c>
      <c r="Y33" s="142">
        <f t="shared" si="30"/>
        <v>0.69222953003294763</v>
      </c>
      <c r="Z33" s="89">
        <f t="shared" si="0"/>
        <v>1.0000000000000009</v>
      </c>
      <c r="AB33" s="92">
        <f>(IF('Parameters &amp; DSA'!$H$1=1,(('Parameters &amp; DSA'!$B$76+'Parameters &amp; DSA'!$B$84+'Parameters &amp; DSA'!$B$88+'Parameters &amp; DSA'!$B$92)*($K33))/(1+cDC)^$A33,(('Parameters &amp; DSA'!$B$76+'Parameters &amp; DSA'!$B$84)*($K33))))*($AD$2/$AF$2)</f>
        <v>215.51313708283908</v>
      </c>
      <c r="AC33" s="371">
        <f>(IF('Parameters &amp; DSA'!$H$1=1,(('Parameters &amp; DSA'!$B$76+'Parameters &amp; DSA'!$B$84+'Parameters &amp; DSA'!$B$88+'Parameters &amp; DSA'!$B$92)*($M33+$N33))/(1+cDC)^$A33,(('Parameters &amp; DSA'!$B$76+'Parameters &amp; DSA'!$B$84)*($M33+$N33))))*($AD$2/$AF$2)</f>
        <v>67.792857349359238</v>
      </c>
      <c r="AD33" s="371">
        <f>(IF('Parameters &amp; DSA'!$H$1=1,(('Parameters &amp; DSA'!$B$76+'Parameters &amp; DSA'!$B$84+'Parameters &amp; DSA'!$B$88+'Parameters &amp; DSA'!$B$92)*(P33+Q33))/(1+cDC)^$A33,(('Parameters &amp; DSA'!$B$76+'Parameters &amp; DSA'!$B$84)*(P33+Q33))))*($AD$2/$AF$2)</f>
        <v>32.372088404918934</v>
      </c>
      <c r="AE33" s="371">
        <f>(IF('Parameters &amp; DSA'!$H$1=1,(('Parameters &amp; DSA'!$B$76+'Parameters &amp; DSA'!$B$84+'Parameters &amp; DSA'!$B$88+'Parameters &amp; DSA'!$B$92)*(S33+T33))/(1+cDC)^$A33,(('Parameters &amp; DSA'!$B$76+'Parameters &amp; DSA'!$B$84)*(S33+T33))))*($AD$2/$AF$2)</f>
        <v>30.419151945221635</v>
      </c>
      <c r="AF33" s="371">
        <f>(IF('Parameters &amp; DSA'!$H$1=1,(((W33-W32)*cM_Dialysis0)+(W33*cM_Dialysis1))/(1+'Parameters &amp; DSA'!$B$6)^$A33,(((W33-W32)*cM_Dialysis0)+(W33*cM_Dialysis1))))*($AD$2/$AG$2)</f>
        <v>45493.135207370964</v>
      </c>
      <c r="AG33" s="93">
        <f t="shared" si="22"/>
        <v>45839.232442153305</v>
      </c>
      <c r="AI33" s="88">
        <f t="shared" si="1"/>
        <v>2.9744287095359572E-2</v>
      </c>
      <c r="AJ33" s="27">
        <f t="shared" si="2"/>
        <v>2.7273438089634179E-2</v>
      </c>
      <c r="AK33" s="27">
        <f t="shared" si="3"/>
        <v>9.3565071684656217E-3</v>
      </c>
      <c r="AL33" s="27">
        <f t="shared" si="4"/>
        <v>8.5566212419349291E-3</v>
      </c>
      <c r="AM33" s="27">
        <f t="shared" si="5"/>
        <v>4.4678700538898237E-3</v>
      </c>
      <c r="AN33" s="27">
        <f t="shared" si="6"/>
        <v>4.058866038398566E-3</v>
      </c>
      <c r="AO33" s="27">
        <f t="shared" si="7"/>
        <v>4.1983333401538845E-3</v>
      </c>
      <c r="AP33" s="27">
        <f t="shared" si="8"/>
        <v>3.6358389599067311E-3</v>
      </c>
      <c r="AQ33" s="27">
        <f t="shared" si="9"/>
        <v>7.7494677668222461E-2</v>
      </c>
      <c r="AR33" s="27">
        <f t="shared" si="10"/>
        <v>5.4246274367755719E-2</v>
      </c>
      <c r="AS33" s="27">
        <f t="shared" si="23"/>
        <v>0.12526167532609137</v>
      </c>
      <c r="AT33" s="89">
        <f t="shared" si="24"/>
        <v>9.7771038697630125E-2</v>
      </c>
    </row>
    <row r="34" spans="1:46">
      <c r="A34" s="80">
        <v>30</v>
      </c>
      <c r="C34" s="10">
        <f t="shared" si="25"/>
        <v>72</v>
      </c>
      <c r="D34" s="98" t="str" cm="1">
        <f t="array" ref="D34">_xlfn.IFS(C34&lt;=4,"1-4",C34&lt;=9,"5-9",C34&lt;=14,"10-14",C34&lt;=19,"15-19",C34&lt;=24,"20-24",C34&lt;=29,"25-29",C34&lt;=34,"30-34",C34&lt;=39,"35-39",C34&lt;=44,"40-44",C34&lt;=49,"45-49",C34&lt;=54,"50-54",C34&lt;=54,"50-54",C34&lt;=59,"55-59",C34&lt;=64,"60-64",C34&lt;=69,"65-69",C34&lt;=74,"70-74",C34&lt;=79,"75-79",C34&lt;=84,"80-84",C34&gt;84,"85+")</f>
        <v>70-74</v>
      </c>
      <c r="E34" s="83">
        <f>IF(D34="85+",1,VLOOKUP(D34,'Life table 2014'!$AF$3:$AR$21,7,FALSE))</f>
        <v>2.9749702885658147E-2</v>
      </c>
      <c r="F34" s="72"/>
      <c r="G34" s="316">
        <f t="shared" si="11"/>
        <v>10950</v>
      </c>
      <c r="H34" s="27">
        <f>'Parameters &amp; DSA'!$B$119*G34^'Parameters &amp; DSA'!$B$120</f>
        <v>1.3219750512627304</v>
      </c>
      <c r="I34" s="314">
        <f t="shared" si="31"/>
        <v>4.6203662296091852E-2</v>
      </c>
      <c r="J34" s="72"/>
      <c r="K34" s="140">
        <f t="shared" si="12"/>
        <v>6.2777607283341863E-2</v>
      </c>
      <c r="L34" s="141">
        <f t="shared" si="13"/>
        <v>0</v>
      </c>
      <c r="M34" s="141">
        <f t="shared" si="14"/>
        <v>5.2314672736118216E-3</v>
      </c>
      <c r="N34" s="27">
        <f t="shared" si="15"/>
        <v>1.4516857880596838E-2</v>
      </c>
      <c r="O34" s="27">
        <f t="shared" si="16"/>
        <v>0</v>
      </c>
      <c r="P34" s="27">
        <f t="shared" si="17"/>
        <v>6.8764063644932375E-3</v>
      </c>
      <c r="Q34" s="27">
        <f t="shared" si="18"/>
        <v>2.553899734019665E-3</v>
      </c>
      <c r="R34" s="27">
        <f t="shared" si="19"/>
        <v>0</v>
      </c>
      <c r="S34" s="27">
        <f t="shared" si="20"/>
        <v>7.6616992020589999E-3</v>
      </c>
      <c r="T34" s="27">
        <f t="shared" si="21"/>
        <v>1.1999143071999144E-3</v>
      </c>
      <c r="U34" s="27">
        <f t="shared" si="26"/>
        <v>3.5997429215997431E-3</v>
      </c>
      <c r="V34" s="27">
        <f t="shared" si="27"/>
        <v>4.7996572287996577E-3</v>
      </c>
      <c r="W34" s="27">
        <f t="shared" si="28"/>
        <v>0.1690016044108445</v>
      </c>
      <c r="X34" s="27">
        <f t="shared" si="29"/>
        <v>8.1867509331120924E-3</v>
      </c>
      <c r="Y34" s="142">
        <f t="shared" si="30"/>
        <v>0.71359439246032252</v>
      </c>
      <c r="Z34" s="89">
        <f t="shared" si="0"/>
        <v>1.0000000000000009</v>
      </c>
      <c r="AB34" s="92">
        <f>(IF('Parameters &amp; DSA'!$H$1=1,(('Parameters &amp; DSA'!$B$76+'Parameters &amp; DSA'!$B$84+'Parameters &amp; DSA'!$B$88+'Parameters &amp; DSA'!$B$92)*($K34))/(1+cDC)^$A34,(('Parameters &amp; DSA'!$B$76+'Parameters &amp; DSA'!$B$84)*($K34))))*($AD$2/$AF$2)</f>
        <v>187.39508763555062</v>
      </c>
      <c r="AC34" s="371">
        <f>(IF('Parameters &amp; DSA'!$H$1=1,(('Parameters &amp; DSA'!$B$76+'Parameters &amp; DSA'!$B$84+'Parameters &amp; DSA'!$B$88+'Parameters &amp; DSA'!$B$92)*($M34+$N34))/(1+cDC)^$A34,(('Parameters &amp; DSA'!$B$76+'Parameters &amp; DSA'!$B$84)*($M34+$N34))))*($AD$2/$AF$2)</f>
        <v>58.949986835676626</v>
      </c>
      <c r="AD34" s="371">
        <f>(IF('Parameters &amp; DSA'!$H$1=1,(('Parameters &amp; DSA'!$B$76+'Parameters &amp; DSA'!$B$84+'Parameters &amp; DSA'!$B$88+'Parameters &amp; DSA'!$B$92)*(P34+Q34))/(1+cDC)^$A34,(('Parameters &amp; DSA'!$B$76+'Parameters &amp; DSA'!$B$84)*(P34+Q34))))*($AD$2/$AF$2)</f>
        <v>28.150054043710266</v>
      </c>
      <c r="AE34" s="371">
        <f>(IF('Parameters &amp; DSA'!$H$1=1,(('Parameters &amp; DSA'!$B$76+'Parameters &amp; DSA'!$B$84+'Parameters &amp; DSA'!$B$88+'Parameters &amp; DSA'!$B$92)*(S34+T34))/(1+cDC)^$A34,(('Parameters &amp; DSA'!$B$76+'Parameters &amp; DSA'!$B$84)*(S34+T34))))*($AD$2/$AF$2)</f>
        <v>26.452471064481017</v>
      </c>
      <c r="AF34" s="371">
        <f>(IF('Parameters &amp; DSA'!$H$1=1,(((W34-W33)*cM_Dialysis0)+(W34*cM_Dialysis1))/(1+'Parameters &amp; DSA'!$B$6)^$A34,(((W34-W33)*cM_Dialysis0)+(W34*cM_Dialysis1))))*($AD$2/$AG$2)</f>
        <v>42006.618243915327</v>
      </c>
      <c r="AG34" s="93">
        <f t="shared" si="22"/>
        <v>42307.565843494747</v>
      </c>
      <c r="AI34" s="88">
        <f t="shared" si="1"/>
        <v>2.5863542994826211E-2</v>
      </c>
      <c r="AJ34" s="27">
        <f t="shared" si="2"/>
        <v>2.3715066237308895E-2</v>
      </c>
      <c r="AK34" s="27">
        <f t="shared" si="3"/>
        <v>8.1360484861488988E-3</v>
      </c>
      <c r="AL34" s="27">
        <f t="shared" si="4"/>
        <v>7.4404993282777268E-3</v>
      </c>
      <c r="AM34" s="27">
        <f t="shared" si="5"/>
        <v>3.8851612507694254E-3</v>
      </c>
      <c r="AN34" s="27">
        <f t="shared" si="6"/>
        <v>3.5295003803257393E-3</v>
      </c>
      <c r="AO34" s="27">
        <f t="shared" si="7"/>
        <v>3.6508674337619638E-3</v>
      </c>
      <c r="AP34" s="27">
        <f t="shared" si="8"/>
        <v>3.1617227546395623E-3</v>
      </c>
      <c r="AQ34" s="27">
        <f t="shared" si="9"/>
        <v>7.1603818582693296E-2</v>
      </c>
      <c r="AR34" s="27">
        <f t="shared" si="10"/>
        <v>5.0122673007885303E-2</v>
      </c>
      <c r="AS34" s="27">
        <f t="shared" si="23"/>
        <v>0.11313943874819979</v>
      </c>
      <c r="AT34" s="89">
        <f t="shared" si="24"/>
        <v>8.7969461708437224E-2</v>
      </c>
    </row>
    <row r="35" spans="1:46">
      <c r="A35" s="80">
        <v>31</v>
      </c>
      <c r="C35" s="10">
        <f t="shared" si="25"/>
        <v>73</v>
      </c>
      <c r="D35" s="98" t="str" cm="1">
        <f t="array" ref="D35">_xlfn.IFS(C35&lt;=4,"1-4",C35&lt;=9,"5-9",C35&lt;=14,"10-14",C35&lt;=19,"15-19",C35&lt;=24,"20-24",C35&lt;=29,"25-29",C35&lt;=34,"30-34",C35&lt;=39,"35-39",C35&lt;=44,"40-44",C35&lt;=49,"45-49",C35&lt;=54,"50-54",C35&lt;=54,"50-54",C35&lt;=59,"55-59",C35&lt;=64,"60-64",C35&lt;=69,"65-69",C35&lt;=74,"70-74",C35&lt;=79,"75-79",C35&lt;=84,"80-84",C35&gt;84,"85+")</f>
        <v>70-74</v>
      </c>
      <c r="E35" s="83">
        <f>IF(D35="85+",1,VLOOKUP(D35,'Life table 2014'!$AF$3:$AR$21,7,FALSE))</f>
        <v>2.9749702885658147E-2</v>
      </c>
      <c r="F35" s="72"/>
      <c r="G35" s="316">
        <f t="shared" si="11"/>
        <v>11315</v>
      </c>
      <c r="H35" s="27">
        <f>'Parameters &amp; DSA'!$B$119*G35^'Parameters &amp; DSA'!$B$120</f>
        <v>1.3693983827277445</v>
      </c>
      <c r="I35" s="314">
        <f t="shared" si="31"/>
        <v>4.6316412146687913E-2</v>
      </c>
      <c r="J35" s="72"/>
      <c r="K35" s="140">
        <f t="shared" si="12"/>
        <v>5.6224608109652227E-2</v>
      </c>
      <c r="L35" s="141">
        <f t="shared" si="13"/>
        <v>0</v>
      </c>
      <c r="M35" s="141">
        <f t="shared" si="14"/>
        <v>4.6853840091376862E-3</v>
      </c>
      <c r="N35" s="27">
        <f t="shared" si="15"/>
        <v>1.3001983879258933E-2</v>
      </c>
      <c r="O35" s="27">
        <f t="shared" si="16"/>
        <v>0</v>
      </c>
      <c r="P35" s="27">
        <f t="shared" si="17"/>
        <v>6.1588344691226515E-3</v>
      </c>
      <c r="Q35" s="27">
        <f t="shared" si="18"/>
        <v>2.2874393234903322E-3</v>
      </c>
      <c r="R35" s="27">
        <f t="shared" si="19"/>
        <v>0</v>
      </c>
      <c r="S35" s="27">
        <f t="shared" si="20"/>
        <v>6.8623179704710002E-3</v>
      </c>
      <c r="T35" s="27">
        <f t="shared" si="21"/>
        <v>1.0747478925338659E-3</v>
      </c>
      <c r="U35" s="27">
        <f t="shared" si="26"/>
        <v>3.2242436776015976E-3</v>
      </c>
      <c r="V35" s="27">
        <f t="shared" si="27"/>
        <v>4.2989915701354634E-3</v>
      </c>
      <c r="W35" s="27">
        <f t="shared" si="28"/>
        <v>0.16082035555052504</v>
      </c>
      <c r="X35" s="27">
        <f t="shared" si="29"/>
        <v>7.8103701941871868E-3</v>
      </c>
      <c r="Y35" s="142">
        <f t="shared" si="30"/>
        <v>0.73355072335388494</v>
      </c>
      <c r="Z35" s="89">
        <f t="shared" si="0"/>
        <v>1.0000000000000009</v>
      </c>
      <c r="AB35" s="92">
        <f>(IF('Parameters &amp; DSA'!$H$1=1,(('Parameters &amp; DSA'!$B$76+'Parameters &amp; DSA'!$B$84+'Parameters &amp; DSA'!$B$88+'Parameters &amp; DSA'!$B$92)*($K35))/(1+cDC)^$A35,(('Parameters &amp; DSA'!$B$76+'Parameters &amp; DSA'!$B$84)*($K35))))*($AD$2/$AF$2)</f>
        <v>162.94560668214584</v>
      </c>
      <c r="AC35" s="371">
        <f>(IF('Parameters &amp; DSA'!$H$1=1,(('Parameters &amp; DSA'!$B$76+'Parameters &amp; DSA'!$B$84+'Parameters &amp; DSA'!$B$88+'Parameters &amp; DSA'!$B$92)*($M35+$N35))/(1+cDC)^$A35,(('Parameters &amp; DSA'!$B$76+'Parameters &amp; DSA'!$B$84)*($M35+$N35))))*($AD$2/$AF$2)</f>
        <v>51.260097457047777</v>
      </c>
      <c r="AD35" s="371">
        <f>(IF('Parameters &amp; DSA'!$H$1=1,(('Parameters &amp; DSA'!$B$76+'Parameters &amp; DSA'!$B$84+'Parameters &amp; DSA'!$B$88+'Parameters &amp; DSA'!$B$92)*(P35+Q35))/(1+cDC)^$A35,(('Parameters &amp; DSA'!$B$76+'Parameters &amp; DSA'!$B$84)*(P35+Q35))))*($AD$2/$AF$2)</f>
        <v>24.478306805744744</v>
      </c>
      <c r="AE35" s="371">
        <f>(IF('Parameters &amp; DSA'!$H$1=1,(('Parameters &amp; DSA'!$B$76+'Parameters &amp; DSA'!$B$84+'Parameters &amp; DSA'!$B$88+'Parameters &amp; DSA'!$B$92)*(S35+T35))/(1+cDC)^$A35,(('Parameters &amp; DSA'!$B$76+'Parameters &amp; DSA'!$B$84)*(S35+T35))))*($AD$2/$AF$2)</f>
        <v>23.002561615035095</v>
      </c>
      <c r="AF35" s="371">
        <f>(IF('Parameters &amp; DSA'!$H$1=1,(((W35-W34)*cM_Dialysis0)+(W35*cM_Dialysis1))/(1+'Parameters &amp; DSA'!$B$6)^$A35,(((W35-W34)*cM_Dialysis0)+(W35*cM_Dialysis1))))*($AD$2/$AG$2)</f>
        <v>38721.64494082467</v>
      </c>
      <c r="AG35" s="93">
        <f t="shared" si="22"/>
        <v>38983.331513384641</v>
      </c>
      <c r="AI35" s="88">
        <f t="shared" si="1"/>
        <v>2.2489120485579998E-2</v>
      </c>
      <c r="AJ35" s="27">
        <f t="shared" si="2"/>
        <v>2.0620955993579014E-2</v>
      </c>
      <c r="AK35" s="27">
        <f t="shared" si="3"/>
        <v>7.0747197870934279E-3</v>
      </c>
      <c r="AL35" s="27">
        <f t="shared" si="4"/>
        <v>6.4699034074387684E-3</v>
      </c>
      <c r="AM35" s="27">
        <f t="shared" si="5"/>
        <v>3.3784009415560694E-3</v>
      </c>
      <c r="AN35" s="27">
        <f t="shared" si="6"/>
        <v>3.0691306328028251E-3</v>
      </c>
      <c r="AO35" s="27">
        <f t="shared" si="7"/>
        <v>3.1747243154987368E-3</v>
      </c>
      <c r="AP35" s="27">
        <f t="shared" si="8"/>
        <v>2.7493734818184899E-3</v>
      </c>
      <c r="AQ35" s="27">
        <f t="shared" si="9"/>
        <v>6.6045616265653501E-2</v>
      </c>
      <c r="AR35" s="27">
        <f t="shared" si="10"/>
        <v>4.623193138595745E-2</v>
      </c>
      <c r="AS35" s="27">
        <f t="shared" si="23"/>
        <v>0.10216258179538174</v>
      </c>
      <c r="AT35" s="89">
        <f t="shared" si="24"/>
        <v>7.9141294901596548E-2</v>
      </c>
    </row>
    <row r="36" spans="1:46">
      <c r="A36" s="80">
        <v>32</v>
      </c>
      <c r="C36" s="10">
        <f t="shared" si="25"/>
        <v>74</v>
      </c>
      <c r="D36" s="98" t="str" cm="1">
        <f t="array" ref="D36">_xlfn.IFS(C36&lt;=4,"1-4",C36&lt;=9,"5-9",C36&lt;=14,"10-14",C36&lt;=19,"15-19",C36&lt;=24,"20-24",C36&lt;=29,"25-29",C36&lt;=34,"30-34",C36&lt;=39,"35-39",C36&lt;=44,"40-44",C36&lt;=49,"45-49",C36&lt;=54,"50-54",C36&lt;=54,"50-54",C36&lt;=59,"55-59",C36&lt;=64,"60-64",C36&lt;=69,"65-69",C36&lt;=74,"70-74",C36&lt;=79,"75-79",C36&lt;=84,"80-84",C36&gt;84,"85+")</f>
        <v>70-74</v>
      </c>
      <c r="E36" s="83">
        <f>IF(D36="85+",1,VLOOKUP(D36,'Life table 2014'!$AF$3:$AR$21,7,FALSE))</f>
        <v>2.9749702885658147E-2</v>
      </c>
      <c r="F36" s="72"/>
      <c r="G36" s="316">
        <f t="shared" si="11"/>
        <v>11680</v>
      </c>
      <c r="H36" s="27">
        <f>'Parameters &amp; DSA'!$B$119*G36^'Parameters &amp; DSA'!$B$120</f>
        <v>1.4169363993249124</v>
      </c>
      <c r="I36" s="314">
        <f t="shared" si="31"/>
        <v>4.6425779203486339E-2</v>
      </c>
      <c r="J36" s="72"/>
      <c r="K36" s="140">
        <f t="shared" si="12"/>
        <v>5.035563943710232E-2</v>
      </c>
      <c r="L36" s="141">
        <f t="shared" si="13"/>
        <v>0</v>
      </c>
      <c r="M36" s="141">
        <f t="shared" si="14"/>
        <v>4.1963032864251928E-3</v>
      </c>
      <c r="N36" s="27">
        <f t="shared" si="15"/>
        <v>1.1645082322459368E-2</v>
      </c>
      <c r="O36" s="27">
        <f t="shared" si="16"/>
        <v>0</v>
      </c>
      <c r="P36" s="27">
        <f t="shared" si="17"/>
        <v>5.5160916264281202E-3</v>
      </c>
      <c r="Q36" s="27">
        <f t="shared" si="18"/>
        <v>2.0487499141979555E-3</v>
      </c>
      <c r="R36" s="27">
        <f t="shared" si="19"/>
        <v>0</v>
      </c>
      <c r="S36" s="27">
        <f t="shared" si="20"/>
        <v>6.1462497425938704E-3</v>
      </c>
      <c r="T36" s="27">
        <f t="shared" si="21"/>
        <v>9.6261756397457139E-4</v>
      </c>
      <c r="U36" s="27">
        <f t="shared" si="26"/>
        <v>2.8878526919237143E-3</v>
      </c>
      <c r="V36" s="27">
        <f t="shared" si="27"/>
        <v>3.8504702558982856E-3</v>
      </c>
      <c r="W36" s="27">
        <f t="shared" si="28"/>
        <v>0.15276935635584346</v>
      </c>
      <c r="X36" s="27">
        <f t="shared" si="29"/>
        <v>7.4377392473035297E-3</v>
      </c>
      <c r="Y36" s="142">
        <f t="shared" si="30"/>
        <v>0.75218384755585055</v>
      </c>
      <c r="Z36" s="89">
        <f t="shared" ref="Z36:Z67" si="32">SUM(K36:Y36)</f>
        <v>1.0000000000000009</v>
      </c>
      <c r="AB36" s="92">
        <f>(IF('Parameters &amp; DSA'!$H$1=1,(('Parameters &amp; DSA'!$B$76+'Parameters &amp; DSA'!$B$84+'Parameters &amp; DSA'!$B$88+'Parameters &amp; DSA'!$B$92)*($K36))/(1+cDC)^$A36,(('Parameters &amp; DSA'!$B$76+'Parameters &amp; DSA'!$B$84)*($K36))))*($AD$2/$AF$2)</f>
        <v>141.68605523240814</v>
      </c>
      <c r="AC36" s="371">
        <f>(IF('Parameters &amp; DSA'!$H$1=1,(('Parameters &amp; DSA'!$B$76+'Parameters &amp; DSA'!$B$84+'Parameters &amp; DSA'!$B$88+'Parameters &amp; DSA'!$B$92)*($M36+$N36))/(1+cDC)^$A36,(('Parameters &amp; DSA'!$B$76+'Parameters &amp; DSA'!$B$84)*($M36+$N36))))*($AD$2/$AF$2)</f>
        <v>44.573030179506183</v>
      </c>
      <c r="AD36" s="371">
        <f>(IF('Parameters &amp; DSA'!$H$1=1,(('Parameters &amp; DSA'!$B$76+'Parameters &amp; DSA'!$B$84+'Parameters &amp; DSA'!$B$88+'Parameters &amp; DSA'!$B$92)*(P36+Q36))/(1+cDC)^$A36,(('Parameters &amp; DSA'!$B$76+'Parameters &amp; DSA'!$B$84)*(P36+Q36))))*($AD$2/$AF$2)</f>
        <v>21.285253614708932</v>
      </c>
      <c r="AE36" s="371">
        <f>(IF('Parameters &amp; DSA'!$H$1=1,(('Parameters &amp; DSA'!$B$76+'Parameters &amp; DSA'!$B$84+'Parameters &amp; DSA'!$B$88+'Parameters &amp; DSA'!$B$92)*(S36+T36))/(1+cDC)^$A36,(('Parameters &amp; DSA'!$B$76+'Parameters &amp; DSA'!$B$84)*(S36+T36))))*($AD$2/$AF$2)</f>
        <v>20.002275357786161</v>
      </c>
      <c r="AF36" s="371">
        <f>(IF('Parameters &amp; DSA'!$H$1=1,(((W36-W35)*cM_Dialysis0)+(W36*cM_Dialysis1))/(1+'Parameters &amp; DSA'!$B$6)^$A36,(((W36-W35)*cM_Dialysis0)+(W36*cM_Dialysis1))))*($AD$2/$AG$2)</f>
        <v>35637.901582696722</v>
      </c>
      <c r="AG36" s="93">
        <f t="shared" si="22"/>
        <v>35865.448197081132</v>
      </c>
      <c r="AI36" s="88">
        <f t="shared" ref="AI36:AI67" si="33">K36/((1+cDO)^$A36)</f>
        <v>1.9554959671074741E-2</v>
      </c>
      <c r="AJ36" s="27">
        <f t="shared" ref="AJ36:AJ67" si="34">AI36*u3aCT</f>
        <v>1.7930535037686463E-2</v>
      </c>
      <c r="AK36" s="27">
        <f t="shared" ref="AK36:AK67" si="35">(M36+N36)/((1+cDO)^$A36)</f>
        <v>6.1517967039742411E-3</v>
      </c>
      <c r="AL36" s="27">
        <f t="shared" ref="AL36:AL67" si="36">AK36*u3bCT</f>
        <v>5.6258808341108245E-3</v>
      </c>
      <c r="AM36" s="27">
        <f t="shared" ref="AM36:AM67" si="37">(P36+Q36)/((1+cDO)^$A36)</f>
        <v>2.9377081276028448E-3</v>
      </c>
      <c r="AN36" s="27">
        <f t="shared" ref="AN36:AN67" si="38">AM36*u4CT</f>
        <v>2.6687803373944465E-3</v>
      </c>
      <c r="AO36" s="27">
        <f t="shared" ref="AO36:AO67" si="39">(S36+T36)/((1+cDO)^$A36)</f>
        <v>2.7606364459060286E-3</v>
      </c>
      <c r="AP36" s="27">
        <f t="shared" ref="AP36:AP67" si="40">AO36*u5CT</f>
        <v>2.3907652706289606E-3</v>
      </c>
      <c r="AQ36" s="27">
        <f t="shared" ref="AQ36:AQ67" si="41">(V36+W36)/((1+cDO)^$A36)</f>
        <v>6.082127895344961E-2</v>
      </c>
      <c r="AR36" s="27">
        <f t="shared" ref="AR36:AR67" si="42">AQ36*uDialysisCT</f>
        <v>4.2574895267414724E-2</v>
      </c>
      <c r="AS36" s="27">
        <f t="shared" si="23"/>
        <v>9.2226379902007466E-2</v>
      </c>
      <c r="AT36" s="89">
        <f t="shared" si="24"/>
        <v>7.1190856747235409E-2</v>
      </c>
    </row>
    <row r="37" spans="1:46">
      <c r="A37" s="80">
        <v>33</v>
      </c>
      <c r="C37" s="10">
        <f t="shared" si="25"/>
        <v>75</v>
      </c>
      <c r="D37" s="98" t="str" cm="1">
        <f t="array" ref="D37">_xlfn.IFS(C37&lt;=4,"1-4",C37&lt;=9,"5-9",C37&lt;=14,"10-14",C37&lt;=19,"15-19",C37&lt;=24,"20-24",C37&lt;=29,"25-29",C37&lt;=34,"30-34",C37&lt;=39,"35-39",C37&lt;=44,"40-44",C37&lt;=49,"45-49",C37&lt;=54,"50-54",C37&lt;=54,"50-54",C37&lt;=59,"55-59",C37&lt;=64,"60-64",C37&lt;=69,"65-69",C37&lt;=74,"70-74",C37&lt;=79,"75-79",C37&lt;=84,"80-84",C37&gt;84,"85+")</f>
        <v>75-79</v>
      </c>
      <c r="E37" s="83">
        <f>IF(D37="85+",1,VLOOKUP(D37,'Life table 2014'!$AF$3:$AR$21,7,FALSE))</f>
        <v>4.5413021429770106E-2</v>
      </c>
      <c r="F37" s="72"/>
      <c r="G37" s="316">
        <f t="shared" si="11"/>
        <v>12045</v>
      </c>
      <c r="H37" s="27">
        <f>'Parameters &amp; DSA'!$B$119*G37^'Parameters &amp; DSA'!$B$120</f>
        <v>1.4645857804723601</v>
      </c>
      <c r="I37" s="314">
        <f t="shared" si="31"/>
        <v>4.6531967654819373E-2</v>
      </c>
      <c r="J37" s="72"/>
      <c r="K37" s="140">
        <f t="shared" ref="K37:K68" si="43">(K36*(1-E37))*p3a_3a</f>
        <v>4.4371234803909615E-2</v>
      </c>
      <c r="L37" s="141">
        <f t="shared" ref="L37:L68" si="44">(K36*(1-E37))*p3a_Death</f>
        <v>0</v>
      </c>
      <c r="M37" s="141">
        <f t="shared" ref="M37:M68" si="45">(K36*(1-E37))*p3a_3b</f>
        <v>3.6976029003258012E-3</v>
      </c>
      <c r="N37" s="27">
        <f t="shared" ref="N37:N68" si="46">(SUM(M36:N36)*(1-E37))*p3b_3b</f>
        <v>1.0261343859652489E-2</v>
      </c>
      <c r="O37" s="27">
        <f t="shared" ref="O37:O68" si="47">(SUM(M36:N36)*(1-E37))*p3b_Death</f>
        <v>0</v>
      </c>
      <c r="P37" s="27">
        <f t="shared" ref="P37:P68" si="48">(SUM(M36:N36)*(1-E37))*p3b_4</f>
        <v>4.8606365650985467E-3</v>
      </c>
      <c r="Q37" s="27">
        <f t="shared" ref="Q37:Q68" si="49">(SUM(P36:Q36)*(1-E37))*p4_4</f>
        <v>1.8053248074072013E-3</v>
      </c>
      <c r="R37" s="27">
        <f t="shared" ref="R37:R68" si="50">(SUM(P36:Q36)*(1-E37))*p4_Death</f>
        <v>0</v>
      </c>
      <c r="S37" s="27">
        <f t="shared" ref="S37:S68" si="51">(SUM(P36:Q36)*(1-E37))*p4_5</f>
        <v>5.4159744222216071E-3</v>
      </c>
      <c r="T37" s="27">
        <f t="shared" ref="T37:T68" si="52">(SUM(S36:T36)*(1-E37))*p5_5</f>
        <v>8.4825402040423212E-4</v>
      </c>
      <c r="U37" s="27">
        <f t="shared" ref="U37:U68" si="53">(SUM(S36:T36)*(1-E37))*p5_Death</f>
        <v>2.5447620612126963E-3</v>
      </c>
      <c r="V37" s="27">
        <f t="shared" ref="V37:V68" si="54">(SUM(S36:T36)*(1-E37))*p5_Dialysis</f>
        <v>3.3930160816169285E-3</v>
      </c>
      <c r="W37" s="27">
        <f t="shared" si="28"/>
        <v>0.142550380684697</v>
      </c>
      <c r="X37" s="27">
        <f t="shared" si="29"/>
        <v>6.9568663847988698E-3</v>
      </c>
      <c r="Y37" s="142">
        <f t="shared" ref="Y37:Y68" si="55">(SUM(K36:K36,M36:N36,P36:Q36,S36:T36,V36:W36)*E37)+SUM(L36,O36,R36,U36,X36)+Y36</f>
        <v>0.77329460340865597</v>
      </c>
      <c r="Z37" s="89">
        <f t="shared" si="32"/>
        <v>1.0000000000000009</v>
      </c>
      <c r="AB37" s="92">
        <f>(IF('Parameters &amp; DSA'!$H$1=1,(('Parameters &amp; DSA'!$B$76+'Parameters &amp; DSA'!$B$84+'Parameters &amp; DSA'!$B$88+'Parameters &amp; DSA'!$B$92)*($K37))/(1+cDC)^$A37,(('Parameters &amp; DSA'!$B$76+'Parameters &amp; DSA'!$B$84)*($K37))))*($AD$2/$AF$2)</f>
        <v>121.21134880045335</v>
      </c>
      <c r="AC37" s="371">
        <f>(IF('Parameters &amp; DSA'!$H$1=1,(('Parameters &amp; DSA'!$B$76+'Parameters &amp; DSA'!$B$84+'Parameters &amp; DSA'!$B$88+'Parameters &amp; DSA'!$B$92)*($M37+$N37))/(1+cDC)^$A37,(('Parameters &amp; DSA'!$B$76+'Parameters &amp; DSA'!$B$84)*($M37+$N37))))*($AD$2/$AF$2)</f>
        <v>38.132424578402841</v>
      </c>
      <c r="AD37" s="371">
        <f>(IF('Parameters &amp; DSA'!$H$1=1,(('Parameters &amp; DSA'!$B$76+'Parameters &amp; DSA'!$B$84+'Parameters &amp; DSA'!$B$88+'Parameters &amp; DSA'!$B$92)*(P37+Q37))/(1+cDC)^$A37,(('Parameters &amp; DSA'!$B$76+'Parameters &amp; DSA'!$B$84)*(P37+Q37))))*($AD$2/$AF$2)</f>
        <v>18.209774250906122</v>
      </c>
      <c r="AE37" s="371">
        <f>(IF('Parameters &amp; DSA'!$H$1=1,(('Parameters &amp; DSA'!$B$76+'Parameters &amp; DSA'!$B$84+'Parameters &amp; DSA'!$B$88+'Parameters &amp; DSA'!$B$92)*(S37+T37))/(1+cDC)^$A37,(('Parameters &amp; DSA'!$B$76+'Parameters &amp; DSA'!$B$84)*(S37+T37))))*($AD$2/$AF$2)</f>
        <v>17.112338254285827</v>
      </c>
      <c r="AF37" s="371">
        <f>(IF('Parameters &amp; DSA'!$H$1=1,(((W37-W36)*cM_Dialysis0)+(W37*cM_Dialysis1))/(1+'Parameters &amp; DSA'!$B$6)^$A37,(((W37-W36)*cM_Dialysis0)+(W37*cM_Dialysis1))))*($AD$2/$AG$2)</f>
        <v>31590.220134088613</v>
      </c>
      <c r="AG37" s="93">
        <f t="shared" si="22"/>
        <v>31784.886019972662</v>
      </c>
      <c r="AI37" s="88">
        <f t="shared" si="33"/>
        <v>1.6729120121111815E-2</v>
      </c>
      <c r="AJ37" s="27">
        <f t="shared" si="34"/>
        <v>1.5339437131387093E-2</v>
      </c>
      <c r="AK37" s="27">
        <f t="shared" si="35"/>
        <v>5.2628893052871608E-3</v>
      </c>
      <c r="AL37" s="27">
        <f t="shared" si="36"/>
        <v>4.8129659511560226E-3</v>
      </c>
      <c r="AM37" s="27">
        <f t="shared" si="37"/>
        <v>2.5132423971557859E-3</v>
      </c>
      <c r="AN37" s="27">
        <f t="shared" si="38"/>
        <v>2.2831716430959949E-3</v>
      </c>
      <c r="AO37" s="27">
        <f t="shared" si="39"/>
        <v>2.3617785384133414E-3</v>
      </c>
      <c r="AP37" s="27">
        <f t="shared" si="40"/>
        <v>2.0453465051253066E-3</v>
      </c>
      <c r="AQ37" s="27">
        <f t="shared" si="41"/>
        <v>5.5024491118548333E-2</v>
      </c>
      <c r="AR37" s="27">
        <f t="shared" si="42"/>
        <v>3.8517143782983827E-2</v>
      </c>
      <c r="AS37" s="27">
        <f t="shared" si="23"/>
        <v>8.1891521480516427E-2</v>
      </c>
      <c r="AT37" s="89">
        <f t="shared" si="24"/>
        <v>6.2998065013748245E-2</v>
      </c>
    </row>
    <row r="38" spans="1:46">
      <c r="A38" s="80">
        <v>34</v>
      </c>
      <c r="C38" s="10">
        <f t="shared" si="25"/>
        <v>76</v>
      </c>
      <c r="D38" s="98" t="str" cm="1">
        <f t="array" ref="D38">_xlfn.IFS(C38&lt;=4,"1-4",C38&lt;=9,"5-9",C38&lt;=14,"10-14",C38&lt;=19,"15-19",C38&lt;=24,"20-24",C38&lt;=29,"25-29",C38&lt;=34,"30-34",C38&lt;=39,"35-39",C38&lt;=44,"40-44",C38&lt;=49,"45-49",C38&lt;=54,"50-54",C38&lt;=54,"50-54",C38&lt;=59,"55-59",C38&lt;=64,"60-64",C38&lt;=69,"65-69",C38&lt;=74,"70-74",C38&lt;=79,"75-79",C38&lt;=84,"80-84",C38&gt;84,"85+")</f>
        <v>75-79</v>
      </c>
      <c r="E38" s="83">
        <f>IF(D38="85+",1,VLOOKUP(D38,'Life table 2014'!$AF$3:$AR$21,7,FALSE))</f>
        <v>4.5413021429770106E-2</v>
      </c>
      <c r="F38" s="72"/>
      <c r="G38" s="316">
        <f t="shared" si="11"/>
        <v>12410</v>
      </c>
      <c r="H38" s="27">
        <f>'Parameters &amp; DSA'!$B$119*G38^'Parameters &amp; DSA'!$B$120</f>
        <v>1.5123433996154885</v>
      </c>
      <c r="I38" s="314">
        <f t="shared" si="31"/>
        <v>4.66351635386274E-2</v>
      </c>
      <c r="J38" s="72"/>
      <c r="K38" s="140">
        <f t="shared" si="43"/>
        <v>3.9098033507902433E-2</v>
      </c>
      <c r="L38" s="141">
        <f t="shared" si="44"/>
        <v>0</v>
      </c>
      <c r="M38" s="141">
        <f t="shared" si="45"/>
        <v>3.2581694589918697E-3</v>
      </c>
      <c r="N38" s="27">
        <f t="shared" si="46"/>
        <v>9.0419838364634696E-3</v>
      </c>
      <c r="O38" s="27">
        <f t="shared" si="47"/>
        <v>0</v>
      </c>
      <c r="P38" s="27">
        <f t="shared" si="48"/>
        <v>4.2830449751669062E-3</v>
      </c>
      <c r="Q38" s="27">
        <f t="shared" si="49"/>
        <v>1.5908099814615306E-3</v>
      </c>
      <c r="R38" s="27">
        <f t="shared" si="50"/>
        <v>0</v>
      </c>
      <c r="S38" s="27">
        <f t="shared" si="51"/>
        <v>4.7724299443845947E-3</v>
      </c>
      <c r="T38" s="27">
        <f t="shared" si="52"/>
        <v>7.47468862764987E-4</v>
      </c>
      <c r="U38" s="27">
        <f t="shared" si="53"/>
        <v>2.2424065882949611E-3</v>
      </c>
      <c r="V38" s="27">
        <f t="shared" si="54"/>
        <v>2.989875451059948E-3</v>
      </c>
      <c r="W38" s="27">
        <f t="shared" si="28"/>
        <v>0.13281865728650069</v>
      </c>
      <c r="X38" s="27">
        <f t="shared" si="29"/>
        <v>6.4970088749311946E-3</v>
      </c>
      <c r="Y38" s="142">
        <f t="shared" si="55"/>
        <v>0.79266011123207836</v>
      </c>
      <c r="Z38" s="89">
        <f t="shared" si="32"/>
        <v>1.0000000000000009</v>
      </c>
      <c r="AB38" s="92">
        <f>(IF('Parameters &amp; DSA'!$H$1=1,(('Parameters &amp; DSA'!$B$76+'Parameters &amp; DSA'!$B$84+'Parameters &amp; DSA'!$B$88+'Parameters &amp; DSA'!$B$92)*($K38))/(1+cDC)^$A38,(('Parameters &amp; DSA'!$B$76+'Parameters &amp; DSA'!$B$84)*($K38))))*($AD$2/$AF$2)</f>
        <v>103.69539228066948</v>
      </c>
      <c r="AC38" s="371">
        <f>(IF('Parameters &amp; DSA'!$H$1=1,(('Parameters &amp; DSA'!$B$76+'Parameters &amp; DSA'!$B$84+'Parameters &amp; DSA'!$B$88+'Parameters &amp; DSA'!$B$92)*($M38+$N38))/(1+cDC)^$A38,(('Parameters &amp; DSA'!$B$76+'Parameters &amp; DSA'!$B$84)*($M38+$N38))))*($AD$2/$AF$2)</f>
        <v>32.622336896478821</v>
      </c>
      <c r="AD38" s="371">
        <f>(IF('Parameters &amp; DSA'!$H$1=1,(('Parameters &amp; DSA'!$B$76+'Parameters &amp; DSA'!$B$84+'Parameters &amp; DSA'!$B$88+'Parameters &amp; DSA'!$B$92)*(P38+Q38))/(1+cDC)^$A38,(('Parameters &amp; DSA'!$B$76+'Parameters &amp; DSA'!$B$84)*(P38+Q38))))*($AD$2/$AF$2)</f>
        <v>15.57857619115887</v>
      </c>
      <c r="AE38" s="371">
        <f>(IF('Parameters &amp; DSA'!$H$1=1,(('Parameters &amp; DSA'!$B$76+'Parameters &amp; DSA'!$B$84+'Parameters &amp; DSA'!$B$88+'Parameters &amp; DSA'!$B$92)*(S38+T38))/(1+cDC)^$A38,(('Parameters &amp; DSA'!$B$76+'Parameters &amp; DSA'!$B$84)*(S38+T38))))*($AD$2/$AF$2)</f>
        <v>14.639817423075391</v>
      </c>
      <c r="AF38" s="371">
        <f>(IF('Parameters &amp; DSA'!$H$1=1,(((W38-W37)*cM_Dialysis0)+(W38*cM_Dialysis1))/(1+'Parameters &amp; DSA'!$B$6)^$A38,(((W38-W37)*cM_Dialysis0)+(W38*cM_Dialysis1))))*($AD$2/$AG$2)</f>
        <v>28523.840182277614</v>
      </c>
      <c r="AG38" s="93">
        <f t="shared" si="22"/>
        <v>28690.376305068996</v>
      </c>
      <c r="AI38" s="88">
        <f t="shared" si="33"/>
        <v>1.4311635755534487E-2</v>
      </c>
      <c r="AJ38" s="27">
        <f t="shared" si="34"/>
        <v>1.3122772466812963E-2</v>
      </c>
      <c r="AK38" s="27">
        <f t="shared" si="35"/>
        <v>4.5024083798540409E-3</v>
      </c>
      <c r="AL38" s="27">
        <f t="shared" si="36"/>
        <v>4.1174983879419952E-3</v>
      </c>
      <c r="AM38" s="27">
        <f t="shared" si="37"/>
        <v>2.1500946487018596E-3</v>
      </c>
      <c r="AN38" s="27">
        <f t="shared" si="38"/>
        <v>1.9532676742378854E-3</v>
      </c>
      <c r="AO38" s="27">
        <f t="shared" si="39"/>
        <v>2.0205308054525818E-3</v>
      </c>
      <c r="AP38" s="27">
        <f t="shared" si="40"/>
        <v>1.7498192799257227E-3</v>
      </c>
      <c r="AQ38" s="27">
        <f t="shared" si="41"/>
        <v>4.9712020750115292E-2</v>
      </c>
      <c r="AR38" s="27">
        <f t="shared" si="42"/>
        <v>3.4798414525080701E-2</v>
      </c>
      <c r="AS38" s="27">
        <f t="shared" si="23"/>
        <v>7.2696690339658268E-2</v>
      </c>
      <c r="AT38" s="89">
        <f t="shared" si="24"/>
        <v>5.5741772333999268E-2</v>
      </c>
    </row>
    <row r="39" spans="1:46">
      <c r="A39" s="80">
        <v>35</v>
      </c>
      <c r="C39" s="10">
        <f t="shared" si="25"/>
        <v>77</v>
      </c>
      <c r="D39" s="98" t="str" cm="1">
        <f t="array" ref="D39">_xlfn.IFS(C39&lt;=4,"1-4",C39&lt;=9,"5-9",C39&lt;=14,"10-14",C39&lt;=19,"15-19",C39&lt;=24,"20-24",C39&lt;=29,"25-29",C39&lt;=34,"30-34",C39&lt;=39,"35-39",C39&lt;=44,"40-44",C39&lt;=49,"45-49",C39&lt;=54,"50-54",C39&lt;=54,"50-54",C39&lt;=59,"55-59",C39&lt;=64,"60-64",C39&lt;=69,"65-69",C39&lt;=74,"70-74",C39&lt;=79,"75-79",C39&lt;=84,"80-84",C39&gt;84,"85+")</f>
        <v>75-79</v>
      </c>
      <c r="E39" s="83">
        <f>IF(D39="85+",1,VLOOKUP(D39,'Life table 2014'!$AF$3:$AR$21,7,FALSE))</f>
        <v>4.5413021429770106E-2</v>
      </c>
      <c r="F39" s="72"/>
      <c r="G39" s="316">
        <f t="shared" si="11"/>
        <v>12775</v>
      </c>
      <c r="H39" s="27">
        <f>'Parameters &amp; DSA'!$B$119*G39^'Parameters &amp; DSA'!$B$120</f>
        <v>1.5602063075054746</v>
      </c>
      <c r="I39" s="314">
        <f t="shared" si="31"/>
        <v>4.6735536843374281E-2</v>
      </c>
      <c r="J39" s="72"/>
      <c r="K39" s="140">
        <f t="shared" si="43"/>
        <v>3.4451514160934948E-2</v>
      </c>
      <c r="L39" s="141">
        <f t="shared" si="44"/>
        <v>0</v>
      </c>
      <c r="M39" s="141">
        <f t="shared" si="45"/>
        <v>2.8709595134112456E-3</v>
      </c>
      <c r="N39" s="27">
        <f t="shared" si="46"/>
        <v>7.9674913298188564E-3</v>
      </c>
      <c r="O39" s="27">
        <f t="shared" si="47"/>
        <v>0</v>
      </c>
      <c r="P39" s="27">
        <f t="shared" si="48"/>
        <v>3.7740748404405107E-3</v>
      </c>
      <c r="Q39" s="27">
        <f t="shared" si="49"/>
        <v>1.4017763639019264E-3</v>
      </c>
      <c r="R39" s="27">
        <f t="shared" si="50"/>
        <v>0</v>
      </c>
      <c r="S39" s="27">
        <f t="shared" si="51"/>
        <v>4.2053290917057817E-3</v>
      </c>
      <c r="T39" s="27">
        <f t="shared" si="52"/>
        <v>6.5865294054129201E-4</v>
      </c>
      <c r="U39" s="27">
        <f t="shared" si="53"/>
        <v>1.975958821623876E-3</v>
      </c>
      <c r="V39" s="27">
        <f t="shared" si="54"/>
        <v>2.634611762165168E-3</v>
      </c>
      <c r="W39" s="27">
        <f t="shared" si="28"/>
        <v>0.12358221253743797</v>
      </c>
      <c r="X39" s="27">
        <f t="shared" si="29"/>
        <v>6.0588443925661921E-3</v>
      </c>
      <c r="Y39" s="142">
        <f t="shared" si="55"/>
        <v>0.81041857424545316</v>
      </c>
      <c r="Z39" s="89">
        <f t="shared" si="32"/>
        <v>1.0000000000000009</v>
      </c>
      <c r="AB39" s="92">
        <f>(IF('Parameters &amp; DSA'!$H$1=1,(('Parameters &amp; DSA'!$B$76+'Parameters &amp; DSA'!$B$84+'Parameters &amp; DSA'!$B$88+'Parameters &amp; DSA'!$B$92)*($K39))/(1+cDC)^$A39,(('Parameters &amp; DSA'!$B$76+'Parameters &amp; DSA'!$B$84)*($K39))))*($AD$2/$AF$2)</f>
        <v>88.710623936244076</v>
      </c>
      <c r="AC39" s="371">
        <f>(IF('Parameters &amp; DSA'!$H$1=1,(('Parameters &amp; DSA'!$B$76+'Parameters &amp; DSA'!$B$84+'Parameters &amp; DSA'!$B$88+'Parameters &amp; DSA'!$B$92)*($M39+$N39))/(1+cDC)^$A39,(('Parameters &amp; DSA'!$B$76+'Parameters &amp; DSA'!$B$84)*($M39+$N39))))*($AD$2/$AF$2)</f>
        <v>27.908373847193488</v>
      </c>
      <c r="AD39" s="371">
        <f>(IF('Parameters &amp; DSA'!$H$1=1,(('Parameters &amp; DSA'!$B$76+'Parameters &amp; DSA'!$B$84+'Parameters &amp; DSA'!$B$88+'Parameters &amp; DSA'!$B$92)*(P39+Q39))/(1+cDC)^$A39,(('Parameters &amp; DSA'!$B$76+'Parameters &amp; DSA'!$B$84)*(P39+Q39))))*($AD$2/$AF$2)</f>
        <v>13.327512619431337</v>
      </c>
      <c r="AE39" s="371">
        <f>(IF('Parameters &amp; DSA'!$H$1=1,(('Parameters &amp; DSA'!$B$76+'Parameters &amp; DSA'!$B$84+'Parameters &amp; DSA'!$B$88+'Parameters &amp; DSA'!$B$92)*(S39+T39))/(1+cDC)^$A39,(('Parameters &amp; DSA'!$B$76+'Parameters &amp; DSA'!$B$84)*(S39+T39))))*($AD$2/$AF$2)</f>
        <v>12.524467832667494</v>
      </c>
      <c r="AF39" s="371">
        <f>(IF('Parameters &amp; DSA'!$H$1=1,(((W39-W38)*cM_Dialysis0)+(W39*cM_Dialysis1))/(1+'Parameters &amp; DSA'!$B$6)^$A39,(((W39-W38)*cM_Dialysis0)+(W39*cM_Dialysis1))))*($AD$2/$AG$2)</f>
        <v>25723.282369070526</v>
      </c>
      <c r="AG39" s="93">
        <f t="shared" si="22"/>
        <v>25865.753347306061</v>
      </c>
      <c r="AI39" s="88">
        <f t="shared" si="33"/>
        <v>1.2243496162156834E-2</v>
      </c>
      <c r="AJ39" s="27">
        <f t="shared" si="34"/>
        <v>1.1226432609015315E-2</v>
      </c>
      <c r="AK39" s="27">
        <f t="shared" si="35"/>
        <v>3.8518054876462947E-3</v>
      </c>
      <c r="AL39" s="27">
        <f t="shared" si="36"/>
        <v>3.5225154068685106E-3</v>
      </c>
      <c r="AM39" s="27">
        <f t="shared" si="37"/>
        <v>1.8394115875498493E-3</v>
      </c>
      <c r="AN39" s="27">
        <f t="shared" si="38"/>
        <v>1.6710255968261382E-3</v>
      </c>
      <c r="AO39" s="27">
        <f t="shared" si="39"/>
        <v>1.7285784614989104E-3</v>
      </c>
      <c r="AP39" s="27">
        <f t="shared" si="40"/>
        <v>1.4969828277959017E-3</v>
      </c>
      <c r="AQ39" s="27">
        <f t="shared" si="41"/>
        <v>4.485536388017719E-2</v>
      </c>
      <c r="AR39" s="27">
        <f t="shared" si="42"/>
        <v>3.1398754716124029E-2</v>
      </c>
      <c r="AS39" s="27">
        <f t="shared" si="23"/>
        <v>6.4518655579029083E-2</v>
      </c>
      <c r="AT39" s="89">
        <f t="shared" si="24"/>
        <v>4.9315711156629895E-2</v>
      </c>
    </row>
    <row r="40" spans="1:46">
      <c r="A40" s="80">
        <v>36</v>
      </c>
      <c r="C40" s="10">
        <f t="shared" si="25"/>
        <v>78</v>
      </c>
      <c r="D40" s="98" t="str" cm="1">
        <f t="array" ref="D40">_xlfn.IFS(C40&lt;=4,"1-4",C40&lt;=9,"5-9",C40&lt;=14,"10-14",C40&lt;=19,"15-19",C40&lt;=24,"20-24",C40&lt;=29,"25-29",C40&lt;=34,"30-34",C40&lt;=39,"35-39",C40&lt;=44,"40-44",C40&lt;=49,"45-49",C40&lt;=54,"50-54",C40&lt;=54,"50-54",C40&lt;=59,"55-59",C40&lt;=64,"60-64",C40&lt;=69,"65-69",C40&lt;=74,"70-74",C40&lt;=79,"75-79",C40&lt;=84,"80-84",C40&gt;84,"85+")</f>
        <v>75-79</v>
      </c>
      <c r="E40" s="83">
        <f>IF(D40="85+",1,VLOOKUP(D40,'Life table 2014'!$AF$3:$AR$21,7,FALSE))</f>
        <v>4.5413021429770106E-2</v>
      </c>
      <c r="F40" s="72"/>
      <c r="G40" s="316">
        <f t="shared" si="11"/>
        <v>13140</v>
      </c>
      <c r="H40" s="27">
        <f>'Parameters &amp; DSA'!$B$119*G40^'Parameters &amp; DSA'!$B$120</f>
        <v>1.6081717173564076</v>
      </c>
      <c r="I40" s="314">
        <f t="shared" si="31"/>
        <v>4.683324331251093E-2</v>
      </c>
      <c r="J40" s="72"/>
      <c r="K40" s="140">
        <f t="shared" si="43"/>
        <v>3.0357200132359735E-2</v>
      </c>
      <c r="L40" s="141">
        <f t="shared" si="44"/>
        <v>0</v>
      </c>
      <c r="M40" s="141">
        <f t="shared" si="45"/>
        <v>2.5297666776966446E-3</v>
      </c>
      <c r="N40" s="27">
        <f t="shared" si="46"/>
        <v>7.0206656004856679E-3</v>
      </c>
      <c r="O40" s="27">
        <f t="shared" si="47"/>
        <v>0</v>
      </c>
      <c r="P40" s="27">
        <f t="shared" si="48"/>
        <v>3.325578442335316E-3</v>
      </c>
      <c r="Q40" s="27">
        <f t="shared" si="49"/>
        <v>1.2352000406705827E-3</v>
      </c>
      <c r="R40" s="27">
        <f t="shared" si="50"/>
        <v>0</v>
      </c>
      <c r="S40" s="27">
        <f t="shared" si="51"/>
        <v>3.7056001220117504E-3</v>
      </c>
      <c r="T40" s="27">
        <f t="shared" si="52"/>
        <v>5.8038673899782768E-4</v>
      </c>
      <c r="U40" s="27">
        <f t="shared" si="53"/>
        <v>1.7411602169934829E-3</v>
      </c>
      <c r="V40" s="27">
        <f t="shared" si="54"/>
        <v>2.3215469559913107E-3</v>
      </c>
      <c r="W40" s="27">
        <f t="shared" si="28"/>
        <v>0.11484223658508058</v>
      </c>
      <c r="X40" s="27">
        <f t="shared" si="29"/>
        <v>5.6427003678071299E-3</v>
      </c>
      <c r="Y40" s="142">
        <f t="shared" si="55"/>
        <v>0.82669795811957092</v>
      </c>
      <c r="Z40" s="89">
        <f t="shared" si="32"/>
        <v>1.0000000000000009</v>
      </c>
      <c r="AB40" s="92">
        <f>(IF('Parameters &amp; DSA'!$H$1=1,(('Parameters &amp; DSA'!$B$76+'Parameters &amp; DSA'!$B$84+'Parameters &amp; DSA'!$B$88+'Parameters &amp; DSA'!$B$92)*($K40))/(1+cDC)^$A40,(('Parameters &amp; DSA'!$B$76+'Parameters &amp; DSA'!$B$84)*($K40))))*($AD$2/$AF$2)</f>
        <v>75.891267934619094</v>
      </c>
      <c r="AC40" s="371">
        <f>(IF('Parameters &amp; DSA'!$H$1=1,(('Parameters &amp; DSA'!$B$76+'Parameters &amp; DSA'!$B$84+'Parameters &amp; DSA'!$B$88+'Parameters &amp; DSA'!$B$92)*($M40+$N40))/(1+cDC)^$A40,(('Parameters &amp; DSA'!$B$76+'Parameters &amp; DSA'!$B$84)*($M40+$N40))))*($AD$2/$AF$2)</f>
        <v>23.875535680326543</v>
      </c>
      <c r="AD40" s="371">
        <f>(IF('Parameters &amp; DSA'!$H$1=1,(('Parameters &amp; DSA'!$B$76+'Parameters &amp; DSA'!$B$84+'Parameters &amp; DSA'!$B$88+'Parameters &amp; DSA'!$B$92)*(P40+Q40))/(1+cDC)^$A40,(('Parameters &amp; DSA'!$B$76+'Parameters &amp; DSA'!$B$84)*(P40+Q40))))*($AD$2/$AF$2)</f>
        <v>11.401685937277554</v>
      </c>
      <c r="AE40" s="371">
        <f>(IF('Parameters &amp; DSA'!$H$1=1,(('Parameters &amp; DSA'!$B$76+'Parameters &amp; DSA'!$B$84+'Parameters &amp; DSA'!$B$88+'Parameters &amp; DSA'!$B$92)*(S40+T40))/(1+cDC)^$A40,(('Parameters &amp; DSA'!$B$76+'Parameters &amp; DSA'!$B$84)*(S40+T40))))*($AD$2/$AF$2)</f>
        <v>10.714722563837809</v>
      </c>
      <c r="AF40" s="371">
        <f>(IF('Parameters &amp; DSA'!$H$1=1,(((W40-W39)*cM_Dialysis0)+(W40*cM_Dialysis1))/(1+'Parameters &amp; DSA'!$B$6)^$A40,(((W40-W39)*cM_Dialysis0)+(W40*cM_Dialysis1))))*($AD$2/$AG$2)</f>
        <v>23170.997290288356</v>
      </c>
      <c r="AG40" s="93">
        <f t="shared" si="22"/>
        <v>23292.880502404416</v>
      </c>
      <c r="AI40" s="88">
        <f t="shared" si="33"/>
        <v>1.0474218379599252E-2</v>
      </c>
      <c r="AJ40" s="27">
        <f t="shared" si="34"/>
        <v>9.6041282010714563E-3</v>
      </c>
      <c r="AK40" s="27">
        <f t="shared" si="35"/>
        <v>3.2952088092809005E-3</v>
      </c>
      <c r="AL40" s="27">
        <f t="shared" si="36"/>
        <v>3.0135020672172382E-3</v>
      </c>
      <c r="AM40" s="27">
        <f t="shared" si="37"/>
        <v>1.5736164601378823E-3</v>
      </c>
      <c r="AN40" s="27">
        <f t="shared" si="38"/>
        <v>1.4295622590808959E-3</v>
      </c>
      <c r="AO40" s="27">
        <f t="shared" si="39"/>
        <v>1.4788044404152314E-3</v>
      </c>
      <c r="AP40" s="27">
        <f t="shared" si="40"/>
        <v>1.2806736299666225E-3</v>
      </c>
      <c r="AQ40" s="27">
        <f t="shared" si="41"/>
        <v>4.0425304363992755E-2</v>
      </c>
      <c r="AR40" s="27">
        <f t="shared" si="42"/>
        <v>2.8297713054794928E-2</v>
      </c>
      <c r="AS40" s="27">
        <f t="shared" si="23"/>
        <v>5.7247152453426021E-2</v>
      </c>
      <c r="AT40" s="89">
        <f t="shared" si="24"/>
        <v>4.3625579212131144E-2</v>
      </c>
    </row>
    <row r="41" spans="1:46">
      <c r="A41" s="80">
        <v>37</v>
      </c>
      <c r="C41" s="10">
        <f t="shared" si="25"/>
        <v>79</v>
      </c>
      <c r="D41" s="98" t="str" cm="1">
        <f t="array" ref="D41">_xlfn.IFS(C41&lt;=4,"1-4",C41&lt;=9,"5-9",C41&lt;=14,"10-14",C41&lt;=19,"15-19",C41&lt;=24,"20-24",C41&lt;=29,"25-29",C41&lt;=34,"30-34",C41&lt;=39,"35-39",C41&lt;=44,"40-44",C41&lt;=49,"45-49",C41&lt;=54,"50-54",C41&lt;=54,"50-54",C41&lt;=59,"55-59",C41&lt;=64,"60-64",C41&lt;=69,"65-69",C41&lt;=74,"70-74",C41&lt;=79,"75-79",C41&lt;=84,"80-84",C41&gt;84,"85+")</f>
        <v>75-79</v>
      </c>
      <c r="E41" s="83">
        <f>IF(D41="85+",1,VLOOKUP(D41,'Life table 2014'!$AF$3:$AR$21,7,FALSE))</f>
        <v>4.5413021429770106E-2</v>
      </c>
      <c r="F41" s="72"/>
      <c r="G41" s="316">
        <f t="shared" si="11"/>
        <v>13505</v>
      </c>
      <c r="H41" s="27">
        <f>'Parameters &amp; DSA'!$B$119*G41^'Parameters &amp; DSA'!$B$120</f>
        <v>1.6562369916235906</v>
      </c>
      <c r="I41" s="314">
        <f t="shared" si="31"/>
        <v>4.6928426001495382E-2</v>
      </c>
      <c r="J41" s="72"/>
      <c r="K41" s="140">
        <f t="shared" si="43"/>
        <v>2.674946580203175E-2</v>
      </c>
      <c r="L41" s="141">
        <f t="shared" si="44"/>
        <v>0</v>
      </c>
      <c r="M41" s="141">
        <f t="shared" si="45"/>
        <v>2.2291221501693124E-3</v>
      </c>
      <c r="N41" s="27">
        <f t="shared" si="46"/>
        <v>6.1863445556044061E-3</v>
      </c>
      <c r="O41" s="27">
        <f t="shared" si="47"/>
        <v>0</v>
      </c>
      <c r="P41" s="27">
        <f t="shared" si="48"/>
        <v>2.9303737368652446E-3</v>
      </c>
      <c r="Q41" s="27">
        <f t="shared" si="49"/>
        <v>1.088414938005179E-3</v>
      </c>
      <c r="R41" s="27">
        <f t="shared" si="50"/>
        <v>0</v>
      </c>
      <c r="S41" s="27">
        <f t="shared" si="51"/>
        <v>3.2652448140155386E-3</v>
      </c>
      <c r="T41" s="27">
        <f t="shared" si="52"/>
        <v>5.1141840598035461E-4</v>
      </c>
      <c r="U41" s="27">
        <f t="shared" si="53"/>
        <v>1.5342552179410638E-3</v>
      </c>
      <c r="V41" s="27">
        <f t="shared" si="54"/>
        <v>2.0456736239214185E-3</v>
      </c>
      <c r="W41" s="27">
        <f t="shared" si="28"/>
        <v>0.10659440514059539</v>
      </c>
      <c r="X41" s="27">
        <f t="shared" si="29"/>
        <v>5.2486169877328627E-3</v>
      </c>
      <c r="Y41" s="142">
        <f t="shared" si="55"/>
        <v>0.84161666462713847</v>
      </c>
      <c r="Z41" s="89">
        <f t="shared" si="32"/>
        <v>1.0000000000000009</v>
      </c>
      <c r="AB41" s="92">
        <f>(IF('Parameters &amp; DSA'!$H$1=1,(('Parameters &amp; DSA'!$B$76+'Parameters &amp; DSA'!$B$84+'Parameters &amp; DSA'!$B$88+'Parameters &amp; DSA'!$B$92)*($K41))/(1+cDC)^$A41,(('Parameters &amp; DSA'!$B$76+'Parameters &amp; DSA'!$B$84)*($K41))))*($AD$2/$AF$2)</f>
        <v>64.924405817091994</v>
      </c>
      <c r="AC41" s="371">
        <f>(IF('Parameters &amp; DSA'!$H$1=1,(('Parameters &amp; DSA'!$B$76+'Parameters &amp; DSA'!$B$84+'Parameters &amp; DSA'!$B$88+'Parameters &amp; DSA'!$B$92)*($M41+$N41))/(1+cDC)^$A41,(('Parameters &amp; DSA'!$B$76+'Parameters &amp; DSA'!$B$84)*($M41+$N41))))*($AD$2/$AF$2)</f>
        <v>20.425423804328084</v>
      </c>
      <c r="AD41" s="371">
        <f>(IF('Parameters &amp; DSA'!$H$1=1,(('Parameters &amp; DSA'!$B$76+'Parameters &amp; DSA'!$B$84+'Parameters &amp; DSA'!$B$88+'Parameters &amp; DSA'!$B$92)*(P41+Q41))/(1+cDC)^$A41,(('Parameters &amp; DSA'!$B$76+'Parameters &amp; DSA'!$B$84)*(P41+Q41))))*($AD$2/$AF$2)</f>
        <v>9.7541187832096021</v>
      </c>
      <c r="AE41" s="371">
        <f>(IF('Parameters &amp; DSA'!$H$1=1,(('Parameters &amp; DSA'!$B$76+'Parameters &amp; DSA'!$B$84+'Parameters &amp; DSA'!$B$88+'Parameters &amp; DSA'!$B$92)*(S41+T41))/(1+cDC)^$A41,(('Parameters &amp; DSA'!$B$76+'Parameters &amp; DSA'!$B$84)*(S41+T41))))*($AD$2/$AF$2)</f>
        <v>9.1664490552508493</v>
      </c>
      <c r="AF41" s="371">
        <f>(IF('Parameters &amp; DSA'!$H$1=1,(((W41-W40)*cM_Dialysis0)+(W41*cM_Dialysis1))/(1+'Parameters &amp; DSA'!$B$6)^$A41,(((W41-W40)*cM_Dialysis0)+(W41*cM_Dialysis1))))*($AD$2/$AG$2)</f>
        <v>20849.533110948876</v>
      </c>
      <c r="AG41" s="93">
        <f t="shared" si="22"/>
        <v>20953.803508408757</v>
      </c>
      <c r="AI41" s="88">
        <f t="shared" si="33"/>
        <v>8.9606146161610948E-3</v>
      </c>
      <c r="AJ41" s="27">
        <f t="shared" si="34"/>
        <v>8.2162590481809766E-3</v>
      </c>
      <c r="AK41" s="27">
        <f t="shared" si="35"/>
        <v>2.8190377528902076E-3</v>
      </c>
      <c r="AL41" s="27">
        <f t="shared" si="36"/>
        <v>2.5780387792031746E-3</v>
      </c>
      <c r="AM41" s="27">
        <f t="shared" si="37"/>
        <v>1.3462256332824188E-3</v>
      </c>
      <c r="AN41" s="27">
        <f t="shared" si="38"/>
        <v>1.2229875616445931E-3</v>
      </c>
      <c r="AO41" s="27">
        <f t="shared" si="39"/>
        <v>1.26511773729862E-3</v>
      </c>
      <c r="AP41" s="27">
        <f t="shared" si="40"/>
        <v>1.095616756808256E-3</v>
      </c>
      <c r="AQ41" s="27">
        <f t="shared" si="41"/>
        <v>3.6392572654825921E-2</v>
      </c>
      <c r="AR41" s="27">
        <f t="shared" si="42"/>
        <v>2.5474800858378142E-2</v>
      </c>
      <c r="AS41" s="27">
        <f t="shared" si="23"/>
        <v>5.0783568394458259E-2</v>
      </c>
      <c r="AT41" s="89">
        <f t="shared" si="24"/>
        <v>3.8587703004215143E-2</v>
      </c>
    </row>
    <row r="42" spans="1:46">
      <c r="A42" s="80">
        <v>38</v>
      </c>
      <c r="C42" s="10">
        <f t="shared" si="25"/>
        <v>80</v>
      </c>
      <c r="D42" s="98" t="str" cm="1">
        <f t="array" ref="D42">_xlfn.IFS(C42&lt;=4,"1-4",C42&lt;=9,"5-9",C42&lt;=14,"10-14",C42&lt;=19,"15-19",C42&lt;=24,"20-24",C42&lt;=29,"25-29",C42&lt;=34,"30-34",C42&lt;=39,"35-39",C42&lt;=44,"40-44",C42&lt;=49,"45-49",C42&lt;=54,"50-54",C42&lt;=54,"50-54",C42&lt;=59,"55-59",C42&lt;=64,"60-64",C42&lt;=69,"65-69",C42&lt;=74,"70-74",C42&lt;=79,"75-79",C42&lt;=84,"80-84",C42&gt;84,"85+")</f>
        <v>80-84</v>
      </c>
      <c r="E42" s="83">
        <f>IF(D42="85+",1,VLOOKUP(D42,'Life table 2014'!$AF$3:$AR$21,7,FALSE))</f>
        <v>7.0484562672628037E-2</v>
      </c>
      <c r="F42" s="72"/>
      <c r="G42" s="316">
        <f t="shared" si="11"/>
        <v>13870</v>
      </c>
      <c r="H42" s="27">
        <f>'Parameters &amp; DSA'!$B$119*G42^'Parameters &amp; DSA'!$B$120</f>
        <v>1.7043996301867963</v>
      </c>
      <c r="I42" s="314">
        <f t="shared" si="31"/>
        <v>4.7021216627036733E-2</v>
      </c>
      <c r="J42" s="72"/>
      <c r="K42" s="140">
        <f t="shared" si="43"/>
        <v>2.2951422833768421E-2</v>
      </c>
      <c r="L42" s="141">
        <f t="shared" si="44"/>
        <v>0</v>
      </c>
      <c r="M42" s="141">
        <f t="shared" si="45"/>
        <v>1.9126185694807018E-3</v>
      </c>
      <c r="N42" s="27">
        <f t="shared" si="46"/>
        <v>5.3079935032604554E-3</v>
      </c>
      <c r="O42" s="27">
        <f t="shared" si="47"/>
        <v>0</v>
      </c>
      <c r="P42" s="27">
        <f t="shared" si="48"/>
        <v>2.5143127120707417E-3</v>
      </c>
      <c r="Q42" s="27">
        <f t="shared" si="49"/>
        <v>9.3388152816211757E-4</v>
      </c>
      <c r="R42" s="27">
        <f t="shared" si="50"/>
        <v>0</v>
      </c>
      <c r="S42" s="27">
        <f t="shared" si="51"/>
        <v>2.8016445844863546E-3</v>
      </c>
      <c r="T42" s="27">
        <f t="shared" si="52"/>
        <v>4.3880834557158546E-4</v>
      </c>
      <c r="U42" s="27">
        <f t="shared" si="53"/>
        <v>1.3164250367147564E-3</v>
      </c>
      <c r="V42" s="27">
        <f t="shared" si="54"/>
        <v>1.7552333822863418E-3</v>
      </c>
      <c r="W42" s="27">
        <f t="shared" si="28"/>
        <v>9.6234304188043435E-2</v>
      </c>
      <c r="X42" s="27">
        <f t="shared" si="29"/>
        <v>4.7483261360365325E-3</v>
      </c>
      <c r="Y42" s="142">
        <f t="shared" si="55"/>
        <v>0.85908502918011953</v>
      </c>
      <c r="Z42" s="89">
        <f t="shared" si="32"/>
        <v>1.0000000000000009</v>
      </c>
      <c r="AB42" s="92">
        <f>(IF('Parameters &amp; DSA'!$H$1=1,(('Parameters &amp; DSA'!$B$76+'Parameters &amp; DSA'!$B$84+'Parameters &amp; DSA'!$B$88+'Parameters &amp; DSA'!$B$92)*($K42))/(1+cDC)^$A42,(('Parameters &amp; DSA'!$B$76+'Parameters &amp; DSA'!$B$84)*($K42))))*($AD$2/$AF$2)</f>
        <v>54.0835585956332</v>
      </c>
      <c r="AC42" s="371">
        <f>(IF('Parameters &amp; DSA'!$H$1=1,(('Parameters &amp; DSA'!$B$76+'Parameters &amp; DSA'!$B$84+'Parameters &amp; DSA'!$B$88+'Parameters &amp; DSA'!$B$92)*($M42+$N42))/(1+cDC)^$A42,(('Parameters &amp; DSA'!$B$76+'Parameters &amp; DSA'!$B$84)*($M42+$N42))))*($AD$2/$AF$2)</f>
        <v>17.014910097768151</v>
      </c>
      <c r="AD42" s="371">
        <f>(IF('Parameters &amp; DSA'!$H$1=1,(('Parameters &amp; DSA'!$B$76+'Parameters &amp; DSA'!$B$84+'Parameters &amp; DSA'!$B$88+'Parameters &amp; DSA'!$B$92)*(P42+Q42))/(1+cDC)^$A42,(('Parameters &amp; DSA'!$B$76+'Parameters &amp; DSA'!$B$84)*(P42+Q42))))*($AD$2/$AF$2)</f>
        <v>8.1254489794146956</v>
      </c>
      <c r="AE42" s="371">
        <f>(IF('Parameters &amp; DSA'!$H$1=1,(('Parameters &amp; DSA'!$B$76+'Parameters &amp; DSA'!$B$84+'Parameters &amp; DSA'!$B$88+'Parameters &amp; DSA'!$B$92)*(S42+T42))/(1+cDC)^$A42,(('Parameters &amp; DSA'!$B$76+'Parameters &amp; DSA'!$B$84)*(S42+T42))))*($AD$2/$AF$2)</f>
        <v>7.6359198812426961</v>
      </c>
      <c r="AF42" s="371">
        <f>(IF('Parameters &amp; DSA'!$H$1=1,(((W42-W41)*cM_Dialysis0)+(W42*cM_Dialysis1))/(1+'Parameters &amp; DSA'!$B$6)^$A42,(((W42-W41)*cM_Dialysis0)+(W42*cM_Dialysis1))))*($AD$2/$AG$2)</f>
        <v>17629.209529511259</v>
      </c>
      <c r="AG42" s="93">
        <f t="shared" si="22"/>
        <v>17716.06936706532</v>
      </c>
      <c r="AI42" s="88">
        <f t="shared" si="33"/>
        <v>7.464402939802558E-3</v>
      </c>
      <c r="AJ42" s="27">
        <f t="shared" si="34"/>
        <v>6.8443372269140412E-3</v>
      </c>
      <c r="AK42" s="27">
        <f t="shared" si="35"/>
        <v>2.3483318822240281E-3</v>
      </c>
      <c r="AL42" s="27">
        <f t="shared" si="36"/>
        <v>2.1475734592790725E-3</v>
      </c>
      <c r="AM42" s="27">
        <f t="shared" si="37"/>
        <v>1.1214429453992301E-3</v>
      </c>
      <c r="AN42" s="27">
        <f t="shared" si="38"/>
        <v>1.0187822452713702E-3</v>
      </c>
      <c r="AO42" s="27">
        <f t="shared" si="39"/>
        <v>1.0538800384012983E-3</v>
      </c>
      <c r="AP42" s="27">
        <f t="shared" si="40"/>
        <v>9.1268076930427699E-4</v>
      </c>
      <c r="AQ42" s="27">
        <f t="shared" si="41"/>
        <v>3.1868760277193139E-2</v>
      </c>
      <c r="AR42" s="27">
        <f t="shared" si="42"/>
        <v>2.2308132194035196E-2</v>
      </c>
      <c r="AS42" s="27">
        <f t="shared" si="23"/>
        <v>4.3856818083020249E-2</v>
      </c>
      <c r="AT42" s="89">
        <f t="shared" si="24"/>
        <v>3.3231505894803955E-2</v>
      </c>
    </row>
    <row r="43" spans="1:46">
      <c r="A43" s="80">
        <v>39</v>
      </c>
      <c r="C43" s="10">
        <f t="shared" si="25"/>
        <v>81</v>
      </c>
      <c r="D43" s="98" t="str" cm="1">
        <f t="array" ref="D43">_xlfn.IFS(C43&lt;=4,"1-4",C43&lt;=9,"5-9",C43&lt;=14,"10-14",C43&lt;=19,"15-19",C43&lt;=24,"20-24",C43&lt;=29,"25-29",C43&lt;=34,"30-34",C43&lt;=39,"35-39",C43&lt;=44,"40-44",C43&lt;=49,"45-49",C43&lt;=54,"50-54",C43&lt;=54,"50-54",C43&lt;=59,"55-59",C43&lt;=64,"60-64",C43&lt;=69,"65-69",C43&lt;=74,"70-74",C43&lt;=79,"75-79",C43&lt;=84,"80-84",C43&gt;84,"85+")</f>
        <v>80-84</v>
      </c>
      <c r="E43" s="83">
        <f>IF(D43="85+",1,VLOOKUP(D43,'Life table 2014'!$AF$3:$AR$21,7,FALSE))</f>
        <v>7.0484562672628037E-2</v>
      </c>
      <c r="F43" s="72"/>
      <c r="G43" s="316">
        <f t="shared" si="11"/>
        <v>14235</v>
      </c>
      <c r="H43" s="27">
        <f>'Parameters &amp; DSA'!$B$119*G43^'Parameters &amp; DSA'!$B$120</f>
        <v>1.7526572597560892</v>
      </c>
      <c r="I43" s="314">
        <f t="shared" si="31"/>
        <v>4.711173674108271E-2</v>
      </c>
      <c r="J43" s="72"/>
      <c r="K43" s="140">
        <f t="shared" si="43"/>
        <v>1.9692647845491403E-2</v>
      </c>
      <c r="L43" s="141">
        <f t="shared" si="44"/>
        <v>0</v>
      </c>
      <c r="M43" s="141">
        <f t="shared" si="45"/>
        <v>1.6410539871242835E-3</v>
      </c>
      <c r="N43" s="27">
        <f t="shared" si="46"/>
        <v>4.5543477636693095E-3</v>
      </c>
      <c r="O43" s="27">
        <f t="shared" si="47"/>
        <v>0</v>
      </c>
      <c r="P43" s="27">
        <f t="shared" si="48"/>
        <v>2.1573226248959884E-3</v>
      </c>
      <c r="Q43" s="27">
        <f t="shared" si="49"/>
        <v>8.0128744429994246E-4</v>
      </c>
      <c r="R43" s="27">
        <f t="shared" si="50"/>
        <v>0</v>
      </c>
      <c r="S43" s="27">
        <f t="shared" si="51"/>
        <v>2.4038623328998289E-3</v>
      </c>
      <c r="T43" s="27">
        <f t="shared" si="52"/>
        <v>3.7650637780269622E-4</v>
      </c>
      <c r="U43" s="27">
        <f t="shared" si="53"/>
        <v>1.1295191334080887E-3</v>
      </c>
      <c r="V43" s="27">
        <f t="shared" si="54"/>
        <v>1.5060255112107849E-3</v>
      </c>
      <c r="W43" s="27">
        <f t="shared" si="28"/>
        <v>8.6791719544501877E-2</v>
      </c>
      <c r="X43" s="27">
        <f t="shared" si="29"/>
        <v>4.2910683236901444E-3</v>
      </c>
      <c r="Y43" s="142">
        <f t="shared" si="55"/>
        <v>0.8746546391110066</v>
      </c>
      <c r="Z43" s="89">
        <f t="shared" si="32"/>
        <v>1.0000000000000009</v>
      </c>
      <c r="AB43" s="92">
        <f>(IF('Parameters &amp; DSA'!$H$1=1,(('Parameters &amp; DSA'!$B$76+'Parameters &amp; DSA'!$B$84+'Parameters &amp; DSA'!$B$88+'Parameters &amp; DSA'!$B$92)*($K43))/(1+cDC)^$A43,(('Parameters &amp; DSA'!$B$76+'Parameters &amp; DSA'!$B$84)*($K43))))*($AD$2/$AF$2)</f>
        <v>45.05287762829623</v>
      </c>
      <c r="AC43" s="371">
        <f>(IF('Parameters &amp; DSA'!$H$1=1,(('Parameters &amp; DSA'!$B$76+'Parameters &amp; DSA'!$B$84+'Parameters &amp; DSA'!$B$88+'Parameters &amp; DSA'!$B$92)*($M43+$N43))/(1+cDC)^$A43,(('Parameters &amp; DSA'!$B$76+'Parameters &amp; DSA'!$B$84)*($M43+$N43))))*($AD$2/$AF$2)</f>
        <v>14.173852045017911</v>
      </c>
      <c r="AD43" s="371">
        <f>(IF('Parameters &amp; DSA'!$H$1=1,(('Parameters &amp; DSA'!$B$76+'Parameters &amp; DSA'!$B$84+'Parameters &amp; DSA'!$B$88+'Parameters &amp; DSA'!$B$92)*(P43+Q43))/(1+cDC)^$A43,(('Parameters &amp; DSA'!$B$76+'Parameters &amp; DSA'!$B$84)*(P43+Q43))))*($AD$2/$AF$2)</f>
        <v>6.7687138084808991</v>
      </c>
      <c r="AE43" s="371">
        <f>(IF('Parameters &amp; DSA'!$H$1=1,(('Parameters &amp; DSA'!$B$76+'Parameters &amp; DSA'!$B$84+'Parameters &amp; DSA'!$B$88+'Parameters &amp; DSA'!$B$92)*(S43+T43))/(1+cDC)^$A43,(('Parameters &amp; DSA'!$B$76+'Parameters &amp; DSA'!$B$84)*(S43+T43))))*($AD$2/$AF$2)</f>
        <v>6.3609328855948393</v>
      </c>
      <c r="AF43" s="371">
        <f>(IF('Parameters &amp; DSA'!$H$1=1,(((W43-W42)*cM_Dialysis0)+(W43*cM_Dialysis1))/(1+'Parameters &amp; DSA'!$B$6)^$A43,(((W43-W42)*cM_Dialysis0)+(W43*cM_Dialysis1))))*($AD$2/$AG$2)</f>
        <v>15415.024673574713</v>
      </c>
      <c r="AG43" s="93">
        <f t="shared" si="22"/>
        <v>15487.381049942103</v>
      </c>
      <c r="AI43" s="88">
        <f t="shared" si="33"/>
        <v>6.2180233872845062E-3</v>
      </c>
      <c r="AJ43" s="27">
        <f t="shared" si="34"/>
        <v>5.7014940499097982E-3</v>
      </c>
      <c r="AK43" s="27">
        <f t="shared" si="35"/>
        <v>1.956220071689229E-3</v>
      </c>
      <c r="AL43" s="27">
        <f t="shared" si="36"/>
        <v>1.7889832090045312E-3</v>
      </c>
      <c r="AM43" s="27">
        <f t="shared" si="37"/>
        <v>9.3419162057110678E-4</v>
      </c>
      <c r="AN43" s="27">
        <f t="shared" si="38"/>
        <v>8.4867254337251763E-4</v>
      </c>
      <c r="AO43" s="27">
        <f t="shared" si="39"/>
        <v>8.7791127958348775E-4</v>
      </c>
      <c r="AP43" s="27">
        <f t="shared" si="40"/>
        <v>7.6028837518038028E-4</v>
      </c>
      <c r="AQ43" s="27">
        <f t="shared" si="41"/>
        <v>2.7880326104882204E-2</v>
      </c>
      <c r="AR43" s="27">
        <f t="shared" si="42"/>
        <v>1.9516228273417542E-2</v>
      </c>
      <c r="AS43" s="27">
        <f t="shared" si="23"/>
        <v>3.7866672464010535E-2</v>
      </c>
      <c r="AT43" s="89">
        <f t="shared" si="24"/>
        <v>2.8615666450884768E-2</v>
      </c>
    </row>
    <row r="44" spans="1:46">
      <c r="A44" s="80">
        <v>40</v>
      </c>
      <c r="C44" s="10">
        <f t="shared" si="25"/>
        <v>82</v>
      </c>
      <c r="D44" s="98" t="str" cm="1">
        <f t="array" ref="D44">_xlfn.IFS(C44&lt;=4,"1-4",C44&lt;=9,"5-9",C44&lt;=14,"10-14",C44&lt;=19,"15-19",C44&lt;=24,"20-24",C44&lt;=29,"25-29",C44&lt;=34,"30-34",C44&lt;=39,"35-39",C44&lt;=44,"40-44",C44&lt;=49,"45-49",C44&lt;=54,"50-54",C44&lt;=54,"50-54",C44&lt;=59,"55-59",C44&lt;=64,"60-64",C44&lt;=69,"65-69",C44&lt;=74,"70-74",C44&lt;=79,"75-79",C44&lt;=84,"80-84",C44&gt;84,"85+")</f>
        <v>80-84</v>
      </c>
      <c r="E44" s="83">
        <f>IF(D44="85+",1,VLOOKUP(D44,'Life table 2014'!$AF$3:$AR$21,7,FALSE))</f>
        <v>7.0484562672628037E-2</v>
      </c>
      <c r="F44" s="72"/>
      <c r="G44" s="316">
        <f t="shared" si="11"/>
        <v>14600</v>
      </c>
      <c r="H44" s="27">
        <f>'Parameters &amp; DSA'!$B$119*G44^'Parameters &amp; DSA'!$B$120</f>
        <v>1.8010076243455548</v>
      </c>
      <c r="I44" s="314">
        <f t="shared" si="31"/>
        <v>4.7200098756208453E-2</v>
      </c>
      <c r="J44" s="72"/>
      <c r="K44" s="140">
        <f t="shared" si="43"/>
        <v>1.6896572468525418E-2</v>
      </c>
      <c r="L44" s="141">
        <f t="shared" si="44"/>
        <v>0</v>
      </c>
      <c r="M44" s="141">
        <f t="shared" si="45"/>
        <v>1.4080477057104516E-3</v>
      </c>
      <c r="N44" s="27">
        <f t="shared" si="46"/>
        <v>3.9077039210123491E-3</v>
      </c>
      <c r="O44" s="27">
        <f t="shared" si="47"/>
        <v>0</v>
      </c>
      <c r="P44" s="27">
        <f t="shared" si="48"/>
        <v>1.851017646795323E-3</v>
      </c>
      <c r="Q44" s="27">
        <f t="shared" si="49"/>
        <v>6.8751843308745514E-4</v>
      </c>
      <c r="R44" s="27">
        <f t="shared" si="50"/>
        <v>0</v>
      </c>
      <c r="S44" s="27">
        <f t="shared" si="51"/>
        <v>2.0625552992623668E-3</v>
      </c>
      <c r="T44" s="27">
        <f t="shared" si="52"/>
        <v>3.2304945475749989E-4</v>
      </c>
      <c r="U44" s="27">
        <f t="shared" si="53"/>
        <v>9.6914836427249972E-4</v>
      </c>
      <c r="V44" s="27">
        <f t="shared" si="54"/>
        <v>1.2921978190299996E-3</v>
      </c>
      <c r="W44" s="27">
        <f t="shared" si="28"/>
        <v>7.8200210677538212E-2</v>
      </c>
      <c r="X44" s="27">
        <f t="shared" si="29"/>
        <v>3.8739064329433473E-3</v>
      </c>
      <c r="Y44" s="142">
        <f t="shared" si="55"/>
        <v>0.88852807177706605</v>
      </c>
      <c r="Z44" s="89">
        <f t="shared" si="32"/>
        <v>1.0000000000000009</v>
      </c>
      <c r="AB44" s="92">
        <f>(IF('Parameters &amp; DSA'!$H$1=1,(('Parameters &amp; DSA'!$B$76+'Parameters &amp; DSA'!$B$84+'Parameters &amp; DSA'!$B$88+'Parameters &amp; DSA'!$B$92)*($K44))/(1+cDC)^$A44,(('Parameters &amp; DSA'!$B$76+'Parameters &amp; DSA'!$B$84)*($K44))))*($AD$2/$AF$2)</f>
        <v>37.530107768354597</v>
      </c>
      <c r="AC44" s="371">
        <f>(IF('Parameters &amp; DSA'!$H$1=1,(('Parameters &amp; DSA'!$B$76+'Parameters &amp; DSA'!$B$84+'Parameters &amp; DSA'!$B$88+'Parameters &amp; DSA'!$B$92)*($M44+$N44))/(1+cDC)^$A44,(('Parameters &amp; DSA'!$B$76+'Parameters &amp; DSA'!$B$84)*($M44+$N44))))*($AD$2/$AF$2)</f>
        <v>11.807171649299809</v>
      </c>
      <c r="AD44" s="371">
        <f>(IF('Parameters &amp; DSA'!$H$1=1,(('Parameters &amp; DSA'!$B$76+'Parameters &amp; DSA'!$B$84+'Parameters &amp; DSA'!$B$88+'Parameters &amp; DSA'!$B$92)*(P44+Q44))/(1+cDC)^$A44,(('Parameters &amp; DSA'!$B$76+'Parameters &amp; DSA'!$B$84)*(P44+Q44))))*($AD$2/$AF$2)</f>
        <v>5.6385123568301738</v>
      </c>
      <c r="AE44" s="371">
        <f>(IF('Parameters &amp; DSA'!$H$1=1,(('Parameters &amp; DSA'!$B$76+'Parameters &amp; DSA'!$B$84+'Parameters &amp; DSA'!$B$88+'Parameters &amp; DSA'!$B$92)*(S44+T44))/(1+cDC)^$A44,(('Parameters &amp; DSA'!$B$76+'Parameters &amp; DSA'!$B$84)*(S44+T44))))*($AD$2/$AF$2)</f>
        <v>5.2988263553358541</v>
      </c>
      <c r="AF44" s="371">
        <f>(IF('Parameters &amp; DSA'!$H$1=1,(((W44-W43)*cM_Dialysis0)+(W44*cM_Dialysis1))/(1+'Parameters &amp; DSA'!$B$6)^$A44,(((W44-W43)*cM_Dialysis0)+(W44*cM_Dialysis1))))*($AD$2/$AG$2)</f>
        <v>13467.084772229167</v>
      </c>
      <c r="AG44" s="93">
        <f t="shared" si="22"/>
        <v>13527.359390358988</v>
      </c>
      <c r="AI44" s="88">
        <f t="shared" si="33"/>
        <v>5.1797598758568358E-3</v>
      </c>
      <c r="AJ44" s="27">
        <f t="shared" si="34"/>
        <v>4.7494787768973708E-3</v>
      </c>
      <c r="AK44" s="27">
        <f t="shared" si="35"/>
        <v>1.6295800250263664E-3</v>
      </c>
      <c r="AL44" s="27">
        <f t="shared" si="36"/>
        <v>1.4902675546028675E-3</v>
      </c>
      <c r="AM44" s="27">
        <f t="shared" si="37"/>
        <v>7.7820560083918864E-4</v>
      </c>
      <c r="AN44" s="27">
        <f t="shared" si="38"/>
        <v>7.0696601423932647E-4</v>
      </c>
      <c r="AO44" s="27">
        <f t="shared" si="39"/>
        <v>7.3132345672730504E-4</v>
      </c>
      <c r="AP44" s="27">
        <f t="shared" si="40"/>
        <v>6.3334044746559803E-4</v>
      </c>
      <c r="AQ44" s="27">
        <f t="shared" si="41"/>
        <v>2.4368941614208873E-2</v>
      </c>
      <c r="AR44" s="27">
        <f t="shared" si="42"/>
        <v>1.7058259129946209E-2</v>
      </c>
      <c r="AS44" s="27">
        <f t="shared" si="23"/>
        <v>3.2687810572658571E-2</v>
      </c>
      <c r="AT44" s="89">
        <f t="shared" si="24"/>
        <v>2.4638311923151371E-2</v>
      </c>
    </row>
    <row r="45" spans="1:46">
      <c r="A45" s="80">
        <v>41</v>
      </c>
      <c r="C45" s="10">
        <f t="shared" si="25"/>
        <v>83</v>
      </c>
      <c r="D45" s="98" t="str" cm="1">
        <f t="array" ref="D45">_xlfn.IFS(C45&lt;=4,"1-4",C45&lt;=9,"5-9",C45&lt;=14,"10-14",C45&lt;=19,"15-19",C45&lt;=24,"20-24",C45&lt;=29,"25-29",C45&lt;=34,"30-34",C45&lt;=39,"35-39",C45&lt;=44,"40-44",C45&lt;=49,"45-49",C45&lt;=54,"50-54",C45&lt;=54,"50-54",C45&lt;=59,"55-59",C45&lt;=64,"60-64",C45&lt;=69,"65-69",C45&lt;=74,"70-74",C45&lt;=79,"75-79",C45&lt;=84,"80-84",C45&gt;84,"85+")</f>
        <v>80-84</v>
      </c>
      <c r="E45" s="83">
        <f>IF(D45="85+",1,VLOOKUP(D45,'Life table 2014'!$AF$3:$AR$21,7,FALSE))</f>
        <v>7.0484562672628037E-2</v>
      </c>
      <c r="F45" s="72"/>
      <c r="G45" s="316">
        <f t="shared" si="11"/>
        <v>14965</v>
      </c>
      <c r="H45" s="27">
        <f>'Parameters &amp; DSA'!$B$119*G45^'Parameters &amp; DSA'!$B$120</f>
        <v>1.8494485766832074</v>
      </c>
      <c r="I45" s="314">
        <f t="shared" si="31"/>
        <v>4.7286406844448181E-2</v>
      </c>
      <c r="J45" s="72"/>
      <c r="K45" s="140">
        <f t="shared" si="43"/>
        <v>1.4497499951460035E-2</v>
      </c>
      <c r="L45" s="141">
        <f t="shared" si="44"/>
        <v>0</v>
      </c>
      <c r="M45" s="141">
        <f t="shared" si="45"/>
        <v>1.2081249959550028E-3</v>
      </c>
      <c r="N45" s="27">
        <f t="shared" si="46"/>
        <v>3.3528710986679192E-3</v>
      </c>
      <c r="O45" s="27">
        <f t="shared" si="47"/>
        <v>0</v>
      </c>
      <c r="P45" s="27">
        <f t="shared" si="48"/>
        <v>1.588202099369014E-3</v>
      </c>
      <c r="Q45" s="27">
        <f t="shared" si="49"/>
        <v>5.8990211861588795E-4</v>
      </c>
      <c r="R45" s="27">
        <f t="shared" si="50"/>
        <v>0</v>
      </c>
      <c r="S45" s="27">
        <f t="shared" si="51"/>
        <v>1.7697063558476647E-3</v>
      </c>
      <c r="T45" s="27">
        <f t="shared" si="52"/>
        <v>2.7718205577787928E-4</v>
      </c>
      <c r="U45" s="27">
        <f t="shared" si="53"/>
        <v>8.315461673336379E-4</v>
      </c>
      <c r="V45" s="27">
        <f t="shared" si="54"/>
        <v>1.1087282231115171E-3</v>
      </c>
      <c r="W45" s="27">
        <f t="shared" si="28"/>
        <v>7.0395455632179554E-2</v>
      </c>
      <c r="X45" s="27">
        <f t="shared" si="29"/>
        <v>3.4939652157141535E-3</v>
      </c>
      <c r="Y45" s="142">
        <f t="shared" si="55"/>
        <v>0.90088681608596877</v>
      </c>
      <c r="Z45" s="89">
        <f t="shared" si="32"/>
        <v>1.0000000000000011</v>
      </c>
      <c r="AB45" s="92">
        <f>(IF('Parameters &amp; DSA'!$H$1=1,(('Parameters &amp; DSA'!$B$76+'Parameters &amp; DSA'!$B$84+'Parameters &amp; DSA'!$B$88+'Parameters &amp; DSA'!$B$92)*($K45))/(1+cDC)^$A45,(('Parameters &amp; DSA'!$B$76+'Parameters &amp; DSA'!$B$84)*($K45))))*($AD$2/$AF$2)</f>
        <v>31.263463362430642</v>
      </c>
      <c r="AC45" s="371">
        <f>(IF('Parameters &amp; DSA'!$H$1=1,(('Parameters &amp; DSA'!$B$76+'Parameters &amp; DSA'!$B$84+'Parameters &amp; DSA'!$B$88+'Parameters &amp; DSA'!$B$92)*($M45+$N45))/(1+cDC)^$A45,(('Parameters &amp; DSA'!$B$76+'Parameters &amp; DSA'!$B$84)*($M45+$N45))))*($AD$2/$AF$2)</f>
        <v>9.8356637198038097</v>
      </c>
      <c r="AD45" s="371">
        <f>(IF('Parameters &amp; DSA'!$H$1=1,(('Parameters &amp; DSA'!$B$76+'Parameters &amp; DSA'!$B$84+'Parameters &amp; DSA'!$B$88+'Parameters &amp; DSA'!$B$92)*(P45+Q45))/(1+cDC)^$A45,(('Parameters &amp; DSA'!$B$76+'Parameters &amp; DSA'!$B$84)*(P45+Q45))))*($AD$2/$AF$2)</f>
        <v>4.6970223587873727</v>
      </c>
      <c r="AE45" s="371">
        <f>(IF('Parameters &amp; DSA'!$H$1=1,(('Parameters &amp; DSA'!$B$76+'Parameters &amp; DSA'!$B$84+'Parameters &amp; DSA'!$B$88+'Parameters &amp; DSA'!$B$92)*(S45+T45))/(1+cDC)^$A45,(('Parameters &amp; DSA'!$B$76+'Parameters &amp; DSA'!$B$84)*(S45+T45))))*($AD$2/$AF$2)</f>
        <v>4.4140590500498247</v>
      </c>
      <c r="AF45" s="371">
        <f>(IF('Parameters &amp; DSA'!$H$1=1,(((W45-W44)*cM_Dialysis0)+(W45*cM_Dialysis1))/(1+'Parameters &amp; DSA'!$B$6)^$A45,(((W45-W44)*cM_Dialysis0)+(W45*cM_Dialysis1))))*($AD$2/$AG$2)</f>
        <v>11755.567388724912</v>
      </c>
      <c r="AG45" s="93">
        <f t="shared" si="22"/>
        <v>11805.777597215983</v>
      </c>
      <c r="AI45" s="88">
        <f t="shared" si="33"/>
        <v>4.3148619264446663E-3</v>
      </c>
      <c r="AJ45" s="27">
        <f t="shared" si="34"/>
        <v>3.9564276406734858E-3</v>
      </c>
      <c r="AK45" s="27">
        <f t="shared" si="35"/>
        <v>1.3574801490769648E-3</v>
      </c>
      <c r="AL45" s="27">
        <f t="shared" si="36"/>
        <v>1.2414294426284049E-3</v>
      </c>
      <c r="AM45" s="27">
        <f t="shared" si="37"/>
        <v>6.4826480382675208E-4</v>
      </c>
      <c r="AN45" s="27">
        <f t="shared" si="38"/>
        <v>5.8892043958411818E-4</v>
      </c>
      <c r="AO45" s="27">
        <f t="shared" si="39"/>
        <v>6.0921130571305081E-4</v>
      </c>
      <c r="AP45" s="27">
        <f t="shared" si="40"/>
        <v>5.2758893128909397E-4</v>
      </c>
      <c r="AQ45" s="27">
        <f t="shared" si="41"/>
        <v>2.1281647286201431E-2</v>
      </c>
      <c r="AR45" s="27">
        <f t="shared" si="42"/>
        <v>1.4897153100341001E-2</v>
      </c>
      <c r="AS45" s="27">
        <f t="shared" si="23"/>
        <v>2.8211465471262867E-2</v>
      </c>
      <c r="AT45" s="89">
        <f t="shared" si="24"/>
        <v>2.1211519554516105E-2</v>
      </c>
    </row>
    <row r="46" spans="1:46">
      <c r="A46" s="80">
        <v>42</v>
      </c>
      <c r="C46" s="10">
        <f t="shared" si="25"/>
        <v>84</v>
      </c>
      <c r="D46" s="98" t="str" cm="1">
        <f t="array" ref="D46">_xlfn.IFS(C46&lt;=4,"1-4",C46&lt;=9,"5-9",C46&lt;=14,"10-14",C46&lt;=19,"15-19",C46&lt;=24,"20-24",C46&lt;=29,"25-29",C46&lt;=34,"30-34",C46&lt;=39,"35-39",C46&lt;=44,"40-44",C46&lt;=49,"45-49",C46&lt;=54,"50-54",C46&lt;=54,"50-54",C46&lt;=59,"55-59",C46&lt;=64,"60-64",C46&lt;=69,"65-69",C46&lt;=74,"70-74",C46&lt;=79,"75-79",C46&lt;=84,"80-84",C46&gt;84,"85+")</f>
        <v>80-84</v>
      </c>
      <c r="E46" s="83">
        <f>IF(D46="85+",1,VLOOKUP(D46,'Life table 2014'!$AF$3:$AR$21,7,FALSE))</f>
        <v>7.0484562672628037E-2</v>
      </c>
      <c r="F46" s="72"/>
      <c r="G46" s="316">
        <f t="shared" si="11"/>
        <v>15330</v>
      </c>
      <c r="H46" s="27">
        <f>'Parameters &amp; DSA'!$B$119*G46^'Parameters &amp; DSA'!$B$120</f>
        <v>1.8979780704444795</v>
      </c>
      <c r="I46" s="314">
        <f t="shared" si="31"/>
        <v>4.7370757727959067E-2</v>
      </c>
      <c r="J46" s="72"/>
      <c r="K46" s="140">
        <f t="shared" si="43"/>
        <v>1.2439061545416857E-2</v>
      </c>
      <c r="L46" s="141">
        <f t="shared" si="44"/>
        <v>0</v>
      </c>
      <c r="M46" s="141">
        <f t="shared" si="45"/>
        <v>1.0365884621180714E-3</v>
      </c>
      <c r="N46" s="27">
        <f t="shared" si="46"/>
        <v>2.8768146182605483E-3</v>
      </c>
      <c r="O46" s="27">
        <f t="shared" si="47"/>
        <v>0</v>
      </c>
      <c r="P46" s="27">
        <f t="shared" si="48"/>
        <v>1.3627016612813123E-3</v>
      </c>
      <c r="Q46" s="27">
        <f t="shared" si="49"/>
        <v>5.0614537368120723E-4</v>
      </c>
      <c r="R46" s="27">
        <f t="shared" si="50"/>
        <v>0</v>
      </c>
      <c r="S46" s="27">
        <f t="shared" si="51"/>
        <v>1.5184361210436226E-3</v>
      </c>
      <c r="T46" s="27">
        <f t="shared" si="52"/>
        <v>2.3782679713655594E-4</v>
      </c>
      <c r="U46" s="27">
        <f t="shared" si="53"/>
        <v>7.1348039140966776E-4</v>
      </c>
      <c r="V46" s="27">
        <f t="shared" si="54"/>
        <v>9.5130718854622375E-4</v>
      </c>
      <c r="W46" s="27">
        <f t="shared" si="28"/>
        <v>6.3315781187195289E-2</v>
      </c>
      <c r="X46" s="27">
        <f t="shared" si="29"/>
        <v>3.1484615397923991E-3</v>
      </c>
      <c r="Y46" s="142">
        <f t="shared" si="55"/>
        <v>0.91189339511411927</v>
      </c>
      <c r="Z46" s="89">
        <f t="shared" si="32"/>
        <v>1.0000000000000011</v>
      </c>
      <c r="AB46" s="92">
        <f>(IF('Parameters &amp; DSA'!$H$1=1,(('Parameters &amp; DSA'!$B$76+'Parameters &amp; DSA'!$B$84+'Parameters &amp; DSA'!$B$88+'Parameters &amp; DSA'!$B$92)*($K46))/(1+cDC)^$A46,(('Parameters &amp; DSA'!$B$76+'Parameters &amp; DSA'!$B$84)*($K46))))*($AD$2/$AF$2)</f>
        <v>26.043201033336508</v>
      </c>
      <c r="AC46" s="371">
        <f>(IF('Parameters &amp; DSA'!$H$1=1,(('Parameters &amp; DSA'!$B$76+'Parameters &amp; DSA'!$B$84+'Parameters &amp; DSA'!$B$88+'Parameters &amp; DSA'!$B$92)*($M46+$N46))/(1+cDC)^$A46,(('Parameters &amp; DSA'!$B$76+'Parameters &amp; DSA'!$B$84)*($M46+$N46))))*($AD$2/$AF$2)</f>
        <v>8.1933466423220676</v>
      </c>
      <c r="AD46" s="371">
        <f>(IF('Parameters &amp; DSA'!$H$1=1,(('Parameters &amp; DSA'!$B$76+'Parameters &amp; DSA'!$B$84+'Parameters &amp; DSA'!$B$88+'Parameters &amp; DSA'!$B$92)*(P46+Q46))/(1+cDC)^$A46,(('Parameters &amp; DSA'!$B$76+'Parameters &amp; DSA'!$B$84)*(P46+Q46))))*($AD$2/$AF$2)</f>
        <v>3.9127356074555633</v>
      </c>
      <c r="AE46" s="371">
        <f>(IF('Parameters &amp; DSA'!$H$1=1,(('Parameters &amp; DSA'!$B$76+'Parameters &amp; DSA'!$B$84+'Parameters &amp; DSA'!$B$88+'Parameters &amp; DSA'!$B$92)*(S46+T46))/(1+cDC)^$A46,(('Parameters &amp; DSA'!$B$76+'Parameters &amp; DSA'!$B$84)*(S46+T46))))*($AD$2/$AF$2)</f>
        <v>3.6770224247674812</v>
      </c>
      <c r="AF46" s="371">
        <f>(IF('Parameters &amp; DSA'!$H$1=1,(((W46-W45)*cM_Dialysis0)+(W46*cM_Dialysis1))/(1+'Parameters &amp; DSA'!$B$6)^$A46,(((W46-W45)*cM_Dialysis0)+(W46*cM_Dialysis1))))*($AD$2/$AG$2)</f>
        <v>10253.567133317409</v>
      </c>
      <c r="AG46" s="93">
        <f t="shared" si="22"/>
        <v>10295.393439025291</v>
      </c>
      <c r="AI46" s="88">
        <f t="shared" si="33"/>
        <v>3.594381571829521E-3</v>
      </c>
      <c r="AJ46" s="27">
        <f t="shared" si="34"/>
        <v>3.2957973729721142E-3</v>
      </c>
      <c r="AK46" s="27">
        <f t="shared" si="35"/>
        <v>1.1308139174242187E-3</v>
      </c>
      <c r="AL46" s="27">
        <f t="shared" si="36"/>
        <v>1.0341408617864057E-3</v>
      </c>
      <c r="AM46" s="27">
        <f t="shared" si="37"/>
        <v>5.4002058905420493E-4</v>
      </c>
      <c r="AN46" s="27">
        <f t="shared" si="38"/>
        <v>4.9058526826218024E-4</v>
      </c>
      <c r="AO46" s="27">
        <f t="shared" si="39"/>
        <v>5.0748837003063651E-4</v>
      </c>
      <c r="AP46" s="27">
        <f t="shared" si="40"/>
        <v>4.3949487521858382E-4</v>
      </c>
      <c r="AQ46" s="27">
        <f t="shared" si="41"/>
        <v>1.8570567987744709E-2</v>
      </c>
      <c r="AR46" s="27">
        <f t="shared" si="42"/>
        <v>1.2999397591421295E-2</v>
      </c>
      <c r="AS46" s="27">
        <f t="shared" si="23"/>
        <v>2.434327243608329E-2</v>
      </c>
      <c r="AT46" s="89">
        <f t="shared" si="24"/>
        <v>1.8259415969660579E-2</v>
      </c>
    </row>
    <row r="47" spans="1:46">
      <c r="A47" s="80">
        <v>43</v>
      </c>
      <c r="C47" s="10">
        <f t="shared" si="25"/>
        <v>85</v>
      </c>
      <c r="D47" s="98" t="str" cm="1">
        <f t="array" ref="D47">_xlfn.IFS(C47&lt;=4,"1-4",C47&lt;=9,"5-9",C47&lt;=14,"10-14",C47&lt;=19,"15-19",C47&lt;=24,"20-24",C47&lt;=29,"25-29",C47&lt;=34,"30-34",C47&lt;=39,"35-39",C47&lt;=44,"40-44",C47&lt;=49,"45-49",C47&lt;=54,"50-54",C47&lt;=54,"50-54",C47&lt;=59,"55-59",C47&lt;=64,"60-64",C47&lt;=69,"65-69",C47&lt;=74,"70-74",C47&lt;=79,"75-79",C47&lt;=84,"80-84",C47&gt;84,"85+")</f>
        <v>85+</v>
      </c>
      <c r="E47" s="83">
        <f>IF(D47="85+",1,VLOOKUP(D47,'Life table 2014'!$AF$3:$AR$21,7,FALSE))</f>
        <v>1</v>
      </c>
      <c r="F47" s="72"/>
      <c r="G47" s="316">
        <f t="shared" si="11"/>
        <v>15695</v>
      </c>
      <c r="H47" s="27">
        <f>'Parameters &amp; DSA'!$B$119*G47^'Parameters &amp; DSA'!$B$120</f>
        <v>1.9465941532125437</v>
      </c>
      <c r="I47" s="314">
        <f t="shared" si="31"/>
        <v>4.7453241376748334E-2</v>
      </c>
      <c r="J47" s="72"/>
      <c r="K47" s="140">
        <f t="shared" si="43"/>
        <v>0</v>
      </c>
      <c r="L47" s="141">
        <f t="shared" si="44"/>
        <v>0</v>
      </c>
      <c r="M47" s="141">
        <f t="shared" si="45"/>
        <v>0</v>
      </c>
      <c r="N47" s="27">
        <f t="shared" si="46"/>
        <v>0</v>
      </c>
      <c r="O47" s="27">
        <f t="shared" si="47"/>
        <v>0</v>
      </c>
      <c r="P47" s="27">
        <f t="shared" si="48"/>
        <v>0</v>
      </c>
      <c r="Q47" s="27">
        <f t="shared" si="49"/>
        <v>0</v>
      </c>
      <c r="R47" s="27">
        <f t="shared" si="50"/>
        <v>0</v>
      </c>
      <c r="S47" s="27">
        <f t="shared" si="51"/>
        <v>0</v>
      </c>
      <c r="T47" s="27">
        <f t="shared" si="52"/>
        <v>0</v>
      </c>
      <c r="U47" s="27">
        <f t="shared" si="53"/>
        <v>0</v>
      </c>
      <c r="V47" s="27">
        <f t="shared" si="54"/>
        <v>0</v>
      </c>
      <c r="W47" s="27">
        <f t="shared" si="28"/>
        <v>0</v>
      </c>
      <c r="X47" s="27">
        <f t="shared" si="29"/>
        <v>0</v>
      </c>
      <c r="Y47" s="142">
        <f t="shared" si="55"/>
        <v>1.0000000000000011</v>
      </c>
      <c r="Z47" s="89">
        <f t="shared" si="32"/>
        <v>1.0000000000000011</v>
      </c>
      <c r="AB47" s="92">
        <f>(IF('Parameters &amp; DSA'!$H$1=1,(('Parameters &amp; DSA'!$B$76+'Parameters &amp; DSA'!$B$84+'Parameters &amp; DSA'!$B$88+'Parameters &amp; DSA'!$B$92)*($K47))/(1+cDC)^$A47,(('Parameters &amp; DSA'!$B$76+'Parameters &amp; DSA'!$B$84)*($K47))))*($AD$2/$AF$2)</f>
        <v>0</v>
      </c>
      <c r="AC47" s="371">
        <f>(IF('Parameters &amp; DSA'!$H$1=1,(('Parameters &amp; DSA'!$B$76+'Parameters &amp; DSA'!$B$84+'Parameters &amp; DSA'!$B$88+'Parameters &amp; DSA'!$B$92)*($M47+$N47))/(1+cDC)^$A47,(('Parameters &amp; DSA'!$B$76+'Parameters &amp; DSA'!$B$84)*($M47+$N47))))*($AD$2/$AF$2)</f>
        <v>0</v>
      </c>
      <c r="AD47" s="371">
        <f>(IF('Parameters &amp; DSA'!$H$1=1,(('Parameters &amp; DSA'!$B$76+'Parameters &amp; DSA'!$B$84+'Parameters &amp; DSA'!$B$88+'Parameters &amp; DSA'!$B$92)*(P47+Q47))/(1+cDC)^$A47,(('Parameters &amp; DSA'!$B$76+'Parameters &amp; DSA'!$B$84)*(P47+Q47))))*($AD$2/$AF$2)</f>
        <v>0</v>
      </c>
      <c r="AE47" s="371">
        <f>(IF('Parameters &amp; DSA'!$H$1=1,(('Parameters &amp; DSA'!$B$76+'Parameters &amp; DSA'!$B$84+'Parameters &amp; DSA'!$B$88+'Parameters &amp; DSA'!$B$92)*(S47+T47))/(1+cDC)^$A47,(('Parameters &amp; DSA'!$B$76+'Parameters &amp; DSA'!$B$84)*(S47+T47))))*($AD$2/$AF$2)</f>
        <v>0</v>
      </c>
      <c r="AF47" s="371">
        <f>(IF('Parameters &amp; DSA'!$H$1=1,(((W47-W46)*cM_Dialysis0)+(W47*cM_Dialysis1))/(1+'Parameters &amp; DSA'!$B$6)^$A47,(((W47-W46)*cM_Dialysis0)+(W47*cM_Dialysis1))))*($AD$2/$AG$2)</f>
        <v>-12102.235864288528</v>
      </c>
      <c r="AG47" s="93">
        <f t="shared" si="22"/>
        <v>-12102.235864288528</v>
      </c>
      <c r="AI47" s="88">
        <f t="shared" si="33"/>
        <v>0</v>
      </c>
      <c r="AJ47" s="27">
        <f t="shared" si="34"/>
        <v>0</v>
      </c>
      <c r="AK47" s="27">
        <f t="shared" si="35"/>
        <v>0</v>
      </c>
      <c r="AL47" s="27">
        <f t="shared" si="36"/>
        <v>0</v>
      </c>
      <c r="AM47" s="27">
        <f t="shared" si="37"/>
        <v>0</v>
      </c>
      <c r="AN47" s="27">
        <f t="shared" si="38"/>
        <v>0</v>
      </c>
      <c r="AO47" s="27">
        <f t="shared" si="39"/>
        <v>0</v>
      </c>
      <c r="AP47" s="27">
        <f t="shared" si="40"/>
        <v>0</v>
      </c>
      <c r="AQ47" s="27">
        <f t="shared" si="41"/>
        <v>0</v>
      </c>
      <c r="AR47" s="27">
        <f t="shared" si="42"/>
        <v>0</v>
      </c>
      <c r="AS47" s="27">
        <f t="shared" si="23"/>
        <v>0</v>
      </c>
      <c r="AT47" s="89">
        <f t="shared" si="24"/>
        <v>0</v>
      </c>
    </row>
    <row r="48" spans="1:46">
      <c r="A48" s="80">
        <v>44</v>
      </c>
      <c r="C48" s="10">
        <f t="shared" si="25"/>
        <v>86</v>
      </c>
      <c r="D48" s="98" t="str" cm="1">
        <f t="array" ref="D48">_xlfn.IFS(C48&lt;=4,"1-4",C48&lt;=9,"5-9",C48&lt;=14,"10-14",C48&lt;=19,"15-19",C48&lt;=24,"20-24",C48&lt;=29,"25-29",C48&lt;=34,"30-34",C48&lt;=39,"35-39",C48&lt;=44,"40-44",C48&lt;=49,"45-49",C48&lt;=54,"50-54",C48&lt;=54,"50-54",C48&lt;=59,"55-59",C48&lt;=64,"60-64",C48&lt;=69,"65-69",C48&lt;=74,"70-74",C48&lt;=79,"75-79",C48&lt;=84,"80-84",C48&gt;84,"85+")</f>
        <v>85+</v>
      </c>
      <c r="E48" s="83">
        <f>IF(D48="85+",1,VLOOKUP(D48,'Life table 2014'!$AF$3:$AR$21,7,FALSE))</f>
        <v>1</v>
      </c>
      <c r="F48" s="72"/>
      <c r="G48" s="316">
        <f t="shared" si="11"/>
        <v>16060</v>
      </c>
      <c r="H48" s="27">
        <f>'Parameters &amp; DSA'!$B$119*G48^'Parameters &amp; DSA'!$B$120</f>
        <v>1.9952949600820995</v>
      </c>
      <c r="I48" s="314">
        <f t="shared" si="31"/>
        <v>4.7533941626325071E-2</v>
      </c>
      <c r="J48" s="72"/>
      <c r="K48" s="140">
        <f t="shared" si="43"/>
        <v>0</v>
      </c>
      <c r="L48" s="141">
        <f t="shared" si="44"/>
        <v>0</v>
      </c>
      <c r="M48" s="141">
        <f t="shared" si="45"/>
        <v>0</v>
      </c>
      <c r="N48" s="27">
        <f t="shared" si="46"/>
        <v>0</v>
      </c>
      <c r="O48" s="27">
        <f t="shared" si="47"/>
        <v>0</v>
      </c>
      <c r="P48" s="27">
        <f t="shared" si="48"/>
        <v>0</v>
      </c>
      <c r="Q48" s="27">
        <f t="shared" si="49"/>
        <v>0</v>
      </c>
      <c r="R48" s="27">
        <f t="shared" si="50"/>
        <v>0</v>
      </c>
      <c r="S48" s="27">
        <f t="shared" si="51"/>
        <v>0</v>
      </c>
      <c r="T48" s="27">
        <f t="shared" si="52"/>
        <v>0</v>
      </c>
      <c r="U48" s="27">
        <f t="shared" si="53"/>
        <v>0</v>
      </c>
      <c r="V48" s="27">
        <f t="shared" si="54"/>
        <v>0</v>
      </c>
      <c r="W48" s="27">
        <f t="shared" si="28"/>
        <v>0</v>
      </c>
      <c r="X48" s="27">
        <f t="shared" si="29"/>
        <v>0</v>
      </c>
      <c r="Y48" s="142">
        <f t="shared" si="55"/>
        <v>1.0000000000000011</v>
      </c>
      <c r="Z48" s="89">
        <f t="shared" si="32"/>
        <v>1.0000000000000011</v>
      </c>
      <c r="AB48" s="92">
        <f>(IF('Parameters &amp; DSA'!$H$1=1,(('Parameters &amp; DSA'!$B$76+'Parameters &amp; DSA'!$B$84+'Parameters &amp; DSA'!$B$88+'Parameters &amp; DSA'!$B$92)*($K48))/(1+cDC)^$A48,(('Parameters &amp; DSA'!$B$76+'Parameters &amp; DSA'!$B$84)*($K48))))*($AD$2/$AF$2)</f>
        <v>0</v>
      </c>
      <c r="AC48" s="371">
        <f>(IF('Parameters &amp; DSA'!$H$1=1,(('Parameters &amp; DSA'!$B$76+'Parameters &amp; DSA'!$B$84+'Parameters &amp; DSA'!$B$88+'Parameters &amp; DSA'!$B$92)*($M48+$N48))/(1+cDC)^$A48,(('Parameters &amp; DSA'!$B$76+'Parameters &amp; DSA'!$B$84)*($M48+$N48))))*($AD$2/$AF$2)</f>
        <v>0</v>
      </c>
      <c r="AD48" s="371">
        <f>(IF('Parameters &amp; DSA'!$H$1=1,(('Parameters &amp; DSA'!$B$76+'Parameters &amp; DSA'!$B$84+'Parameters &amp; DSA'!$B$88+'Parameters &amp; DSA'!$B$92)*(P48+Q48))/(1+cDC)^$A48,(('Parameters &amp; DSA'!$B$76+'Parameters &amp; DSA'!$B$84)*(P48+Q48))))*($AD$2/$AF$2)</f>
        <v>0</v>
      </c>
      <c r="AE48" s="371">
        <f>(IF('Parameters &amp; DSA'!$H$1=1,(('Parameters &amp; DSA'!$B$76+'Parameters &amp; DSA'!$B$84+'Parameters &amp; DSA'!$B$88+'Parameters &amp; DSA'!$B$92)*(S48+T48))/(1+cDC)^$A48,(('Parameters &amp; DSA'!$B$76+'Parameters &amp; DSA'!$B$84)*(S48+T48))))*($AD$2/$AF$2)</f>
        <v>0</v>
      </c>
      <c r="AF48" s="371">
        <f>(IF('Parameters &amp; DSA'!$H$1=1,(((W48-W47)*cM_Dialysis0)+(W48*cM_Dialysis1))/(1+'Parameters &amp; DSA'!$B$6)^$A48,(((W48-W47)*cM_Dialysis0)+(W48*cM_Dialysis1))))*($AD$2/$AG$2)</f>
        <v>0</v>
      </c>
      <c r="AG48" s="93">
        <f t="shared" si="22"/>
        <v>0</v>
      </c>
      <c r="AI48" s="88">
        <f t="shared" si="33"/>
        <v>0</v>
      </c>
      <c r="AJ48" s="27">
        <f t="shared" si="34"/>
        <v>0</v>
      </c>
      <c r="AK48" s="27">
        <f t="shared" si="35"/>
        <v>0</v>
      </c>
      <c r="AL48" s="27">
        <f t="shared" si="36"/>
        <v>0</v>
      </c>
      <c r="AM48" s="27">
        <f t="shared" si="37"/>
        <v>0</v>
      </c>
      <c r="AN48" s="27">
        <f t="shared" si="38"/>
        <v>0</v>
      </c>
      <c r="AO48" s="27">
        <f t="shared" si="39"/>
        <v>0</v>
      </c>
      <c r="AP48" s="27">
        <f t="shared" si="40"/>
        <v>0</v>
      </c>
      <c r="AQ48" s="27">
        <f t="shared" si="41"/>
        <v>0</v>
      </c>
      <c r="AR48" s="27">
        <f t="shared" si="42"/>
        <v>0</v>
      </c>
      <c r="AS48" s="27">
        <f t="shared" si="23"/>
        <v>0</v>
      </c>
      <c r="AT48" s="89">
        <f t="shared" si="24"/>
        <v>0</v>
      </c>
    </row>
    <row r="49" spans="1:46">
      <c r="A49" s="80">
        <v>45</v>
      </c>
      <c r="C49" s="10">
        <f t="shared" si="25"/>
        <v>87</v>
      </c>
      <c r="D49" s="98" t="str" cm="1">
        <f t="array" ref="D49">_xlfn.IFS(C49&lt;=4,"1-4",C49&lt;=9,"5-9",C49&lt;=14,"10-14",C49&lt;=19,"15-19",C49&lt;=24,"20-24",C49&lt;=29,"25-29",C49&lt;=34,"30-34",C49&lt;=39,"35-39",C49&lt;=44,"40-44",C49&lt;=49,"45-49",C49&lt;=54,"50-54",C49&lt;=54,"50-54",C49&lt;=59,"55-59",C49&lt;=64,"60-64",C49&lt;=69,"65-69",C49&lt;=74,"70-74",C49&lt;=79,"75-79",C49&lt;=84,"80-84",C49&gt;84,"85+")</f>
        <v>85+</v>
      </c>
      <c r="E49" s="83">
        <f>IF(D49="85+",1,VLOOKUP(D49,'Life table 2014'!$AF$3:$AR$21,7,FALSE))</f>
        <v>1</v>
      </c>
      <c r="F49" s="72"/>
      <c r="G49" s="316">
        <f t="shared" si="11"/>
        <v>16425</v>
      </c>
      <c r="H49" s="27">
        <f>'Parameters &amp; DSA'!$B$119*G49^'Parameters &amp; DSA'!$B$120</f>
        <v>2.0440787078345273</v>
      </c>
      <c r="I49" s="314">
        <f t="shared" si="31"/>
        <v>4.7612936726105226E-2</v>
      </c>
      <c r="J49" s="72"/>
      <c r="K49" s="140">
        <f t="shared" si="43"/>
        <v>0</v>
      </c>
      <c r="L49" s="141">
        <f t="shared" si="44"/>
        <v>0</v>
      </c>
      <c r="M49" s="141">
        <f t="shared" si="45"/>
        <v>0</v>
      </c>
      <c r="N49" s="27">
        <f t="shared" si="46"/>
        <v>0</v>
      </c>
      <c r="O49" s="27">
        <f t="shared" si="47"/>
        <v>0</v>
      </c>
      <c r="P49" s="27">
        <f t="shared" si="48"/>
        <v>0</v>
      </c>
      <c r="Q49" s="27">
        <f t="shared" si="49"/>
        <v>0</v>
      </c>
      <c r="R49" s="27">
        <f t="shared" si="50"/>
        <v>0</v>
      </c>
      <c r="S49" s="27">
        <f t="shared" si="51"/>
        <v>0</v>
      </c>
      <c r="T49" s="27">
        <f t="shared" si="52"/>
        <v>0</v>
      </c>
      <c r="U49" s="27">
        <f t="shared" si="53"/>
        <v>0</v>
      </c>
      <c r="V49" s="27">
        <f t="shared" si="54"/>
        <v>0</v>
      </c>
      <c r="W49" s="27">
        <f t="shared" si="28"/>
        <v>0</v>
      </c>
      <c r="X49" s="27">
        <f t="shared" si="29"/>
        <v>0</v>
      </c>
      <c r="Y49" s="142">
        <f t="shared" si="55"/>
        <v>1.0000000000000011</v>
      </c>
      <c r="Z49" s="89">
        <f t="shared" si="32"/>
        <v>1.0000000000000011</v>
      </c>
      <c r="AB49" s="92">
        <f>(IF('Parameters &amp; DSA'!$H$1=1,(('Parameters &amp; DSA'!$B$76+'Parameters &amp; DSA'!$B$84+'Parameters &amp; DSA'!$B$88+'Parameters &amp; DSA'!$B$92)*($K49))/(1+cDC)^$A49,(('Parameters &amp; DSA'!$B$76+'Parameters &amp; DSA'!$B$84)*($K49))))*($AD$2/$AF$2)</f>
        <v>0</v>
      </c>
      <c r="AC49" s="371">
        <f>(IF('Parameters &amp; DSA'!$H$1=1,(('Parameters &amp; DSA'!$B$76+'Parameters &amp; DSA'!$B$84+'Parameters &amp; DSA'!$B$88+'Parameters &amp; DSA'!$B$92)*($M49+$N49))/(1+cDC)^$A49,(('Parameters &amp; DSA'!$B$76+'Parameters &amp; DSA'!$B$84)*($M49+$N49))))*($AD$2/$AF$2)</f>
        <v>0</v>
      </c>
      <c r="AD49" s="371">
        <f>(IF('Parameters &amp; DSA'!$H$1=1,(('Parameters &amp; DSA'!$B$76+'Parameters &amp; DSA'!$B$84+'Parameters &amp; DSA'!$B$88+'Parameters &amp; DSA'!$B$92)*(P49+Q49))/(1+cDC)^$A49,(('Parameters &amp; DSA'!$B$76+'Parameters &amp; DSA'!$B$84)*(P49+Q49))))*($AD$2/$AF$2)</f>
        <v>0</v>
      </c>
      <c r="AE49" s="371">
        <f>(IF('Parameters &amp; DSA'!$H$1=1,(('Parameters &amp; DSA'!$B$76+'Parameters &amp; DSA'!$B$84+'Parameters &amp; DSA'!$B$88+'Parameters &amp; DSA'!$B$92)*(S49+T49))/(1+cDC)^$A49,(('Parameters &amp; DSA'!$B$76+'Parameters &amp; DSA'!$B$84)*(S49+T49))))*($AD$2/$AF$2)</f>
        <v>0</v>
      </c>
      <c r="AF49" s="371">
        <f>(IF('Parameters &amp; DSA'!$H$1=1,(((W49-W48)*cM_Dialysis0)+(W49*cM_Dialysis1))/(1+'Parameters &amp; DSA'!$B$6)^$A49,(((W49-W48)*cM_Dialysis0)+(W49*cM_Dialysis1))))*($AD$2/$AG$2)</f>
        <v>0</v>
      </c>
      <c r="AG49" s="93">
        <f t="shared" si="22"/>
        <v>0</v>
      </c>
      <c r="AI49" s="88">
        <f t="shared" si="33"/>
        <v>0</v>
      </c>
      <c r="AJ49" s="27">
        <f t="shared" si="34"/>
        <v>0</v>
      </c>
      <c r="AK49" s="27">
        <f t="shared" si="35"/>
        <v>0</v>
      </c>
      <c r="AL49" s="27">
        <f t="shared" si="36"/>
        <v>0</v>
      </c>
      <c r="AM49" s="27">
        <f t="shared" si="37"/>
        <v>0</v>
      </c>
      <c r="AN49" s="27">
        <f t="shared" si="38"/>
        <v>0</v>
      </c>
      <c r="AO49" s="27">
        <f t="shared" si="39"/>
        <v>0</v>
      </c>
      <c r="AP49" s="27">
        <f t="shared" si="40"/>
        <v>0</v>
      </c>
      <c r="AQ49" s="27">
        <f t="shared" si="41"/>
        <v>0</v>
      </c>
      <c r="AR49" s="27">
        <f t="shared" si="42"/>
        <v>0</v>
      </c>
      <c r="AS49" s="27">
        <f t="shared" si="23"/>
        <v>0</v>
      </c>
      <c r="AT49" s="89">
        <f t="shared" si="24"/>
        <v>0</v>
      </c>
    </row>
    <row r="50" spans="1:46">
      <c r="A50" s="80">
        <v>46</v>
      </c>
      <c r="C50" s="10">
        <f t="shared" si="25"/>
        <v>88</v>
      </c>
      <c r="D50" s="98" t="str" cm="1">
        <f t="array" ref="D50">_xlfn.IFS(C50&lt;=4,"1-4",C50&lt;=9,"5-9",C50&lt;=14,"10-14",C50&lt;=19,"15-19",C50&lt;=24,"20-24",C50&lt;=29,"25-29",C50&lt;=34,"30-34",C50&lt;=39,"35-39",C50&lt;=44,"40-44",C50&lt;=49,"45-49",C50&lt;=54,"50-54",C50&lt;=54,"50-54",C50&lt;=59,"55-59",C50&lt;=64,"60-64",C50&lt;=69,"65-69",C50&lt;=74,"70-74",C50&lt;=79,"75-79",C50&lt;=84,"80-84",C50&gt;84,"85+")</f>
        <v>85+</v>
      </c>
      <c r="E50" s="83">
        <f>IF(D50="85+",1,VLOOKUP(D50,'Life table 2014'!$AF$3:$AR$21,7,FALSE))</f>
        <v>1</v>
      </c>
      <c r="F50" s="72"/>
      <c r="G50" s="316">
        <f t="shared" si="11"/>
        <v>16790</v>
      </c>
      <c r="H50" s="27">
        <f>'Parameters &amp; DSA'!$B$119*G50^'Parameters &amp; DSA'!$B$120</f>
        <v>2.0929436896217051</v>
      </c>
      <c r="I50" s="314">
        <f t="shared" si="31"/>
        <v>4.769029982759776E-2</v>
      </c>
      <c r="J50" s="72"/>
      <c r="K50" s="140">
        <f t="shared" si="43"/>
        <v>0</v>
      </c>
      <c r="L50" s="141">
        <f t="shared" si="44"/>
        <v>0</v>
      </c>
      <c r="M50" s="141">
        <f t="shared" si="45"/>
        <v>0</v>
      </c>
      <c r="N50" s="27">
        <f t="shared" si="46"/>
        <v>0</v>
      </c>
      <c r="O50" s="27">
        <f t="shared" si="47"/>
        <v>0</v>
      </c>
      <c r="P50" s="27">
        <f t="shared" si="48"/>
        <v>0</v>
      </c>
      <c r="Q50" s="27">
        <f t="shared" si="49"/>
        <v>0</v>
      </c>
      <c r="R50" s="27">
        <f t="shared" si="50"/>
        <v>0</v>
      </c>
      <c r="S50" s="27">
        <f t="shared" si="51"/>
        <v>0</v>
      </c>
      <c r="T50" s="27">
        <f t="shared" si="52"/>
        <v>0</v>
      </c>
      <c r="U50" s="27">
        <f t="shared" si="53"/>
        <v>0</v>
      </c>
      <c r="V50" s="27">
        <f t="shared" si="54"/>
        <v>0</v>
      </c>
      <c r="W50" s="27">
        <f t="shared" si="28"/>
        <v>0</v>
      </c>
      <c r="X50" s="27">
        <f t="shared" si="29"/>
        <v>0</v>
      </c>
      <c r="Y50" s="142">
        <f t="shared" si="55"/>
        <v>1.0000000000000011</v>
      </c>
      <c r="Z50" s="89">
        <f t="shared" si="32"/>
        <v>1.0000000000000011</v>
      </c>
      <c r="AB50" s="92">
        <f>(IF('Parameters &amp; DSA'!$H$1=1,(('Parameters &amp; DSA'!$B$76+'Parameters &amp; DSA'!$B$84+'Parameters &amp; DSA'!$B$88+'Parameters &amp; DSA'!$B$92)*($K50))/(1+cDC)^$A50,(('Parameters &amp; DSA'!$B$76+'Parameters &amp; DSA'!$B$84)*($K50))))*($AD$2/$AF$2)</f>
        <v>0</v>
      </c>
      <c r="AC50" s="371">
        <f>(IF('Parameters &amp; DSA'!$H$1=1,(('Parameters &amp; DSA'!$B$76+'Parameters &amp; DSA'!$B$84+'Parameters &amp; DSA'!$B$88+'Parameters &amp; DSA'!$B$92)*($M50+$N50))/(1+cDC)^$A50,(('Parameters &amp; DSA'!$B$76+'Parameters &amp; DSA'!$B$84)*($M50+$N50))))*($AD$2/$AF$2)</f>
        <v>0</v>
      </c>
      <c r="AD50" s="371">
        <f>(IF('Parameters &amp; DSA'!$H$1=1,(('Parameters &amp; DSA'!$B$76+'Parameters &amp; DSA'!$B$84+'Parameters &amp; DSA'!$B$88+'Parameters &amp; DSA'!$B$92)*(P50+Q50))/(1+cDC)^$A50,(('Parameters &amp; DSA'!$B$76+'Parameters &amp; DSA'!$B$84)*(P50+Q50))))*($AD$2/$AF$2)</f>
        <v>0</v>
      </c>
      <c r="AE50" s="371">
        <f>(IF('Parameters &amp; DSA'!$H$1=1,(('Parameters &amp; DSA'!$B$76+'Parameters &amp; DSA'!$B$84+'Parameters &amp; DSA'!$B$88+'Parameters &amp; DSA'!$B$92)*(S50+T50))/(1+cDC)^$A50,(('Parameters &amp; DSA'!$B$76+'Parameters &amp; DSA'!$B$84)*(S50+T50))))*($AD$2/$AF$2)</f>
        <v>0</v>
      </c>
      <c r="AF50" s="371">
        <f>(IF('Parameters &amp; DSA'!$H$1=1,(((W50-W49)*cM_Dialysis0)+(W50*cM_Dialysis1))/(1+'Parameters &amp; DSA'!$B$6)^$A50,(((W50-W49)*cM_Dialysis0)+(W50*cM_Dialysis1))))*($AD$2/$AG$2)</f>
        <v>0</v>
      </c>
      <c r="AG50" s="93">
        <f t="shared" si="22"/>
        <v>0</v>
      </c>
      <c r="AI50" s="88">
        <f t="shared" si="33"/>
        <v>0</v>
      </c>
      <c r="AJ50" s="27">
        <f t="shared" si="34"/>
        <v>0</v>
      </c>
      <c r="AK50" s="27">
        <f t="shared" si="35"/>
        <v>0</v>
      </c>
      <c r="AL50" s="27">
        <f t="shared" si="36"/>
        <v>0</v>
      </c>
      <c r="AM50" s="27">
        <f t="shared" si="37"/>
        <v>0</v>
      </c>
      <c r="AN50" s="27">
        <f t="shared" si="38"/>
        <v>0</v>
      </c>
      <c r="AO50" s="27">
        <f t="shared" si="39"/>
        <v>0</v>
      </c>
      <c r="AP50" s="27">
        <f t="shared" si="40"/>
        <v>0</v>
      </c>
      <c r="AQ50" s="27">
        <f t="shared" si="41"/>
        <v>0</v>
      </c>
      <c r="AR50" s="27">
        <f t="shared" si="42"/>
        <v>0</v>
      </c>
      <c r="AS50" s="27">
        <f t="shared" si="23"/>
        <v>0</v>
      </c>
      <c r="AT50" s="89">
        <f t="shared" si="24"/>
        <v>0</v>
      </c>
    </row>
    <row r="51" spans="1:46">
      <c r="A51" s="80">
        <v>47</v>
      </c>
      <c r="C51" s="10">
        <f t="shared" si="25"/>
        <v>89</v>
      </c>
      <c r="D51" s="98" t="str" cm="1">
        <f t="array" ref="D51">_xlfn.IFS(C51&lt;=4,"1-4",C51&lt;=9,"5-9",C51&lt;=14,"10-14",C51&lt;=19,"15-19",C51&lt;=24,"20-24",C51&lt;=29,"25-29",C51&lt;=34,"30-34",C51&lt;=39,"35-39",C51&lt;=44,"40-44",C51&lt;=49,"45-49",C51&lt;=54,"50-54",C51&lt;=54,"50-54",C51&lt;=59,"55-59",C51&lt;=64,"60-64",C51&lt;=69,"65-69",C51&lt;=74,"70-74",C51&lt;=79,"75-79",C51&lt;=84,"80-84",C51&gt;84,"85+")</f>
        <v>85+</v>
      </c>
      <c r="E51" s="83">
        <f>IF(D51="85+",1,VLOOKUP(D51,'Life table 2014'!$AF$3:$AR$21,7,FALSE))</f>
        <v>1</v>
      </c>
      <c r="F51" s="72"/>
      <c r="G51" s="316">
        <f t="shared" si="11"/>
        <v>17155</v>
      </c>
      <c r="H51" s="27">
        <f>'Parameters &amp; DSA'!$B$119*G51^'Parameters &amp; DSA'!$B$120</f>
        <v>2.1418882701040904</v>
      </c>
      <c r="I51" s="314">
        <f t="shared" si="31"/>
        <v>4.7766099420350594E-2</v>
      </c>
      <c r="J51" s="72"/>
      <c r="K51" s="140">
        <f t="shared" si="43"/>
        <v>0</v>
      </c>
      <c r="L51" s="141">
        <f t="shared" si="44"/>
        <v>0</v>
      </c>
      <c r="M51" s="141">
        <f t="shared" si="45"/>
        <v>0</v>
      </c>
      <c r="N51" s="27">
        <f t="shared" si="46"/>
        <v>0</v>
      </c>
      <c r="O51" s="27">
        <f t="shared" si="47"/>
        <v>0</v>
      </c>
      <c r="P51" s="27">
        <f t="shared" si="48"/>
        <v>0</v>
      </c>
      <c r="Q51" s="27">
        <f t="shared" si="49"/>
        <v>0</v>
      </c>
      <c r="R51" s="27">
        <f t="shared" si="50"/>
        <v>0</v>
      </c>
      <c r="S51" s="27">
        <f t="shared" si="51"/>
        <v>0</v>
      </c>
      <c r="T51" s="27">
        <f t="shared" si="52"/>
        <v>0</v>
      </c>
      <c r="U51" s="27">
        <f t="shared" si="53"/>
        <v>0</v>
      </c>
      <c r="V51" s="27">
        <f t="shared" si="54"/>
        <v>0</v>
      </c>
      <c r="W51" s="27">
        <f t="shared" si="28"/>
        <v>0</v>
      </c>
      <c r="X51" s="27">
        <f t="shared" si="29"/>
        <v>0</v>
      </c>
      <c r="Y51" s="142">
        <f t="shared" si="55"/>
        <v>1.0000000000000011</v>
      </c>
      <c r="Z51" s="89">
        <f t="shared" si="32"/>
        <v>1.0000000000000011</v>
      </c>
      <c r="AB51" s="92">
        <f>(IF('Parameters &amp; DSA'!$H$1=1,(('Parameters &amp; DSA'!$B$76+'Parameters &amp; DSA'!$B$84+'Parameters &amp; DSA'!$B$88+'Parameters &amp; DSA'!$B$92)*($K51))/(1+cDC)^$A51,(('Parameters &amp; DSA'!$B$76+'Parameters &amp; DSA'!$B$84)*($K51))))*($AD$2/$AF$2)</f>
        <v>0</v>
      </c>
      <c r="AC51" s="371">
        <f>(IF('Parameters &amp; DSA'!$H$1=1,(('Parameters &amp; DSA'!$B$76+'Parameters &amp; DSA'!$B$84+'Parameters &amp; DSA'!$B$88+'Parameters &amp; DSA'!$B$92)*($M51+$N51))/(1+cDC)^$A51,(('Parameters &amp; DSA'!$B$76+'Parameters &amp; DSA'!$B$84)*($M51+$N51))))*($AD$2/$AF$2)</f>
        <v>0</v>
      </c>
      <c r="AD51" s="371">
        <f>(IF('Parameters &amp; DSA'!$H$1=1,(('Parameters &amp; DSA'!$B$76+'Parameters &amp; DSA'!$B$84+'Parameters &amp; DSA'!$B$88+'Parameters &amp; DSA'!$B$92)*(P51+Q51))/(1+cDC)^$A51,(('Parameters &amp; DSA'!$B$76+'Parameters &amp; DSA'!$B$84)*(P51+Q51))))*($AD$2/$AF$2)</f>
        <v>0</v>
      </c>
      <c r="AE51" s="371">
        <f>(IF('Parameters &amp; DSA'!$H$1=1,(('Parameters &amp; DSA'!$B$76+'Parameters &amp; DSA'!$B$84+'Parameters &amp; DSA'!$B$88+'Parameters &amp; DSA'!$B$92)*(S51+T51))/(1+cDC)^$A51,(('Parameters &amp; DSA'!$B$76+'Parameters &amp; DSA'!$B$84)*(S51+T51))))*($AD$2/$AF$2)</f>
        <v>0</v>
      </c>
      <c r="AF51" s="371">
        <f>(IF('Parameters &amp; DSA'!$H$1=1,(((W51-W50)*cM_Dialysis0)+(W51*cM_Dialysis1))/(1+'Parameters &amp; DSA'!$B$6)^$A51,(((W51-W50)*cM_Dialysis0)+(W51*cM_Dialysis1))))*($AD$2/$AG$2)</f>
        <v>0</v>
      </c>
      <c r="AG51" s="93">
        <f t="shared" si="22"/>
        <v>0</v>
      </c>
      <c r="AI51" s="88">
        <f t="shared" si="33"/>
        <v>0</v>
      </c>
      <c r="AJ51" s="27">
        <f t="shared" si="34"/>
        <v>0</v>
      </c>
      <c r="AK51" s="27">
        <f t="shared" si="35"/>
        <v>0</v>
      </c>
      <c r="AL51" s="27">
        <f t="shared" si="36"/>
        <v>0</v>
      </c>
      <c r="AM51" s="27">
        <f t="shared" si="37"/>
        <v>0</v>
      </c>
      <c r="AN51" s="27">
        <f t="shared" si="38"/>
        <v>0</v>
      </c>
      <c r="AO51" s="27">
        <f t="shared" si="39"/>
        <v>0</v>
      </c>
      <c r="AP51" s="27">
        <f t="shared" si="40"/>
        <v>0</v>
      </c>
      <c r="AQ51" s="27">
        <f t="shared" si="41"/>
        <v>0</v>
      </c>
      <c r="AR51" s="27">
        <f t="shared" si="42"/>
        <v>0</v>
      </c>
      <c r="AS51" s="27">
        <f t="shared" si="23"/>
        <v>0</v>
      </c>
      <c r="AT51" s="89">
        <f t="shared" si="24"/>
        <v>0</v>
      </c>
    </row>
    <row r="52" spans="1:46">
      <c r="A52" s="80">
        <v>48</v>
      </c>
      <c r="C52" s="10">
        <f t="shared" si="25"/>
        <v>90</v>
      </c>
      <c r="D52" s="98" t="str" cm="1">
        <f t="array" ref="D52">_xlfn.IFS(C52&lt;=4,"1-4",C52&lt;=9,"5-9",C52&lt;=14,"10-14",C52&lt;=19,"15-19",C52&lt;=24,"20-24",C52&lt;=29,"25-29",C52&lt;=34,"30-34",C52&lt;=39,"35-39",C52&lt;=44,"40-44",C52&lt;=49,"45-49",C52&lt;=54,"50-54",C52&lt;=54,"50-54",C52&lt;=59,"55-59",C52&lt;=64,"60-64",C52&lt;=69,"65-69",C52&lt;=74,"70-74",C52&lt;=79,"75-79",C52&lt;=84,"80-84",C52&gt;84,"85+")</f>
        <v>85+</v>
      </c>
      <c r="E52" s="83">
        <f>IF(D52="85+",1,VLOOKUP(D52,'Life table 2014'!$AF$3:$AR$21,7,FALSE))</f>
        <v>1</v>
      </c>
      <c r="F52" s="72"/>
      <c r="G52" s="316">
        <f t="shared" si="11"/>
        <v>17520</v>
      </c>
      <c r="H52" s="27">
        <f>'Parameters &amp; DSA'!$B$119*G52^'Parameters &amp; DSA'!$B$120</f>
        <v>2.1909108809952542</v>
      </c>
      <c r="I52" s="314">
        <f t="shared" si="31"/>
        <v>4.7840399721986393E-2</v>
      </c>
      <c r="J52" s="72"/>
      <c r="K52" s="140">
        <f t="shared" si="43"/>
        <v>0</v>
      </c>
      <c r="L52" s="141">
        <f t="shared" si="44"/>
        <v>0</v>
      </c>
      <c r="M52" s="141">
        <f t="shared" si="45"/>
        <v>0</v>
      </c>
      <c r="N52" s="27">
        <f t="shared" si="46"/>
        <v>0</v>
      </c>
      <c r="O52" s="27">
        <f t="shared" si="47"/>
        <v>0</v>
      </c>
      <c r="P52" s="27">
        <f t="shared" si="48"/>
        <v>0</v>
      </c>
      <c r="Q52" s="27">
        <f t="shared" si="49"/>
        <v>0</v>
      </c>
      <c r="R52" s="27">
        <f t="shared" si="50"/>
        <v>0</v>
      </c>
      <c r="S52" s="27">
        <f t="shared" si="51"/>
        <v>0</v>
      </c>
      <c r="T52" s="27">
        <f t="shared" si="52"/>
        <v>0</v>
      </c>
      <c r="U52" s="27">
        <f t="shared" si="53"/>
        <v>0</v>
      </c>
      <c r="V52" s="27">
        <f t="shared" si="54"/>
        <v>0</v>
      </c>
      <c r="W52" s="27">
        <f t="shared" si="28"/>
        <v>0</v>
      </c>
      <c r="X52" s="27">
        <f t="shared" si="29"/>
        <v>0</v>
      </c>
      <c r="Y52" s="142">
        <f t="shared" si="55"/>
        <v>1.0000000000000011</v>
      </c>
      <c r="Z52" s="89">
        <f t="shared" si="32"/>
        <v>1.0000000000000011</v>
      </c>
      <c r="AB52" s="92">
        <f>(IF('Parameters &amp; DSA'!$H$1=1,(('Parameters &amp; DSA'!$B$76+'Parameters &amp; DSA'!$B$84+'Parameters &amp; DSA'!$B$88+'Parameters &amp; DSA'!$B$92)*($K52))/(1+cDC)^$A52,(('Parameters &amp; DSA'!$B$76+'Parameters &amp; DSA'!$B$84)*($K52))))*($AD$2/$AF$2)</f>
        <v>0</v>
      </c>
      <c r="AC52" s="371">
        <f>(IF('Parameters &amp; DSA'!$H$1=1,(('Parameters &amp; DSA'!$B$76+'Parameters &amp; DSA'!$B$84+'Parameters &amp; DSA'!$B$88+'Parameters &amp; DSA'!$B$92)*($M52+$N52))/(1+cDC)^$A52,(('Parameters &amp; DSA'!$B$76+'Parameters &amp; DSA'!$B$84)*($M52+$N52))))*($AD$2/$AF$2)</f>
        <v>0</v>
      </c>
      <c r="AD52" s="371">
        <f>(IF('Parameters &amp; DSA'!$H$1=1,(('Parameters &amp; DSA'!$B$76+'Parameters &amp; DSA'!$B$84+'Parameters &amp; DSA'!$B$88+'Parameters &amp; DSA'!$B$92)*(P52+Q52))/(1+cDC)^$A52,(('Parameters &amp; DSA'!$B$76+'Parameters &amp; DSA'!$B$84)*(P52+Q52))))*($AD$2/$AF$2)</f>
        <v>0</v>
      </c>
      <c r="AE52" s="371">
        <f>(IF('Parameters &amp; DSA'!$H$1=1,(('Parameters &amp; DSA'!$B$76+'Parameters &amp; DSA'!$B$84+'Parameters &amp; DSA'!$B$88+'Parameters &amp; DSA'!$B$92)*(S52+T52))/(1+cDC)^$A52,(('Parameters &amp; DSA'!$B$76+'Parameters &amp; DSA'!$B$84)*(S52+T52))))*($AD$2/$AF$2)</f>
        <v>0</v>
      </c>
      <c r="AF52" s="371">
        <f>(IF('Parameters &amp; DSA'!$H$1=1,(((W52-W51)*cM_Dialysis0)+(W52*cM_Dialysis1))/(1+'Parameters &amp; DSA'!$B$6)^$A52,(((W52-W51)*cM_Dialysis0)+(W52*cM_Dialysis1))))*($AD$2/$AG$2)</f>
        <v>0</v>
      </c>
      <c r="AG52" s="93">
        <f t="shared" si="22"/>
        <v>0</v>
      </c>
      <c r="AI52" s="88">
        <f t="shared" si="33"/>
        <v>0</v>
      </c>
      <c r="AJ52" s="27">
        <f t="shared" si="34"/>
        <v>0</v>
      </c>
      <c r="AK52" s="27">
        <f t="shared" si="35"/>
        <v>0</v>
      </c>
      <c r="AL52" s="27">
        <f t="shared" si="36"/>
        <v>0</v>
      </c>
      <c r="AM52" s="27">
        <f t="shared" si="37"/>
        <v>0</v>
      </c>
      <c r="AN52" s="27">
        <f t="shared" si="38"/>
        <v>0</v>
      </c>
      <c r="AO52" s="27">
        <f t="shared" si="39"/>
        <v>0</v>
      </c>
      <c r="AP52" s="27">
        <f t="shared" si="40"/>
        <v>0</v>
      </c>
      <c r="AQ52" s="27">
        <f t="shared" si="41"/>
        <v>0</v>
      </c>
      <c r="AR52" s="27">
        <f t="shared" si="42"/>
        <v>0</v>
      </c>
      <c r="AS52" s="27">
        <f t="shared" si="23"/>
        <v>0</v>
      </c>
      <c r="AT52" s="89">
        <f t="shared" si="24"/>
        <v>0</v>
      </c>
    </row>
    <row r="53" spans="1:46">
      <c r="A53" s="80">
        <v>49</v>
      </c>
      <c r="C53" s="10">
        <f t="shared" si="25"/>
        <v>91</v>
      </c>
      <c r="D53" s="98" t="str" cm="1">
        <f t="array" ref="D53">_xlfn.IFS(C53&lt;=4,"1-4",C53&lt;=9,"5-9",C53&lt;=14,"10-14",C53&lt;=19,"15-19",C53&lt;=24,"20-24",C53&lt;=29,"25-29",C53&lt;=34,"30-34",C53&lt;=39,"35-39",C53&lt;=44,"40-44",C53&lt;=49,"45-49",C53&lt;=54,"50-54",C53&lt;=54,"50-54",C53&lt;=59,"55-59",C53&lt;=64,"60-64",C53&lt;=69,"65-69",C53&lt;=74,"70-74",C53&lt;=79,"75-79",C53&lt;=84,"80-84",C53&gt;84,"85+")</f>
        <v>85+</v>
      </c>
      <c r="E53" s="83">
        <f>IF(D53="85+",1,VLOOKUP(D53,'Life table 2014'!$AF$3:$AR$21,7,FALSE))</f>
        <v>1</v>
      </c>
      <c r="F53" s="72"/>
      <c r="G53" s="316">
        <f t="shared" si="11"/>
        <v>17885</v>
      </c>
      <c r="H53" s="27">
        <f>'Parameters &amp; DSA'!$B$119*G53^'Parameters &amp; DSA'!$B$120</f>
        <v>2.2400100169712074</v>
      </c>
      <c r="I53" s="314">
        <f t="shared" si="31"/>
        <v>4.7913261028236231E-2</v>
      </c>
      <c r="J53" s="72"/>
      <c r="K53" s="140">
        <f t="shared" si="43"/>
        <v>0</v>
      </c>
      <c r="L53" s="141">
        <f t="shared" si="44"/>
        <v>0</v>
      </c>
      <c r="M53" s="141">
        <f t="shared" si="45"/>
        <v>0</v>
      </c>
      <c r="N53" s="27">
        <f t="shared" si="46"/>
        <v>0</v>
      </c>
      <c r="O53" s="27">
        <f t="shared" si="47"/>
        <v>0</v>
      </c>
      <c r="P53" s="27">
        <f t="shared" si="48"/>
        <v>0</v>
      </c>
      <c r="Q53" s="27">
        <f t="shared" si="49"/>
        <v>0</v>
      </c>
      <c r="R53" s="27">
        <f t="shared" si="50"/>
        <v>0</v>
      </c>
      <c r="S53" s="27">
        <f t="shared" si="51"/>
        <v>0</v>
      </c>
      <c r="T53" s="27">
        <f t="shared" si="52"/>
        <v>0</v>
      </c>
      <c r="U53" s="27">
        <f t="shared" si="53"/>
        <v>0</v>
      </c>
      <c r="V53" s="27">
        <f t="shared" si="54"/>
        <v>0</v>
      </c>
      <c r="W53" s="27">
        <f t="shared" si="28"/>
        <v>0</v>
      </c>
      <c r="X53" s="27">
        <f t="shared" si="29"/>
        <v>0</v>
      </c>
      <c r="Y53" s="142">
        <f t="shared" si="55"/>
        <v>1.0000000000000011</v>
      </c>
      <c r="Z53" s="89">
        <f t="shared" si="32"/>
        <v>1.0000000000000011</v>
      </c>
      <c r="AB53" s="92">
        <f>(IF('Parameters &amp; DSA'!$H$1=1,(('Parameters &amp; DSA'!$B$76+'Parameters &amp; DSA'!$B$84+'Parameters &amp; DSA'!$B$88+'Parameters &amp; DSA'!$B$92)*($K53))/(1+cDC)^$A53,(('Parameters &amp; DSA'!$B$76+'Parameters &amp; DSA'!$B$84)*($K53))))*($AD$2/$AF$2)</f>
        <v>0</v>
      </c>
      <c r="AC53" s="371">
        <f>(IF('Parameters &amp; DSA'!$H$1=1,(('Parameters &amp; DSA'!$B$76+'Parameters &amp; DSA'!$B$84+'Parameters &amp; DSA'!$B$88+'Parameters &amp; DSA'!$B$92)*($M53+$N53))/(1+cDC)^$A53,(('Parameters &amp; DSA'!$B$76+'Parameters &amp; DSA'!$B$84)*($M53+$N53))))*($AD$2/$AF$2)</f>
        <v>0</v>
      </c>
      <c r="AD53" s="371">
        <f>(IF('Parameters &amp; DSA'!$H$1=1,(('Parameters &amp; DSA'!$B$76+'Parameters &amp; DSA'!$B$84+'Parameters &amp; DSA'!$B$88+'Parameters &amp; DSA'!$B$92)*(P53+Q53))/(1+cDC)^$A53,(('Parameters &amp; DSA'!$B$76+'Parameters &amp; DSA'!$B$84)*(P53+Q53))))*($AD$2/$AF$2)</f>
        <v>0</v>
      </c>
      <c r="AE53" s="371">
        <f>(IF('Parameters &amp; DSA'!$H$1=1,(('Parameters &amp; DSA'!$B$76+'Parameters &amp; DSA'!$B$84+'Parameters &amp; DSA'!$B$88+'Parameters &amp; DSA'!$B$92)*(S53+T53))/(1+cDC)^$A53,(('Parameters &amp; DSA'!$B$76+'Parameters &amp; DSA'!$B$84)*(S53+T53))))*($AD$2/$AF$2)</f>
        <v>0</v>
      </c>
      <c r="AF53" s="371">
        <f>(IF('Parameters &amp; DSA'!$H$1=1,(((W53-W52)*cM_Dialysis0)+(W53*cM_Dialysis1))/(1+'Parameters &amp; DSA'!$B$6)^$A53,(((W53-W52)*cM_Dialysis0)+(W53*cM_Dialysis1))))*($AD$2/$AG$2)</f>
        <v>0</v>
      </c>
      <c r="AG53" s="93">
        <f t="shared" si="22"/>
        <v>0</v>
      </c>
      <c r="AI53" s="88">
        <f t="shared" si="33"/>
        <v>0</v>
      </c>
      <c r="AJ53" s="27">
        <f t="shared" si="34"/>
        <v>0</v>
      </c>
      <c r="AK53" s="27">
        <f t="shared" si="35"/>
        <v>0</v>
      </c>
      <c r="AL53" s="27">
        <f t="shared" si="36"/>
        <v>0</v>
      </c>
      <c r="AM53" s="27">
        <f t="shared" si="37"/>
        <v>0</v>
      </c>
      <c r="AN53" s="27">
        <f t="shared" si="38"/>
        <v>0</v>
      </c>
      <c r="AO53" s="27">
        <f t="shared" si="39"/>
        <v>0</v>
      </c>
      <c r="AP53" s="27">
        <f t="shared" si="40"/>
        <v>0</v>
      </c>
      <c r="AQ53" s="27">
        <f t="shared" si="41"/>
        <v>0</v>
      </c>
      <c r="AR53" s="27">
        <f t="shared" si="42"/>
        <v>0</v>
      </c>
      <c r="AS53" s="27">
        <f t="shared" si="23"/>
        <v>0</v>
      </c>
      <c r="AT53" s="89">
        <f t="shared" si="24"/>
        <v>0</v>
      </c>
    </row>
    <row r="54" spans="1:46">
      <c r="A54" s="80">
        <v>50</v>
      </c>
      <c r="C54" s="10">
        <f t="shared" si="25"/>
        <v>92</v>
      </c>
      <c r="D54" s="98" t="str" cm="1">
        <f t="array" ref="D54">_xlfn.IFS(C54&lt;=4,"1-4",C54&lt;=9,"5-9",C54&lt;=14,"10-14",C54&lt;=19,"15-19",C54&lt;=24,"20-24",C54&lt;=29,"25-29",C54&lt;=34,"30-34",C54&lt;=39,"35-39",C54&lt;=44,"40-44",C54&lt;=49,"45-49",C54&lt;=54,"50-54",C54&lt;=54,"50-54",C54&lt;=59,"55-59",C54&lt;=64,"60-64",C54&lt;=69,"65-69",C54&lt;=74,"70-74",C54&lt;=79,"75-79",C54&lt;=84,"80-84",C54&gt;84,"85+")</f>
        <v>85+</v>
      </c>
      <c r="E54" s="83">
        <f>IF(D54="85+",1,VLOOKUP(D54,'Life table 2014'!$AF$3:$AR$21,7,FALSE))</f>
        <v>1</v>
      </c>
      <c r="F54" s="72"/>
      <c r="G54" s="316">
        <f t="shared" si="11"/>
        <v>18250</v>
      </c>
      <c r="H54" s="27">
        <f>'Parameters &amp; DSA'!$B$119*G54^'Parameters &amp; DSA'!$B$120</f>
        <v>2.2891842319078073</v>
      </c>
      <c r="I54" s="314">
        <f t="shared" si="31"/>
        <v>4.7984740027725792E-2</v>
      </c>
      <c r="J54" s="72"/>
      <c r="K54" s="140">
        <f t="shared" si="43"/>
        <v>0</v>
      </c>
      <c r="L54" s="141">
        <f t="shared" si="44"/>
        <v>0</v>
      </c>
      <c r="M54" s="141">
        <f t="shared" si="45"/>
        <v>0</v>
      </c>
      <c r="N54" s="27">
        <f t="shared" si="46"/>
        <v>0</v>
      </c>
      <c r="O54" s="27">
        <f t="shared" si="47"/>
        <v>0</v>
      </c>
      <c r="P54" s="27">
        <f t="shared" si="48"/>
        <v>0</v>
      </c>
      <c r="Q54" s="27">
        <f t="shared" si="49"/>
        <v>0</v>
      </c>
      <c r="R54" s="27">
        <f t="shared" si="50"/>
        <v>0</v>
      </c>
      <c r="S54" s="27">
        <f t="shared" si="51"/>
        <v>0</v>
      </c>
      <c r="T54" s="27">
        <f t="shared" si="52"/>
        <v>0</v>
      </c>
      <c r="U54" s="27">
        <f t="shared" si="53"/>
        <v>0</v>
      </c>
      <c r="V54" s="27">
        <f t="shared" si="54"/>
        <v>0</v>
      </c>
      <c r="W54" s="27">
        <f t="shared" si="28"/>
        <v>0</v>
      </c>
      <c r="X54" s="27">
        <f t="shared" si="29"/>
        <v>0</v>
      </c>
      <c r="Y54" s="142">
        <f t="shared" si="55"/>
        <v>1.0000000000000011</v>
      </c>
      <c r="Z54" s="89">
        <f t="shared" si="32"/>
        <v>1.0000000000000011</v>
      </c>
      <c r="AB54" s="92">
        <f>(IF('Parameters &amp; DSA'!$H$1=1,(('Parameters &amp; DSA'!$B$76+'Parameters &amp; DSA'!$B$84+'Parameters &amp; DSA'!$B$88+'Parameters &amp; DSA'!$B$92)*($K54))/(1+cDC)^$A54,(('Parameters &amp; DSA'!$B$76+'Parameters &amp; DSA'!$B$84)*($K54))))*($AD$2/$AF$2)</f>
        <v>0</v>
      </c>
      <c r="AC54" s="371">
        <f>(IF('Parameters &amp; DSA'!$H$1=1,(('Parameters &amp; DSA'!$B$76+'Parameters &amp; DSA'!$B$84+'Parameters &amp; DSA'!$B$88+'Parameters &amp; DSA'!$B$92)*($M54+$N54))/(1+cDC)^$A54,(('Parameters &amp; DSA'!$B$76+'Parameters &amp; DSA'!$B$84)*($M54+$N54))))*($AD$2/$AF$2)</f>
        <v>0</v>
      </c>
      <c r="AD54" s="371">
        <f>(IF('Parameters &amp; DSA'!$H$1=1,(('Parameters &amp; DSA'!$B$76+'Parameters &amp; DSA'!$B$84+'Parameters &amp; DSA'!$B$88+'Parameters &amp; DSA'!$B$92)*(P54+Q54))/(1+cDC)^$A54,(('Parameters &amp; DSA'!$B$76+'Parameters &amp; DSA'!$B$84)*(P54+Q54))))*($AD$2/$AF$2)</f>
        <v>0</v>
      </c>
      <c r="AE54" s="371">
        <f>(IF('Parameters &amp; DSA'!$H$1=1,(('Parameters &amp; DSA'!$B$76+'Parameters &amp; DSA'!$B$84+'Parameters &amp; DSA'!$B$88+'Parameters &amp; DSA'!$B$92)*(S54+T54))/(1+cDC)^$A54,(('Parameters &amp; DSA'!$B$76+'Parameters &amp; DSA'!$B$84)*(S54+T54))))*($AD$2/$AF$2)</f>
        <v>0</v>
      </c>
      <c r="AF54" s="371">
        <f>(IF('Parameters &amp; DSA'!$H$1=1,(((W54-W53)*cM_Dialysis0)+(W54*cM_Dialysis1))/(1+'Parameters &amp; DSA'!$B$6)^$A54,(((W54-W53)*cM_Dialysis0)+(W54*cM_Dialysis1))))*($AD$2/$AG$2)</f>
        <v>0</v>
      </c>
      <c r="AG54" s="93">
        <f t="shared" si="22"/>
        <v>0</v>
      </c>
      <c r="AI54" s="88">
        <f t="shared" si="33"/>
        <v>0</v>
      </c>
      <c r="AJ54" s="27">
        <f t="shared" si="34"/>
        <v>0</v>
      </c>
      <c r="AK54" s="27">
        <f t="shared" si="35"/>
        <v>0</v>
      </c>
      <c r="AL54" s="27">
        <f t="shared" si="36"/>
        <v>0</v>
      </c>
      <c r="AM54" s="27">
        <f t="shared" si="37"/>
        <v>0</v>
      </c>
      <c r="AN54" s="27">
        <f t="shared" si="38"/>
        <v>0</v>
      </c>
      <c r="AO54" s="27">
        <f t="shared" si="39"/>
        <v>0</v>
      </c>
      <c r="AP54" s="27">
        <f t="shared" si="40"/>
        <v>0</v>
      </c>
      <c r="AQ54" s="27">
        <f t="shared" si="41"/>
        <v>0</v>
      </c>
      <c r="AR54" s="27">
        <f t="shared" si="42"/>
        <v>0</v>
      </c>
      <c r="AS54" s="27">
        <f t="shared" si="23"/>
        <v>0</v>
      </c>
      <c r="AT54" s="89">
        <f t="shared" si="24"/>
        <v>0</v>
      </c>
    </row>
    <row r="55" spans="1:46">
      <c r="A55" s="80">
        <v>51</v>
      </c>
      <c r="C55" s="10">
        <f t="shared" si="25"/>
        <v>93</v>
      </c>
      <c r="D55" s="98" t="str" cm="1">
        <f t="array" ref="D55">_xlfn.IFS(C55&lt;=4,"1-4",C55&lt;=9,"5-9",C55&lt;=14,"10-14",C55&lt;=19,"15-19",C55&lt;=24,"20-24",C55&lt;=29,"25-29",C55&lt;=34,"30-34",C55&lt;=39,"35-39",C55&lt;=44,"40-44",C55&lt;=49,"45-49",C55&lt;=54,"50-54",C55&lt;=54,"50-54",C55&lt;=59,"55-59",C55&lt;=64,"60-64",C55&lt;=69,"65-69",C55&lt;=74,"70-74",C55&lt;=79,"75-79",C55&lt;=84,"80-84",C55&gt;84,"85+")</f>
        <v>85+</v>
      </c>
      <c r="E55" s="83">
        <f>IF(D55="85+",1,VLOOKUP(D55,'Life table 2014'!$AF$3:$AR$21,7,FALSE))</f>
        <v>1</v>
      </c>
      <c r="F55" s="72"/>
      <c r="G55" s="316">
        <f t="shared" si="11"/>
        <v>18615</v>
      </c>
      <c r="H55" s="27">
        <f>'Parameters &amp; DSA'!$B$119*G55^'Parameters &amp; DSA'!$B$120</f>
        <v>2.3384321354138144</v>
      </c>
      <c r="I55" s="314">
        <f t="shared" si="31"/>
        <v>4.8054890085626578E-2</v>
      </c>
      <c r="J55" s="72"/>
      <c r="K55" s="140">
        <f t="shared" si="43"/>
        <v>0</v>
      </c>
      <c r="L55" s="141">
        <f t="shared" si="44"/>
        <v>0</v>
      </c>
      <c r="M55" s="141">
        <f t="shared" si="45"/>
        <v>0</v>
      </c>
      <c r="N55" s="27">
        <f t="shared" si="46"/>
        <v>0</v>
      </c>
      <c r="O55" s="27">
        <f t="shared" si="47"/>
        <v>0</v>
      </c>
      <c r="P55" s="27">
        <f t="shared" si="48"/>
        <v>0</v>
      </c>
      <c r="Q55" s="27">
        <f t="shared" si="49"/>
        <v>0</v>
      </c>
      <c r="R55" s="27">
        <f t="shared" si="50"/>
        <v>0</v>
      </c>
      <c r="S55" s="27">
        <f t="shared" si="51"/>
        <v>0</v>
      </c>
      <c r="T55" s="27">
        <f t="shared" si="52"/>
        <v>0</v>
      </c>
      <c r="U55" s="27">
        <f t="shared" si="53"/>
        <v>0</v>
      </c>
      <c r="V55" s="27">
        <f t="shared" si="54"/>
        <v>0</v>
      </c>
      <c r="W55" s="27">
        <f t="shared" si="28"/>
        <v>0</v>
      </c>
      <c r="X55" s="27">
        <f t="shared" si="29"/>
        <v>0</v>
      </c>
      <c r="Y55" s="142">
        <f t="shared" si="55"/>
        <v>1.0000000000000011</v>
      </c>
      <c r="Z55" s="89">
        <f t="shared" si="32"/>
        <v>1.0000000000000011</v>
      </c>
      <c r="AB55" s="92">
        <f>(IF('Parameters &amp; DSA'!$H$1=1,(('Parameters &amp; DSA'!$B$76+'Parameters &amp; DSA'!$B$84+'Parameters &amp; DSA'!$B$88+'Parameters &amp; DSA'!$B$92)*($K55))/(1+cDC)^$A55,(('Parameters &amp; DSA'!$B$76+'Parameters &amp; DSA'!$B$84)*($K55))))*($AD$2/$AF$2)</f>
        <v>0</v>
      </c>
      <c r="AC55" s="371">
        <f>(IF('Parameters &amp; DSA'!$H$1=1,(('Parameters &amp; DSA'!$B$76+'Parameters &amp; DSA'!$B$84+'Parameters &amp; DSA'!$B$88+'Parameters &amp; DSA'!$B$92)*($M55+$N55))/(1+cDC)^$A55,(('Parameters &amp; DSA'!$B$76+'Parameters &amp; DSA'!$B$84)*($M55+$N55))))*($AD$2/$AF$2)</f>
        <v>0</v>
      </c>
      <c r="AD55" s="371">
        <f>(IF('Parameters &amp; DSA'!$H$1=1,(('Parameters &amp; DSA'!$B$76+'Parameters &amp; DSA'!$B$84+'Parameters &amp; DSA'!$B$88+'Parameters &amp; DSA'!$B$92)*(P55+Q55))/(1+cDC)^$A55,(('Parameters &amp; DSA'!$B$76+'Parameters &amp; DSA'!$B$84)*(P55+Q55))))*($AD$2/$AF$2)</f>
        <v>0</v>
      </c>
      <c r="AE55" s="371">
        <f>(IF('Parameters &amp; DSA'!$H$1=1,(('Parameters &amp; DSA'!$B$76+'Parameters &amp; DSA'!$B$84+'Parameters &amp; DSA'!$B$88+'Parameters &amp; DSA'!$B$92)*(S55+T55))/(1+cDC)^$A55,(('Parameters &amp; DSA'!$B$76+'Parameters &amp; DSA'!$B$84)*(S55+T55))))*($AD$2/$AF$2)</f>
        <v>0</v>
      </c>
      <c r="AF55" s="371">
        <f>(IF('Parameters &amp; DSA'!$H$1=1,(((W55-W54)*cM_Dialysis0)+(W55*cM_Dialysis1))/(1+'Parameters &amp; DSA'!$B$6)^$A55,(((W55-W54)*cM_Dialysis0)+(W55*cM_Dialysis1))))*($AD$2/$AG$2)</f>
        <v>0</v>
      </c>
      <c r="AG55" s="93">
        <f t="shared" si="22"/>
        <v>0</v>
      </c>
      <c r="AI55" s="88">
        <f t="shared" si="33"/>
        <v>0</v>
      </c>
      <c r="AJ55" s="27">
        <f t="shared" si="34"/>
        <v>0</v>
      </c>
      <c r="AK55" s="27">
        <f t="shared" si="35"/>
        <v>0</v>
      </c>
      <c r="AL55" s="27">
        <f t="shared" si="36"/>
        <v>0</v>
      </c>
      <c r="AM55" s="27">
        <f t="shared" si="37"/>
        <v>0</v>
      </c>
      <c r="AN55" s="27">
        <f t="shared" si="38"/>
        <v>0</v>
      </c>
      <c r="AO55" s="27">
        <f t="shared" si="39"/>
        <v>0</v>
      </c>
      <c r="AP55" s="27">
        <f t="shared" si="40"/>
        <v>0</v>
      </c>
      <c r="AQ55" s="27">
        <f t="shared" si="41"/>
        <v>0</v>
      </c>
      <c r="AR55" s="27">
        <f t="shared" si="42"/>
        <v>0</v>
      </c>
      <c r="AS55" s="27">
        <f t="shared" si="23"/>
        <v>0</v>
      </c>
      <c r="AT55" s="89">
        <f t="shared" si="24"/>
        <v>0</v>
      </c>
    </row>
    <row r="56" spans="1:46">
      <c r="A56" s="80">
        <v>52</v>
      </c>
      <c r="C56" s="10">
        <f t="shared" si="25"/>
        <v>94</v>
      </c>
      <c r="D56" s="98" t="str" cm="1">
        <f t="array" ref="D56">_xlfn.IFS(C56&lt;=4,"1-4",C56&lt;=9,"5-9",C56&lt;=14,"10-14",C56&lt;=19,"15-19",C56&lt;=24,"20-24",C56&lt;=29,"25-29",C56&lt;=34,"30-34",C56&lt;=39,"35-39",C56&lt;=44,"40-44",C56&lt;=49,"45-49",C56&lt;=54,"50-54",C56&lt;=54,"50-54",C56&lt;=59,"55-59",C56&lt;=64,"60-64",C56&lt;=69,"65-69",C56&lt;=74,"70-74",C56&lt;=79,"75-79",C56&lt;=84,"80-84",C56&gt;84,"85+")</f>
        <v>85+</v>
      </c>
      <c r="E56" s="83">
        <f>IF(D56="85+",1,VLOOKUP(D56,'Life table 2014'!$AF$3:$AR$21,7,FALSE))</f>
        <v>1</v>
      </c>
      <c r="F56" s="72"/>
      <c r="G56" s="316">
        <f t="shared" si="11"/>
        <v>18980</v>
      </c>
      <c r="H56" s="27">
        <f>'Parameters &amp; DSA'!$B$119*G56^'Parameters &amp; DSA'!$B$120</f>
        <v>2.3877523896311179</v>
      </c>
      <c r="I56" s="314">
        <f t="shared" si="31"/>
        <v>4.8123761499965889E-2</v>
      </c>
      <c r="J56" s="72"/>
      <c r="K56" s="140">
        <f t="shared" si="43"/>
        <v>0</v>
      </c>
      <c r="L56" s="141">
        <f t="shared" si="44"/>
        <v>0</v>
      </c>
      <c r="M56" s="141">
        <f t="shared" si="45"/>
        <v>0</v>
      </c>
      <c r="N56" s="27">
        <f t="shared" si="46"/>
        <v>0</v>
      </c>
      <c r="O56" s="27">
        <f t="shared" si="47"/>
        <v>0</v>
      </c>
      <c r="P56" s="27">
        <f t="shared" si="48"/>
        <v>0</v>
      </c>
      <c r="Q56" s="27">
        <f t="shared" si="49"/>
        <v>0</v>
      </c>
      <c r="R56" s="27">
        <f t="shared" si="50"/>
        <v>0</v>
      </c>
      <c r="S56" s="27">
        <f t="shared" si="51"/>
        <v>0</v>
      </c>
      <c r="T56" s="27">
        <f t="shared" si="52"/>
        <v>0</v>
      </c>
      <c r="U56" s="27">
        <f t="shared" si="53"/>
        <v>0</v>
      </c>
      <c r="V56" s="27">
        <f t="shared" si="54"/>
        <v>0</v>
      </c>
      <c r="W56" s="27">
        <f t="shared" si="28"/>
        <v>0</v>
      </c>
      <c r="X56" s="27">
        <f t="shared" si="29"/>
        <v>0</v>
      </c>
      <c r="Y56" s="142">
        <f t="shared" si="55"/>
        <v>1.0000000000000011</v>
      </c>
      <c r="Z56" s="89">
        <f t="shared" si="32"/>
        <v>1.0000000000000011</v>
      </c>
      <c r="AB56" s="92">
        <f>(IF('Parameters &amp; DSA'!$H$1=1,(('Parameters &amp; DSA'!$B$76+'Parameters &amp; DSA'!$B$84+'Parameters &amp; DSA'!$B$88+'Parameters &amp; DSA'!$B$92)*($K56))/(1+cDC)^$A56,(('Parameters &amp; DSA'!$B$76+'Parameters &amp; DSA'!$B$84)*($K56))))*($AD$2/$AF$2)</f>
        <v>0</v>
      </c>
      <c r="AC56" s="371">
        <f>(IF('Parameters &amp; DSA'!$H$1=1,(('Parameters &amp; DSA'!$B$76+'Parameters &amp; DSA'!$B$84+'Parameters &amp; DSA'!$B$88+'Parameters &amp; DSA'!$B$92)*($M56+$N56))/(1+cDC)^$A56,(('Parameters &amp; DSA'!$B$76+'Parameters &amp; DSA'!$B$84)*($M56+$N56))))*($AD$2/$AF$2)</f>
        <v>0</v>
      </c>
      <c r="AD56" s="371">
        <f>(IF('Parameters &amp; DSA'!$H$1=1,(('Parameters &amp; DSA'!$B$76+'Parameters &amp; DSA'!$B$84+'Parameters &amp; DSA'!$B$88+'Parameters &amp; DSA'!$B$92)*(P56+Q56))/(1+cDC)^$A56,(('Parameters &amp; DSA'!$B$76+'Parameters &amp; DSA'!$B$84)*(P56+Q56))))*($AD$2/$AF$2)</f>
        <v>0</v>
      </c>
      <c r="AE56" s="371">
        <f>(IF('Parameters &amp; DSA'!$H$1=1,(('Parameters &amp; DSA'!$B$76+'Parameters &amp; DSA'!$B$84+'Parameters &amp; DSA'!$B$88+'Parameters &amp; DSA'!$B$92)*(S56+T56))/(1+cDC)^$A56,(('Parameters &amp; DSA'!$B$76+'Parameters &amp; DSA'!$B$84)*(S56+T56))))*($AD$2/$AF$2)</f>
        <v>0</v>
      </c>
      <c r="AF56" s="371">
        <f>(IF('Parameters &amp; DSA'!$H$1=1,(((W56-W55)*cM_Dialysis0)+(W56*cM_Dialysis1))/(1+'Parameters &amp; DSA'!$B$6)^$A56,(((W56-W55)*cM_Dialysis0)+(W56*cM_Dialysis1))))*($AD$2/$AG$2)</f>
        <v>0</v>
      </c>
      <c r="AG56" s="93">
        <f t="shared" si="22"/>
        <v>0</v>
      </c>
      <c r="AI56" s="88">
        <f t="shared" si="33"/>
        <v>0</v>
      </c>
      <c r="AJ56" s="27">
        <f t="shared" si="34"/>
        <v>0</v>
      </c>
      <c r="AK56" s="27">
        <f t="shared" si="35"/>
        <v>0</v>
      </c>
      <c r="AL56" s="27">
        <f t="shared" si="36"/>
        <v>0</v>
      </c>
      <c r="AM56" s="27">
        <f t="shared" si="37"/>
        <v>0</v>
      </c>
      <c r="AN56" s="27">
        <f t="shared" si="38"/>
        <v>0</v>
      </c>
      <c r="AO56" s="27">
        <f t="shared" si="39"/>
        <v>0</v>
      </c>
      <c r="AP56" s="27">
        <f t="shared" si="40"/>
        <v>0</v>
      </c>
      <c r="AQ56" s="27">
        <f t="shared" si="41"/>
        <v>0</v>
      </c>
      <c r="AR56" s="27">
        <f t="shared" si="42"/>
        <v>0</v>
      </c>
      <c r="AS56" s="27">
        <f t="shared" si="23"/>
        <v>0</v>
      </c>
      <c r="AT56" s="89">
        <f t="shared" si="24"/>
        <v>0</v>
      </c>
    </row>
    <row r="57" spans="1:46">
      <c r="A57" s="80">
        <v>53</v>
      </c>
      <c r="C57" s="10">
        <f t="shared" si="25"/>
        <v>95</v>
      </c>
      <c r="D57" s="98" t="str" cm="1">
        <f t="array" ref="D57">_xlfn.IFS(C57&lt;=4,"1-4",C57&lt;=9,"5-9",C57&lt;=14,"10-14",C57&lt;=19,"15-19",C57&lt;=24,"20-24",C57&lt;=29,"25-29",C57&lt;=34,"30-34",C57&lt;=39,"35-39",C57&lt;=44,"40-44",C57&lt;=49,"45-49",C57&lt;=54,"50-54",C57&lt;=54,"50-54",C57&lt;=59,"55-59",C57&lt;=64,"60-64",C57&lt;=69,"65-69",C57&lt;=74,"70-74",C57&lt;=79,"75-79",C57&lt;=84,"80-84",C57&gt;84,"85+")</f>
        <v>85+</v>
      </c>
      <c r="E57" s="83">
        <f>IF(D57="85+",1,VLOOKUP(D57,'Life table 2014'!$AF$3:$AR$21,7,FALSE))</f>
        <v>1</v>
      </c>
      <c r="F57" s="72"/>
      <c r="G57" s="316">
        <f t="shared" si="11"/>
        <v>19345</v>
      </c>
      <c r="H57" s="27">
        <f>'Parameters &amp; DSA'!$B$119*G57^'Parameters &amp; DSA'!$B$120</f>
        <v>2.4371437062766717</v>
      </c>
      <c r="I57" s="314">
        <f t="shared" si="31"/>
        <v>4.819140173349945E-2</v>
      </c>
      <c r="J57" s="72"/>
      <c r="K57" s="140">
        <f t="shared" si="43"/>
        <v>0</v>
      </c>
      <c r="L57" s="141">
        <f t="shared" si="44"/>
        <v>0</v>
      </c>
      <c r="M57" s="141">
        <f t="shared" si="45"/>
        <v>0</v>
      </c>
      <c r="N57" s="27">
        <f t="shared" si="46"/>
        <v>0</v>
      </c>
      <c r="O57" s="27">
        <f t="shared" si="47"/>
        <v>0</v>
      </c>
      <c r="P57" s="27">
        <f t="shared" si="48"/>
        <v>0</v>
      </c>
      <c r="Q57" s="27">
        <f t="shared" si="49"/>
        <v>0</v>
      </c>
      <c r="R57" s="27">
        <f t="shared" si="50"/>
        <v>0</v>
      </c>
      <c r="S57" s="27">
        <f t="shared" si="51"/>
        <v>0</v>
      </c>
      <c r="T57" s="27">
        <f t="shared" si="52"/>
        <v>0</v>
      </c>
      <c r="U57" s="27">
        <f t="shared" si="53"/>
        <v>0</v>
      </c>
      <c r="V57" s="27">
        <f t="shared" si="54"/>
        <v>0</v>
      </c>
      <c r="W57" s="27">
        <f t="shared" si="28"/>
        <v>0</v>
      </c>
      <c r="X57" s="27">
        <f t="shared" si="29"/>
        <v>0</v>
      </c>
      <c r="Y57" s="142">
        <f t="shared" si="55"/>
        <v>1.0000000000000011</v>
      </c>
      <c r="Z57" s="89">
        <f t="shared" si="32"/>
        <v>1.0000000000000011</v>
      </c>
      <c r="AB57" s="92">
        <f>(IF('Parameters &amp; DSA'!$H$1=1,(('Parameters &amp; DSA'!$B$76+'Parameters &amp; DSA'!$B$84+'Parameters &amp; DSA'!$B$88+'Parameters &amp; DSA'!$B$92)*($K57))/(1+cDC)^$A57,(('Parameters &amp; DSA'!$B$76+'Parameters &amp; DSA'!$B$84)*($K57))))*($AD$2/$AF$2)</f>
        <v>0</v>
      </c>
      <c r="AC57" s="371">
        <f>(IF('Parameters &amp; DSA'!$H$1=1,(('Parameters &amp; DSA'!$B$76+'Parameters &amp; DSA'!$B$84+'Parameters &amp; DSA'!$B$88+'Parameters &amp; DSA'!$B$92)*($M57+$N57))/(1+cDC)^$A57,(('Parameters &amp; DSA'!$B$76+'Parameters &amp; DSA'!$B$84)*($M57+$N57))))*($AD$2/$AF$2)</f>
        <v>0</v>
      </c>
      <c r="AD57" s="371">
        <f>(IF('Parameters &amp; DSA'!$H$1=1,(('Parameters &amp; DSA'!$B$76+'Parameters &amp; DSA'!$B$84+'Parameters &amp; DSA'!$B$88+'Parameters &amp; DSA'!$B$92)*(P57+Q57))/(1+cDC)^$A57,(('Parameters &amp; DSA'!$B$76+'Parameters &amp; DSA'!$B$84)*(P57+Q57))))*($AD$2/$AF$2)</f>
        <v>0</v>
      </c>
      <c r="AE57" s="371">
        <f>(IF('Parameters &amp; DSA'!$H$1=1,(('Parameters &amp; DSA'!$B$76+'Parameters &amp; DSA'!$B$84+'Parameters &amp; DSA'!$B$88+'Parameters &amp; DSA'!$B$92)*(S57+T57))/(1+cDC)^$A57,(('Parameters &amp; DSA'!$B$76+'Parameters &amp; DSA'!$B$84)*(S57+T57))))*($AD$2/$AF$2)</f>
        <v>0</v>
      </c>
      <c r="AF57" s="371">
        <f>(IF('Parameters &amp; DSA'!$H$1=1,(((W57-W56)*cM_Dialysis0)+(W57*cM_Dialysis1))/(1+'Parameters &amp; DSA'!$B$6)^$A57,(((W57-W56)*cM_Dialysis0)+(W57*cM_Dialysis1))))*($AD$2/$AG$2)</f>
        <v>0</v>
      </c>
      <c r="AG57" s="93">
        <f t="shared" si="22"/>
        <v>0</v>
      </c>
      <c r="AI57" s="88">
        <f t="shared" si="33"/>
        <v>0</v>
      </c>
      <c r="AJ57" s="27">
        <f t="shared" si="34"/>
        <v>0</v>
      </c>
      <c r="AK57" s="27">
        <f t="shared" si="35"/>
        <v>0</v>
      </c>
      <c r="AL57" s="27">
        <f t="shared" si="36"/>
        <v>0</v>
      </c>
      <c r="AM57" s="27">
        <f t="shared" si="37"/>
        <v>0</v>
      </c>
      <c r="AN57" s="27">
        <f t="shared" si="38"/>
        <v>0</v>
      </c>
      <c r="AO57" s="27">
        <f t="shared" si="39"/>
        <v>0</v>
      </c>
      <c r="AP57" s="27">
        <f t="shared" si="40"/>
        <v>0</v>
      </c>
      <c r="AQ57" s="27">
        <f t="shared" si="41"/>
        <v>0</v>
      </c>
      <c r="AR57" s="27">
        <f t="shared" si="42"/>
        <v>0</v>
      </c>
      <c r="AS57" s="27">
        <f t="shared" si="23"/>
        <v>0</v>
      </c>
      <c r="AT57" s="89">
        <f t="shared" si="24"/>
        <v>0</v>
      </c>
    </row>
    <row r="58" spans="1:46">
      <c r="A58" s="80">
        <v>54</v>
      </c>
      <c r="C58" s="10">
        <f t="shared" si="25"/>
        <v>96</v>
      </c>
      <c r="D58" s="98" t="str" cm="1">
        <f t="array" ref="D58">_xlfn.IFS(C58&lt;=4,"1-4",C58&lt;=9,"5-9",C58&lt;=14,"10-14",C58&lt;=19,"15-19",C58&lt;=24,"20-24",C58&lt;=29,"25-29",C58&lt;=34,"30-34",C58&lt;=39,"35-39",C58&lt;=44,"40-44",C58&lt;=49,"45-49",C58&lt;=54,"50-54",C58&lt;=54,"50-54",C58&lt;=59,"55-59",C58&lt;=64,"60-64",C58&lt;=69,"65-69",C58&lt;=74,"70-74",C58&lt;=79,"75-79",C58&lt;=84,"80-84",C58&gt;84,"85+")</f>
        <v>85+</v>
      </c>
      <c r="E58" s="83">
        <f>IF(D58="85+",1,VLOOKUP(D58,'Life table 2014'!$AF$3:$AR$21,7,FALSE))</f>
        <v>1</v>
      </c>
      <c r="F58" s="72"/>
      <c r="G58" s="316">
        <f t="shared" si="11"/>
        <v>19710</v>
      </c>
      <c r="H58" s="27">
        <f>'Parameters &amp; DSA'!$B$119*G58^'Parameters &amp; DSA'!$B$120</f>
        <v>2.4866048439038253</v>
      </c>
      <c r="I58" s="314">
        <f t="shared" si="31"/>
        <v>4.8257855624160628E-2</v>
      </c>
      <c r="J58" s="72"/>
      <c r="K58" s="140">
        <f t="shared" si="43"/>
        <v>0</v>
      </c>
      <c r="L58" s="141">
        <f t="shared" si="44"/>
        <v>0</v>
      </c>
      <c r="M58" s="141">
        <f t="shared" si="45"/>
        <v>0</v>
      </c>
      <c r="N58" s="27">
        <f t="shared" si="46"/>
        <v>0</v>
      </c>
      <c r="O58" s="27">
        <f t="shared" si="47"/>
        <v>0</v>
      </c>
      <c r="P58" s="27">
        <f t="shared" si="48"/>
        <v>0</v>
      </c>
      <c r="Q58" s="27">
        <f t="shared" si="49"/>
        <v>0</v>
      </c>
      <c r="R58" s="27">
        <f t="shared" si="50"/>
        <v>0</v>
      </c>
      <c r="S58" s="27">
        <f t="shared" si="51"/>
        <v>0</v>
      </c>
      <c r="T58" s="27">
        <f t="shared" si="52"/>
        <v>0</v>
      </c>
      <c r="U58" s="27">
        <f t="shared" si="53"/>
        <v>0</v>
      </c>
      <c r="V58" s="27">
        <f t="shared" si="54"/>
        <v>0</v>
      </c>
      <c r="W58" s="27">
        <f t="shared" si="28"/>
        <v>0</v>
      </c>
      <c r="X58" s="27">
        <f t="shared" si="29"/>
        <v>0</v>
      </c>
      <c r="Y58" s="142">
        <f t="shared" si="55"/>
        <v>1.0000000000000011</v>
      </c>
      <c r="Z58" s="89">
        <f t="shared" si="32"/>
        <v>1.0000000000000011</v>
      </c>
      <c r="AB58" s="92">
        <f>(IF('Parameters &amp; DSA'!$H$1=1,(('Parameters &amp; DSA'!$B$76+'Parameters &amp; DSA'!$B$84+'Parameters &amp; DSA'!$B$88+'Parameters &amp; DSA'!$B$92)*($K58))/(1+cDC)^$A58,(('Parameters &amp; DSA'!$B$76+'Parameters &amp; DSA'!$B$84)*($K58))))*($AD$2/$AF$2)</f>
        <v>0</v>
      </c>
      <c r="AC58" s="371">
        <f>(IF('Parameters &amp; DSA'!$H$1=1,(('Parameters &amp; DSA'!$B$76+'Parameters &amp; DSA'!$B$84+'Parameters &amp; DSA'!$B$88+'Parameters &amp; DSA'!$B$92)*($M58+$N58))/(1+cDC)^$A58,(('Parameters &amp; DSA'!$B$76+'Parameters &amp; DSA'!$B$84)*($M58+$N58))))*($AD$2/$AF$2)</f>
        <v>0</v>
      </c>
      <c r="AD58" s="371">
        <f>(IF('Parameters &amp; DSA'!$H$1=1,(('Parameters &amp; DSA'!$B$76+'Parameters &amp; DSA'!$B$84+'Parameters &amp; DSA'!$B$88+'Parameters &amp; DSA'!$B$92)*(P58+Q58))/(1+cDC)^$A58,(('Parameters &amp; DSA'!$B$76+'Parameters &amp; DSA'!$B$84)*(P58+Q58))))*($AD$2/$AF$2)</f>
        <v>0</v>
      </c>
      <c r="AE58" s="371">
        <f>(IF('Parameters &amp; DSA'!$H$1=1,(('Parameters &amp; DSA'!$B$76+'Parameters &amp; DSA'!$B$84+'Parameters &amp; DSA'!$B$88+'Parameters &amp; DSA'!$B$92)*(S58+T58))/(1+cDC)^$A58,(('Parameters &amp; DSA'!$B$76+'Parameters &amp; DSA'!$B$84)*(S58+T58))))*($AD$2/$AF$2)</f>
        <v>0</v>
      </c>
      <c r="AF58" s="371">
        <f>(IF('Parameters &amp; DSA'!$H$1=1,(((W58-W57)*cM_Dialysis0)+(W58*cM_Dialysis1))/(1+'Parameters &amp; DSA'!$B$6)^$A58,(((W58-W57)*cM_Dialysis0)+(W58*cM_Dialysis1))))*($AD$2/$AG$2)</f>
        <v>0</v>
      </c>
      <c r="AG58" s="93">
        <f t="shared" si="22"/>
        <v>0</v>
      </c>
      <c r="AI58" s="88">
        <f t="shared" si="33"/>
        <v>0</v>
      </c>
      <c r="AJ58" s="27">
        <f t="shared" si="34"/>
        <v>0</v>
      </c>
      <c r="AK58" s="27">
        <f t="shared" si="35"/>
        <v>0</v>
      </c>
      <c r="AL58" s="27">
        <f t="shared" si="36"/>
        <v>0</v>
      </c>
      <c r="AM58" s="27">
        <f t="shared" si="37"/>
        <v>0</v>
      </c>
      <c r="AN58" s="27">
        <f t="shared" si="38"/>
        <v>0</v>
      </c>
      <c r="AO58" s="27">
        <f t="shared" si="39"/>
        <v>0</v>
      </c>
      <c r="AP58" s="27">
        <f t="shared" si="40"/>
        <v>0</v>
      </c>
      <c r="AQ58" s="27">
        <f t="shared" si="41"/>
        <v>0</v>
      </c>
      <c r="AR58" s="27">
        <f t="shared" si="42"/>
        <v>0</v>
      </c>
      <c r="AS58" s="27">
        <f t="shared" si="23"/>
        <v>0</v>
      </c>
      <c r="AT58" s="89">
        <f t="shared" si="24"/>
        <v>0</v>
      </c>
    </row>
    <row r="59" spans="1:46">
      <c r="A59" s="80">
        <v>55</v>
      </c>
      <c r="C59" s="10">
        <f t="shared" si="25"/>
        <v>97</v>
      </c>
      <c r="D59" s="98" t="str" cm="1">
        <f t="array" ref="D59">_xlfn.IFS(C59&lt;=4,"1-4",C59&lt;=9,"5-9",C59&lt;=14,"10-14",C59&lt;=19,"15-19",C59&lt;=24,"20-24",C59&lt;=29,"25-29",C59&lt;=34,"30-34",C59&lt;=39,"35-39",C59&lt;=44,"40-44",C59&lt;=49,"45-49",C59&lt;=54,"50-54",C59&lt;=54,"50-54",C59&lt;=59,"55-59",C59&lt;=64,"60-64",C59&lt;=69,"65-69",C59&lt;=74,"70-74",C59&lt;=79,"75-79",C59&lt;=84,"80-84",C59&gt;84,"85+")</f>
        <v>85+</v>
      </c>
      <c r="E59" s="83">
        <f>IF(D59="85+",1,VLOOKUP(D59,'Life table 2014'!$AF$3:$AR$21,7,FALSE))</f>
        <v>1</v>
      </c>
      <c r="F59" s="72"/>
      <c r="G59" s="316">
        <f t="shared" si="11"/>
        <v>20075</v>
      </c>
      <c r="H59" s="27">
        <f>'Parameters &amp; DSA'!$B$119*G59^'Parameters &amp; DSA'!$B$120</f>
        <v>2.5361346053628329</v>
      </c>
      <c r="I59" s="314">
        <f t="shared" si="31"/>
        <v>4.8323165576109384E-2</v>
      </c>
      <c r="J59" s="72"/>
      <c r="K59" s="140">
        <f t="shared" si="43"/>
        <v>0</v>
      </c>
      <c r="L59" s="141">
        <f t="shared" si="44"/>
        <v>0</v>
      </c>
      <c r="M59" s="141">
        <f t="shared" si="45"/>
        <v>0</v>
      </c>
      <c r="N59" s="27">
        <f t="shared" si="46"/>
        <v>0</v>
      </c>
      <c r="O59" s="27">
        <f t="shared" si="47"/>
        <v>0</v>
      </c>
      <c r="P59" s="27">
        <f t="shared" si="48"/>
        <v>0</v>
      </c>
      <c r="Q59" s="27">
        <f t="shared" si="49"/>
        <v>0</v>
      </c>
      <c r="R59" s="27">
        <f t="shared" si="50"/>
        <v>0</v>
      </c>
      <c r="S59" s="27">
        <f t="shared" si="51"/>
        <v>0</v>
      </c>
      <c r="T59" s="27">
        <f t="shared" si="52"/>
        <v>0</v>
      </c>
      <c r="U59" s="27">
        <f t="shared" si="53"/>
        <v>0</v>
      </c>
      <c r="V59" s="27">
        <f t="shared" si="54"/>
        <v>0</v>
      </c>
      <c r="W59" s="27">
        <f t="shared" si="28"/>
        <v>0</v>
      </c>
      <c r="X59" s="27">
        <f t="shared" si="29"/>
        <v>0</v>
      </c>
      <c r="Y59" s="142">
        <f t="shared" si="55"/>
        <v>1.0000000000000011</v>
      </c>
      <c r="Z59" s="89">
        <f t="shared" si="32"/>
        <v>1.0000000000000011</v>
      </c>
      <c r="AB59" s="92">
        <f>(IF('Parameters &amp; DSA'!$H$1=1,(('Parameters &amp; DSA'!$B$76+'Parameters &amp; DSA'!$B$84+'Parameters &amp; DSA'!$B$88+'Parameters &amp; DSA'!$B$92)*($K59))/(1+cDC)^$A59,(('Parameters &amp; DSA'!$B$76+'Parameters &amp; DSA'!$B$84)*($K59))))*($AD$2/$AF$2)</f>
        <v>0</v>
      </c>
      <c r="AC59" s="371">
        <f>(IF('Parameters &amp; DSA'!$H$1=1,(('Parameters &amp; DSA'!$B$76+'Parameters &amp; DSA'!$B$84+'Parameters &amp; DSA'!$B$88+'Parameters &amp; DSA'!$B$92)*($M59+$N59))/(1+cDC)^$A59,(('Parameters &amp; DSA'!$B$76+'Parameters &amp; DSA'!$B$84)*($M59+$N59))))*($AD$2/$AF$2)</f>
        <v>0</v>
      </c>
      <c r="AD59" s="371">
        <f>(IF('Parameters &amp; DSA'!$H$1=1,(('Parameters &amp; DSA'!$B$76+'Parameters &amp; DSA'!$B$84+'Parameters &amp; DSA'!$B$88+'Parameters &amp; DSA'!$B$92)*(P59+Q59))/(1+cDC)^$A59,(('Parameters &amp; DSA'!$B$76+'Parameters &amp; DSA'!$B$84)*(P59+Q59))))*($AD$2/$AF$2)</f>
        <v>0</v>
      </c>
      <c r="AE59" s="371">
        <f>(IF('Parameters &amp; DSA'!$H$1=1,(('Parameters &amp; DSA'!$B$76+'Parameters &amp; DSA'!$B$84+'Parameters &amp; DSA'!$B$88+'Parameters &amp; DSA'!$B$92)*(S59+T59))/(1+cDC)^$A59,(('Parameters &amp; DSA'!$B$76+'Parameters &amp; DSA'!$B$84)*(S59+T59))))*($AD$2/$AF$2)</f>
        <v>0</v>
      </c>
      <c r="AF59" s="371">
        <f>(IF('Parameters &amp; DSA'!$H$1=1,(((W59-W58)*cM_Dialysis0)+(W59*cM_Dialysis1))/(1+'Parameters &amp; DSA'!$B$6)^$A59,(((W59-W58)*cM_Dialysis0)+(W59*cM_Dialysis1))))*($AD$2/$AG$2)</f>
        <v>0</v>
      </c>
      <c r="AG59" s="93">
        <f t="shared" si="22"/>
        <v>0</v>
      </c>
      <c r="AI59" s="88">
        <f t="shared" si="33"/>
        <v>0</v>
      </c>
      <c r="AJ59" s="27">
        <f t="shared" si="34"/>
        <v>0</v>
      </c>
      <c r="AK59" s="27">
        <f t="shared" si="35"/>
        <v>0</v>
      </c>
      <c r="AL59" s="27">
        <f t="shared" si="36"/>
        <v>0</v>
      </c>
      <c r="AM59" s="27">
        <f t="shared" si="37"/>
        <v>0</v>
      </c>
      <c r="AN59" s="27">
        <f t="shared" si="38"/>
        <v>0</v>
      </c>
      <c r="AO59" s="27">
        <f t="shared" si="39"/>
        <v>0</v>
      </c>
      <c r="AP59" s="27">
        <f t="shared" si="40"/>
        <v>0</v>
      </c>
      <c r="AQ59" s="27">
        <f t="shared" si="41"/>
        <v>0</v>
      </c>
      <c r="AR59" s="27">
        <f t="shared" si="42"/>
        <v>0</v>
      </c>
      <c r="AS59" s="27">
        <f t="shared" si="23"/>
        <v>0</v>
      </c>
      <c r="AT59" s="89">
        <f t="shared" si="24"/>
        <v>0</v>
      </c>
    </row>
    <row r="60" spans="1:46">
      <c r="A60" s="80">
        <v>56</v>
      </c>
      <c r="C60" s="10">
        <f t="shared" si="25"/>
        <v>98</v>
      </c>
      <c r="D60" s="98" t="str" cm="1">
        <f t="array" ref="D60">_xlfn.IFS(C60&lt;=4,"1-4",C60&lt;=9,"5-9",C60&lt;=14,"10-14",C60&lt;=19,"15-19",C60&lt;=24,"20-24",C60&lt;=29,"25-29",C60&lt;=34,"30-34",C60&lt;=39,"35-39",C60&lt;=44,"40-44",C60&lt;=49,"45-49",C60&lt;=54,"50-54",C60&lt;=54,"50-54",C60&lt;=59,"55-59",C60&lt;=64,"60-64",C60&lt;=69,"65-69",C60&lt;=74,"70-74",C60&lt;=79,"75-79",C60&lt;=84,"80-84",C60&gt;84,"85+")</f>
        <v>85+</v>
      </c>
      <c r="E60" s="83">
        <f>IF(D60="85+",1,VLOOKUP(D60,'Life table 2014'!$AF$3:$AR$21,7,FALSE))</f>
        <v>1</v>
      </c>
      <c r="F60" s="72"/>
      <c r="G60" s="316">
        <f t="shared" si="11"/>
        <v>20440</v>
      </c>
      <c r="H60" s="27">
        <f>'Parameters &amp; DSA'!$B$119*G60^'Parameters &amp; DSA'!$B$120</f>
        <v>2.5857318354427976</v>
      </c>
      <c r="I60" s="314">
        <f t="shared" si="31"/>
        <v>4.8387371733750073E-2</v>
      </c>
      <c r="J60" s="72"/>
      <c r="K60" s="140">
        <f t="shared" si="43"/>
        <v>0</v>
      </c>
      <c r="L60" s="141">
        <f t="shared" si="44"/>
        <v>0</v>
      </c>
      <c r="M60" s="141">
        <f t="shared" si="45"/>
        <v>0</v>
      </c>
      <c r="N60" s="27">
        <f t="shared" si="46"/>
        <v>0</v>
      </c>
      <c r="O60" s="27">
        <f t="shared" si="47"/>
        <v>0</v>
      </c>
      <c r="P60" s="27">
        <f t="shared" si="48"/>
        <v>0</v>
      </c>
      <c r="Q60" s="27">
        <f t="shared" si="49"/>
        <v>0</v>
      </c>
      <c r="R60" s="27">
        <f t="shared" si="50"/>
        <v>0</v>
      </c>
      <c r="S60" s="27">
        <f t="shared" si="51"/>
        <v>0</v>
      </c>
      <c r="T60" s="27">
        <f t="shared" si="52"/>
        <v>0</v>
      </c>
      <c r="U60" s="27">
        <f t="shared" si="53"/>
        <v>0</v>
      </c>
      <c r="V60" s="27">
        <f t="shared" si="54"/>
        <v>0</v>
      </c>
      <c r="W60" s="27">
        <f t="shared" si="28"/>
        <v>0</v>
      </c>
      <c r="X60" s="27">
        <f t="shared" si="29"/>
        <v>0</v>
      </c>
      <c r="Y60" s="142">
        <f t="shared" si="55"/>
        <v>1.0000000000000011</v>
      </c>
      <c r="Z60" s="89">
        <f t="shared" si="32"/>
        <v>1.0000000000000011</v>
      </c>
      <c r="AB60" s="92">
        <f>(IF('Parameters &amp; DSA'!$H$1=1,(('Parameters &amp; DSA'!$B$76+'Parameters &amp; DSA'!$B$84+'Parameters &amp; DSA'!$B$88+'Parameters &amp; DSA'!$B$92)*($K60))/(1+cDC)^$A60,(('Parameters &amp; DSA'!$B$76+'Parameters &amp; DSA'!$B$84)*($K60))))*($AD$2/$AF$2)</f>
        <v>0</v>
      </c>
      <c r="AC60" s="371">
        <f>(IF('Parameters &amp; DSA'!$H$1=1,(('Parameters &amp; DSA'!$B$76+'Parameters &amp; DSA'!$B$84+'Parameters &amp; DSA'!$B$88+'Parameters &amp; DSA'!$B$92)*($M60+$N60))/(1+cDC)^$A60,(('Parameters &amp; DSA'!$B$76+'Parameters &amp; DSA'!$B$84)*($M60+$N60))))*($AD$2/$AF$2)</f>
        <v>0</v>
      </c>
      <c r="AD60" s="371">
        <f>(IF('Parameters &amp; DSA'!$H$1=1,(('Parameters &amp; DSA'!$B$76+'Parameters &amp; DSA'!$B$84+'Parameters &amp; DSA'!$B$88+'Parameters &amp; DSA'!$B$92)*(P60+Q60))/(1+cDC)^$A60,(('Parameters &amp; DSA'!$B$76+'Parameters &amp; DSA'!$B$84)*(P60+Q60))))*($AD$2/$AF$2)</f>
        <v>0</v>
      </c>
      <c r="AE60" s="371">
        <f>(IF('Parameters &amp; DSA'!$H$1=1,(('Parameters &amp; DSA'!$B$76+'Parameters &amp; DSA'!$B$84+'Parameters &amp; DSA'!$B$88+'Parameters &amp; DSA'!$B$92)*(S60+T60))/(1+cDC)^$A60,(('Parameters &amp; DSA'!$B$76+'Parameters &amp; DSA'!$B$84)*(S60+T60))))*($AD$2/$AF$2)</f>
        <v>0</v>
      </c>
      <c r="AF60" s="371">
        <f>(IF('Parameters &amp; DSA'!$H$1=1,(((W60-W59)*cM_Dialysis0)+(W60*cM_Dialysis1))/(1+'Parameters &amp; DSA'!$B$6)^$A60,(((W60-W59)*cM_Dialysis0)+(W60*cM_Dialysis1))))*($AD$2/$AG$2)</f>
        <v>0</v>
      </c>
      <c r="AG60" s="93">
        <f t="shared" si="22"/>
        <v>0</v>
      </c>
      <c r="AI60" s="88">
        <f t="shared" si="33"/>
        <v>0</v>
      </c>
      <c r="AJ60" s="27">
        <f t="shared" si="34"/>
        <v>0</v>
      </c>
      <c r="AK60" s="27">
        <f t="shared" si="35"/>
        <v>0</v>
      </c>
      <c r="AL60" s="27">
        <f t="shared" si="36"/>
        <v>0</v>
      </c>
      <c r="AM60" s="27">
        <f t="shared" si="37"/>
        <v>0</v>
      </c>
      <c r="AN60" s="27">
        <f t="shared" si="38"/>
        <v>0</v>
      </c>
      <c r="AO60" s="27">
        <f t="shared" si="39"/>
        <v>0</v>
      </c>
      <c r="AP60" s="27">
        <f t="shared" si="40"/>
        <v>0</v>
      </c>
      <c r="AQ60" s="27">
        <f t="shared" si="41"/>
        <v>0</v>
      </c>
      <c r="AR60" s="27">
        <f t="shared" si="42"/>
        <v>0</v>
      </c>
      <c r="AS60" s="27">
        <f t="shared" si="23"/>
        <v>0</v>
      </c>
      <c r="AT60" s="89">
        <f t="shared" si="24"/>
        <v>0</v>
      </c>
    </row>
    <row r="61" spans="1:46">
      <c r="A61" s="80">
        <v>57</v>
      </c>
      <c r="C61" s="10">
        <f t="shared" si="25"/>
        <v>99</v>
      </c>
      <c r="D61" s="98" t="str" cm="1">
        <f t="array" ref="D61">_xlfn.IFS(C61&lt;=4,"1-4",C61&lt;=9,"5-9",C61&lt;=14,"10-14",C61&lt;=19,"15-19",C61&lt;=24,"20-24",C61&lt;=29,"25-29",C61&lt;=34,"30-34",C61&lt;=39,"35-39",C61&lt;=44,"40-44",C61&lt;=49,"45-49",C61&lt;=54,"50-54",C61&lt;=54,"50-54",C61&lt;=59,"55-59",C61&lt;=64,"60-64",C61&lt;=69,"65-69",C61&lt;=74,"70-74",C61&lt;=79,"75-79",C61&lt;=84,"80-84",C61&gt;84,"85+")</f>
        <v>85+</v>
      </c>
      <c r="E61" s="83">
        <f>IF(D61="85+",1,VLOOKUP(D61,'Life table 2014'!$AF$3:$AR$21,7,FALSE))</f>
        <v>1</v>
      </c>
      <c r="F61" s="72"/>
      <c r="G61" s="316">
        <f t="shared" si="11"/>
        <v>20805</v>
      </c>
      <c r="H61" s="27">
        <f>'Parameters &amp; DSA'!$B$119*G61^'Parameters &amp; DSA'!$B$120</f>
        <v>2.6353954186790989</v>
      </c>
      <c r="I61" s="314">
        <f t="shared" si="31"/>
        <v>4.8450512140439383E-2</v>
      </c>
      <c r="J61" s="72"/>
      <c r="K61" s="140">
        <f t="shared" si="43"/>
        <v>0</v>
      </c>
      <c r="L61" s="141">
        <f t="shared" si="44"/>
        <v>0</v>
      </c>
      <c r="M61" s="141">
        <f t="shared" si="45"/>
        <v>0</v>
      </c>
      <c r="N61" s="27">
        <f t="shared" si="46"/>
        <v>0</v>
      </c>
      <c r="O61" s="27">
        <f t="shared" si="47"/>
        <v>0</v>
      </c>
      <c r="P61" s="27">
        <f t="shared" si="48"/>
        <v>0</v>
      </c>
      <c r="Q61" s="27">
        <f t="shared" si="49"/>
        <v>0</v>
      </c>
      <c r="R61" s="27">
        <f t="shared" si="50"/>
        <v>0</v>
      </c>
      <c r="S61" s="27">
        <f t="shared" si="51"/>
        <v>0</v>
      </c>
      <c r="T61" s="27">
        <f t="shared" si="52"/>
        <v>0</v>
      </c>
      <c r="U61" s="27">
        <f t="shared" si="53"/>
        <v>0</v>
      </c>
      <c r="V61" s="27">
        <f t="shared" si="54"/>
        <v>0</v>
      </c>
      <c r="W61" s="27">
        <f t="shared" si="28"/>
        <v>0</v>
      </c>
      <c r="X61" s="27">
        <f t="shared" si="29"/>
        <v>0</v>
      </c>
      <c r="Y61" s="142">
        <f t="shared" si="55"/>
        <v>1.0000000000000011</v>
      </c>
      <c r="Z61" s="89">
        <f t="shared" si="32"/>
        <v>1.0000000000000011</v>
      </c>
      <c r="AB61" s="92">
        <f>(IF('Parameters &amp; DSA'!$H$1=1,(('Parameters &amp; DSA'!$B$76+'Parameters &amp; DSA'!$B$84+'Parameters &amp; DSA'!$B$88+'Parameters &amp; DSA'!$B$92)*($K61))/(1+cDC)^$A61,(('Parameters &amp; DSA'!$B$76+'Parameters &amp; DSA'!$B$84)*($K61))))*($AD$2/$AF$2)</f>
        <v>0</v>
      </c>
      <c r="AC61" s="371">
        <f>(IF('Parameters &amp; DSA'!$H$1=1,(('Parameters &amp; DSA'!$B$76+'Parameters &amp; DSA'!$B$84+'Parameters &amp; DSA'!$B$88+'Parameters &amp; DSA'!$B$92)*($M61+$N61))/(1+cDC)^$A61,(('Parameters &amp; DSA'!$B$76+'Parameters &amp; DSA'!$B$84)*($M61+$N61))))*($AD$2/$AF$2)</f>
        <v>0</v>
      </c>
      <c r="AD61" s="371">
        <f>(IF('Parameters &amp; DSA'!$H$1=1,(('Parameters &amp; DSA'!$B$76+'Parameters &amp; DSA'!$B$84+'Parameters &amp; DSA'!$B$88+'Parameters &amp; DSA'!$B$92)*(P61+Q61))/(1+cDC)^$A61,(('Parameters &amp; DSA'!$B$76+'Parameters &amp; DSA'!$B$84)*(P61+Q61))))*($AD$2/$AF$2)</f>
        <v>0</v>
      </c>
      <c r="AE61" s="371">
        <f>(IF('Parameters &amp; DSA'!$H$1=1,(('Parameters &amp; DSA'!$B$76+'Parameters &amp; DSA'!$B$84+'Parameters &amp; DSA'!$B$88+'Parameters &amp; DSA'!$B$92)*(S61+T61))/(1+cDC)^$A61,(('Parameters &amp; DSA'!$B$76+'Parameters &amp; DSA'!$B$84)*(S61+T61))))*($AD$2/$AF$2)</f>
        <v>0</v>
      </c>
      <c r="AF61" s="371">
        <f>(IF('Parameters &amp; DSA'!$H$1=1,(((W61-W60)*cM_Dialysis0)+(W61*cM_Dialysis1))/(1+'Parameters &amp; DSA'!$B$6)^$A61,(((W61-W60)*cM_Dialysis0)+(W61*cM_Dialysis1))))*($AD$2/$AG$2)</f>
        <v>0</v>
      </c>
      <c r="AG61" s="93">
        <f t="shared" si="22"/>
        <v>0</v>
      </c>
      <c r="AI61" s="88">
        <f t="shared" si="33"/>
        <v>0</v>
      </c>
      <c r="AJ61" s="27">
        <f t="shared" si="34"/>
        <v>0</v>
      </c>
      <c r="AK61" s="27">
        <f t="shared" si="35"/>
        <v>0</v>
      </c>
      <c r="AL61" s="27">
        <f t="shared" si="36"/>
        <v>0</v>
      </c>
      <c r="AM61" s="27">
        <f t="shared" si="37"/>
        <v>0</v>
      </c>
      <c r="AN61" s="27">
        <f t="shared" si="38"/>
        <v>0</v>
      </c>
      <c r="AO61" s="27">
        <f t="shared" si="39"/>
        <v>0</v>
      </c>
      <c r="AP61" s="27">
        <f t="shared" si="40"/>
        <v>0</v>
      </c>
      <c r="AQ61" s="27">
        <f t="shared" si="41"/>
        <v>0</v>
      </c>
      <c r="AR61" s="27">
        <f t="shared" si="42"/>
        <v>0</v>
      </c>
      <c r="AS61" s="27">
        <f t="shared" si="23"/>
        <v>0</v>
      </c>
      <c r="AT61" s="89">
        <f t="shared" si="24"/>
        <v>0</v>
      </c>
    </row>
    <row r="62" spans="1:46">
      <c r="A62" s="80">
        <v>58</v>
      </c>
      <c r="C62" s="10">
        <f t="shared" si="25"/>
        <v>100</v>
      </c>
      <c r="D62" s="98" t="str" cm="1">
        <f t="array" ref="D62">_xlfn.IFS(C62&lt;=4,"1-4",C62&lt;=9,"5-9",C62&lt;=14,"10-14",C62&lt;=19,"15-19",C62&lt;=24,"20-24",C62&lt;=29,"25-29",C62&lt;=34,"30-34",C62&lt;=39,"35-39",C62&lt;=44,"40-44",C62&lt;=49,"45-49",C62&lt;=54,"50-54",C62&lt;=54,"50-54",C62&lt;=59,"55-59",C62&lt;=64,"60-64",C62&lt;=69,"65-69",C62&lt;=74,"70-74",C62&lt;=79,"75-79",C62&lt;=84,"80-84",C62&gt;84,"85+")</f>
        <v>85+</v>
      </c>
      <c r="E62" s="83">
        <f>IF(D62="85+",1,VLOOKUP(D62,'Life table 2014'!$AF$3:$AR$21,7,FALSE))</f>
        <v>1</v>
      </c>
      <c r="F62" s="72"/>
      <c r="G62" s="316">
        <f t="shared" si="11"/>
        <v>21170</v>
      </c>
      <c r="H62" s="27">
        <f>'Parameters &amp; DSA'!$B$119*G62^'Parameters &amp; DSA'!$B$120</f>
        <v>2.6851242773118651</v>
      </c>
      <c r="I62" s="314">
        <f t="shared" si="31"/>
        <v>4.8512622883341683E-2</v>
      </c>
      <c r="J62" s="72"/>
      <c r="K62" s="140">
        <f t="shared" si="43"/>
        <v>0</v>
      </c>
      <c r="L62" s="141">
        <f t="shared" si="44"/>
        <v>0</v>
      </c>
      <c r="M62" s="141">
        <f t="shared" si="45"/>
        <v>0</v>
      </c>
      <c r="N62" s="27">
        <f t="shared" si="46"/>
        <v>0</v>
      </c>
      <c r="O62" s="27">
        <f t="shared" si="47"/>
        <v>0</v>
      </c>
      <c r="P62" s="27">
        <f t="shared" si="48"/>
        <v>0</v>
      </c>
      <c r="Q62" s="27">
        <f t="shared" si="49"/>
        <v>0</v>
      </c>
      <c r="R62" s="27">
        <f t="shared" si="50"/>
        <v>0</v>
      </c>
      <c r="S62" s="27">
        <f t="shared" si="51"/>
        <v>0</v>
      </c>
      <c r="T62" s="27">
        <f t="shared" si="52"/>
        <v>0</v>
      </c>
      <c r="U62" s="27">
        <f t="shared" si="53"/>
        <v>0</v>
      </c>
      <c r="V62" s="27">
        <f t="shared" si="54"/>
        <v>0</v>
      </c>
      <c r="W62" s="27">
        <f t="shared" si="28"/>
        <v>0</v>
      </c>
      <c r="X62" s="27">
        <f t="shared" si="29"/>
        <v>0</v>
      </c>
      <c r="Y62" s="142">
        <f t="shared" si="55"/>
        <v>1.0000000000000011</v>
      </c>
      <c r="Z62" s="89">
        <f t="shared" si="32"/>
        <v>1.0000000000000011</v>
      </c>
      <c r="AB62" s="92">
        <f>(IF('Parameters &amp; DSA'!$H$1=1,(('Parameters &amp; DSA'!$B$76+'Parameters &amp; DSA'!$B$84+'Parameters &amp; DSA'!$B$88+'Parameters &amp; DSA'!$B$92)*($K62))/(1+cDC)^$A62,(('Parameters &amp; DSA'!$B$76+'Parameters &amp; DSA'!$B$84)*($K62))))*($AD$2/$AF$2)</f>
        <v>0</v>
      </c>
      <c r="AC62" s="371">
        <f>(IF('Parameters &amp; DSA'!$H$1=1,(('Parameters &amp; DSA'!$B$76+'Parameters &amp; DSA'!$B$84+'Parameters &amp; DSA'!$B$88+'Parameters &amp; DSA'!$B$92)*($M62+$N62))/(1+cDC)^$A62,(('Parameters &amp; DSA'!$B$76+'Parameters &amp; DSA'!$B$84)*($M62+$N62))))*($AD$2/$AF$2)</f>
        <v>0</v>
      </c>
      <c r="AD62" s="371">
        <f>(IF('Parameters &amp; DSA'!$H$1=1,(('Parameters &amp; DSA'!$B$76+'Parameters &amp; DSA'!$B$84+'Parameters &amp; DSA'!$B$88+'Parameters &amp; DSA'!$B$92)*(P62+Q62))/(1+cDC)^$A62,(('Parameters &amp; DSA'!$B$76+'Parameters &amp; DSA'!$B$84)*(P62+Q62))))*($AD$2/$AF$2)</f>
        <v>0</v>
      </c>
      <c r="AE62" s="371">
        <f>(IF('Parameters &amp; DSA'!$H$1=1,(('Parameters &amp; DSA'!$B$76+'Parameters &amp; DSA'!$B$84+'Parameters &amp; DSA'!$B$88+'Parameters &amp; DSA'!$B$92)*(S62+T62))/(1+cDC)^$A62,(('Parameters &amp; DSA'!$B$76+'Parameters &amp; DSA'!$B$84)*(S62+T62))))*($AD$2/$AF$2)</f>
        <v>0</v>
      </c>
      <c r="AF62" s="371">
        <f>(IF('Parameters &amp; DSA'!$H$1=1,(((W62-W61)*cM_Dialysis0)+(W62*cM_Dialysis1))/(1+'Parameters &amp; DSA'!$B$6)^$A62,(((W62-W61)*cM_Dialysis0)+(W62*cM_Dialysis1))))*($AD$2/$AG$2)</f>
        <v>0</v>
      </c>
      <c r="AG62" s="93">
        <f t="shared" si="22"/>
        <v>0</v>
      </c>
      <c r="AI62" s="88">
        <f t="shared" si="33"/>
        <v>0</v>
      </c>
      <c r="AJ62" s="27">
        <f t="shared" si="34"/>
        <v>0</v>
      </c>
      <c r="AK62" s="27">
        <f t="shared" si="35"/>
        <v>0</v>
      </c>
      <c r="AL62" s="27">
        <f t="shared" si="36"/>
        <v>0</v>
      </c>
      <c r="AM62" s="27">
        <f t="shared" si="37"/>
        <v>0</v>
      </c>
      <c r="AN62" s="27">
        <f t="shared" si="38"/>
        <v>0</v>
      </c>
      <c r="AO62" s="27">
        <f t="shared" si="39"/>
        <v>0</v>
      </c>
      <c r="AP62" s="27">
        <f t="shared" si="40"/>
        <v>0</v>
      </c>
      <c r="AQ62" s="27">
        <f t="shared" si="41"/>
        <v>0</v>
      </c>
      <c r="AR62" s="27">
        <f t="shared" si="42"/>
        <v>0</v>
      </c>
      <c r="AS62" s="27">
        <f t="shared" si="23"/>
        <v>0</v>
      </c>
      <c r="AT62" s="89">
        <f t="shared" si="24"/>
        <v>0</v>
      </c>
    </row>
    <row r="63" spans="1:46">
      <c r="A63" s="80">
        <v>59</v>
      </c>
      <c r="C63" s="10">
        <f t="shared" si="25"/>
        <v>101</v>
      </c>
      <c r="D63" s="98" t="str" cm="1">
        <f t="array" ref="D63">_xlfn.IFS(C63&lt;=4,"1-4",C63&lt;=9,"5-9",C63&lt;=14,"10-14",C63&lt;=19,"15-19",C63&lt;=24,"20-24",C63&lt;=29,"25-29",C63&lt;=34,"30-34",C63&lt;=39,"35-39",C63&lt;=44,"40-44",C63&lt;=49,"45-49",C63&lt;=54,"50-54",C63&lt;=54,"50-54",C63&lt;=59,"55-59",C63&lt;=64,"60-64",C63&lt;=69,"65-69",C63&lt;=74,"70-74",C63&lt;=79,"75-79",C63&lt;=84,"80-84",C63&gt;84,"85+")</f>
        <v>85+</v>
      </c>
      <c r="E63" s="83">
        <f>IF(D63="85+",1,VLOOKUP(D63,'Life table 2014'!$AF$3:$AR$21,7,FALSE))</f>
        <v>1</v>
      </c>
      <c r="F63" s="72"/>
      <c r="G63" s="316">
        <f t="shared" si="11"/>
        <v>21535</v>
      </c>
      <c r="H63" s="27">
        <f>'Parameters &amp; DSA'!$B$119*G63^'Parameters &amp; DSA'!$B$120</f>
        <v>2.734917369382813</v>
      </c>
      <c r="I63" s="314">
        <f t="shared" si="31"/>
        <v>4.8573738226115104E-2</v>
      </c>
      <c r="J63" s="72"/>
      <c r="K63" s="140">
        <f t="shared" si="43"/>
        <v>0</v>
      </c>
      <c r="L63" s="141">
        <f t="shared" si="44"/>
        <v>0</v>
      </c>
      <c r="M63" s="141">
        <f t="shared" si="45"/>
        <v>0</v>
      </c>
      <c r="N63" s="27">
        <f t="shared" si="46"/>
        <v>0</v>
      </c>
      <c r="O63" s="27">
        <f t="shared" si="47"/>
        <v>0</v>
      </c>
      <c r="P63" s="27">
        <f t="shared" si="48"/>
        <v>0</v>
      </c>
      <c r="Q63" s="27">
        <f t="shared" si="49"/>
        <v>0</v>
      </c>
      <c r="R63" s="27">
        <f t="shared" si="50"/>
        <v>0</v>
      </c>
      <c r="S63" s="27">
        <f t="shared" si="51"/>
        <v>0</v>
      </c>
      <c r="T63" s="27">
        <f t="shared" si="52"/>
        <v>0</v>
      </c>
      <c r="U63" s="27">
        <f t="shared" si="53"/>
        <v>0</v>
      </c>
      <c r="V63" s="27">
        <f t="shared" si="54"/>
        <v>0</v>
      </c>
      <c r="W63" s="27">
        <f t="shared" si="28"/>
        <v>0</v>
      </c>
      <c r="X63" s="27">
        <f t="shared" si="29"/>
        <v>0</v>
      </c>
      <c r="Y63" s="142">
        <f t="shared" si="55"/>
        <v>1.0000000000000011</v>
      </c>
      <c r="Z63" s="89">
        <f t="shared" si="32"/>
        <v>1.0000000000000011</v>
      </c>
      <c r="AB63" s="92">
        <f>(IF('Parameters &amp; DSA'!$H$1=1,(('Parameters &amp; DSA'!$B$76+'Parameters &amp; DSA'!$B$84+'Parameters &amp; DSA'!$B$88+'Parameters &amp; DSA'!$B$92)*($K63))/(1+cDC)^$A63,(('Parameters &amp; DSA'!$B$76+'Parameters &amp; DSA'!$B$84)*($K63))))*($AD$2/$AF$2)</f>
        <v>0</v>
      </c>
      <c r="AC63" s="371">
        <f>(IF('Parameters &amp; DSA'!$H$1=1,(('Parameters &amp; DSA'!$B$76+'Parameters &amp; DSA'!$B$84+'Parameters &amp; DSA'!$B$88+'Parameters &amp; DSA'!$B$92)*($M63+$N63))/(1+cDC)^$A63,(('Parameters &amp; DSA'!$B$76+'Parameters &amp; DSA'!$B$84)*($M63+$N63))))*($AD$2/$AF$2)</f>
        <v>0</v>
      </c>
      <c r="AD63" s="371">
        <f>(IF('Parameters &amp; DSA'!$H$1=1,(('Parameters &amp; DSA'!$B$76+'Parameters &amp; DSA'!$B$84+'Parameters &amp; DSA'!$B$88+'Parameters &amp; DSA'!$B$92)*(P63+Q63))/(1+cDC)^$A63,(('Parameters &amp; DSA'!$B$76+'Parameters &amp; DSA'!$B$84)*(P63+Q63))))*($AD$2/$AF$2)</f>
        <v>0</v>
      </c>
      <c r="AE63" s="371">
        <f>(IF('Parameters &amp; DSA'!$H$1=1,(('Parameters &amp; DSA'!$B$76+'Parameters &amp; DSA'!$B$84+'Parameters &amp; DSA'!$B$88+'Parameters &amp; DSA'!$B$92)*(S63+T63))/(1+cDC)^$A63,(('Parameters &amp; DSA'!$B$76+'Parameters &amp; DSA'!$B$84)*(S63+T63))))*($AD$2/$AF$2)</f>
        <v>0</v>
      </c>
      <c r="AF63" s="371">
        <f>(IF('Parameters &amp; DSA'!$H$1=1,(((W63-W62)*cM_Dialysis0)+(W63*cM_Dialysis1))/(1+'Parameters &amp; DSA'!$B$6)^$A63,(((W63-W62)*cM_Dialysis0)+(W63*cM_Dialysis1))))*($AD$2/$AG$2)</f>
        <v>0</v>
      </c>
      <c r="AG63" s="93">
        <f t="shared" si="22"/>
        <v>0</v>
      </c>
      <c r="AI63" s="88">
        <f t="shared" si="33"/>
        <v>0</v>
      </c>
      <c r="AJ63" s="27">
        <f t="shared" si="34"/>
        <v>0</v>
      </c>
      <c r="AK63" s="27">
        <f t="shared" si="35"/>
        <v>0</v>
      </c>
      <c r="AL63" s="27">
        <f t="shared" si="36"/>
        <v>0</v>
      </c>
      <c r="AM63" s="27">
        <f t="shared" si="37"/>
        <v>0</v>
      </c>
      <c r="AN63" s="27">
        <f t="shared" si="38"/>
        <v>0</v>
      </c>
      <c r="AO63" s="27">
        <f t="shared" si="39"/>
        <v>0</v>
      </c>
      <c r="AP63" s="27">
        <f t="shared" si="40"/>
        <v>0</v>
      </c>
      <c r="AQ63" s="27">
        <f t="shared" si="41"/>
        <v>0</v>
      </c>
      <c r="AR63" s="27">
        <f t="shared" si="42"/>
        <v>0</v>
      </c>
      <c r="AS63" s="27">
        <f t="shared" si="23"/>
        <v>0</v>
      </c>
      <c r="AT63" s="89">
        <f t="shared" si="24"/>
        <v>0</v>
      </c>
    </row>
    <row r="64" spans="1:46">
      <c r="A64" s="80">
        <v>60</v>
      </c>
      <c r="C64" s="10">
        <f t="shared" si="25"/>
        <v>102</v>
      </c>
      <c r="D64" s="98" t="str" cm="1">
        <f t="array" ref="D64">_xlfn.IFS(C64&lt;=4,"1-4",C64&lt;=9,"5-9",C64&lt;=14,"10-14",C64&lt;=19,"15-19",C64&lt;=24,"20-24",C64&lt;=29,"25-29",C64&lt;=34,"30-34",C64&lt;=39,"35-39",C64&lt;=44,"40-44",C64&lt;=49,"45-49",C64&lt;=54,"50-54",C64&lt;=54,"50-54",C64&lt;=59,"55-59",C64&lt;=64,"60-64",C64&lt;=69,"65-69",C64&lt;=74,"70-74",C64&lt;=79,"75-79",C64&lt;=84,"80-84",C64&gt;84,"85+")</f>
        <v>85+</v>
      </c>
      <c r="E64" s="83">
        <f>IF(D64="85+",1,VLOOKUP(D64,'Life table 2014'!$AF$3:$AR$21,7,FALSE))</f>
        <v>1</v>
      </c>
      <c r="F64" s="72"/>
      <c r="G64" s="316">
        <f t="shared" si="11"/>
        <v>21900</v>
      </c>
      <c r="H64" s="27">
        <f>'Parameters &amp; DSA'!$B$119*G64^'Parameters &amp; DSA'!$B$120</f>
        <v>2.7847736869587432</v>
      </c>
      <c r="I64" s="314">
        <f t="shared" si="31"/>
        <v>4.8633890730362839E-2</v>
      </c>
      <c r="J64" s="72"/>
      <c r="K64" s="140">
        <f t="shared" si="43"/>
        <v>0</v>
      </c>
      <c r="L64" s="141">
        <f t="shared" si="44"/>
        <v>0</v>
      </c>
      <c r="M64" s="141">
        <f t="shared" si="45"/>
        <v>0</v>
      </c>
      <c r="N64" s="27">
        <f t="shared" si="46"/>
        <v>0</v>
      </c>
      <c r="O64" s="27">
        <f t="shared" si="47"/>
        <v>0</v>
      </c>
      <c r="P64" s="27">
        <f t="shared" si="48"/>
        <v>0</v>
      </c>
      <c r="Q64" s="27">
        <f t="shared" si="49"/>
        <v>0</v>
      </c>
      <c r="R64" s="27">
        <f t="shared" si="50"/>
        <v>0</v>
      </c>
      <c r="S64" s="27">
        <f t="shared" si="51"/>
        <v>0</v>
      </c>
      <c r="T64" s="27">
        <f t="shared" si="52"/>
        <v>0</v>
      </c>
      <c r="U64" s="27">
        <f t="shared" si="53"/>
        <v>0</v>
      </c>
      <c r="V64" s="27">
        <f t="shared" si="54"/>
        <v>0</v>
      </c>
      <c r="W64" s="27">
        <f t="shared" si="28"/>
        <v>0</v>
      </c>
      <c r="X64" s="27">
        <f t="shared" si="29"/>
        <v>0</v>
      </c>
      <c r="Y64" s="142">
        <f t="shared" si="55"/>
        <v>1.0000000000000011</v>
      </c>
      <c r="Z64" s="89">
        <f t="shared" si="32"/>
        <v>1.0000000000000011</v>
      </c>
      <c r="AB64" s="92">
        <f>(IF('Parameters &amp; DSA'!$H$1=1,(('Parameters &amp; DSA'!$B$76+'Parameters &amp; DSA'!$B$84+'Parameters &amp; DSA'!$B$88+'Parameters &amp; DSA'!$B$92)*($K64))/(1+cDC)^$A64,(('Parameters &amp; DSA'!$B$76+'Parameters &amp; DSA'!$B$84)*($K64))))*($AD$2/$AF$2)</f>
        <v>0</v>
      </c>
      <c r="AC64" s="371">
        <f>(IF('Parameters &amp; DSA'!$H$1=1,(('Parameters &amp; DSA'!$B$76+'Parameters &amp; DSA'!$B$84+'Parameters &amp; DSA'!$B$88+'Parameters &amp; DSA'!$B$92)*($M64+$N64))/(1+cDC)^$A64,(('Parameters &amp; DSA'!$B$76+'Parameters &amp; DSA'!$B$84)*($M64+$N64))))*($AD$2/$AF$2)</f>
        <v>0</v>
      </c>
      <c r="AD64" s="371">
        <f>(IF('Parameters &amp; DSA'!$H$1=1,(('Parameters &amp; DSA'!$B$76+'Parameters &amp; DSA'!$B$84+'Parameters &amp; DSA'!$B$88+'Parameters &amp; DSA'!$B$92)*(P64+Q64))/(1+cDC)^$A64,(('Parameters &amp; DSA'!$B$76+'Parameters &amp; DSA'!$B$84)*(P64+Q64))))*($AD$2/$AF$2)</f>
        <v>0</v>
      </c>
      <c r="AE64" s="371">
        <f>(IF('Parameters &amp; DSA'!$H$1=1,(('Parameters &amp; DSA'!$B$76+'Parameters &amp; DSA'!$B$84+'Parameters &amp; DSA'!$B$88+'Parameters &amp; DSA'!$B$92)*(S64+T64))/(1+cDC)^$A64,(('Parameters &amp; DSA'!$B$76+'Parameters &amp; DSA'!$B$84)*(S64+T64))))*($AD$2/$AF$2)</f>
        <v>0</v>
      </c>
      <c r="AF64" s="371">
        <f>(IF('Parameters &amp; DSA'!$H$1=1,(((W64-W63)*cM_Dialysis0)+(W64*cM_Dialysis1))/(1+'Parameters &amp; DSA'!$B$6)^$A64,(((W64-W63)*cM_Dialysis0)+(W64*cM_Dialysis1))))*($AD$2/$AG$2)</f>
        <v>0</v>
      </c>
      <c r="AG64" s="93">
        <f t="shared" si="22"/>
        <v>0</v>
      </c>
      <c r="AI64" s="88">
        <f t="shared" si="33"/>
        <v>0</v>
      </c>
      <c r="AJ64" s="27">
        <f t="shared" si="34"/>
        <v>0</v>
      </c>
      <c r="AK64" s="27">
        <f t="shared" si="35"/>
        <v>0</v>
      </c>
      <c r="AL64" s="27">
        <f t="shared" si="36"/>
        <v>0</v>
      </c>
      <c r="AM64" s="27">
        <f t="shared" si="37"/>
        <v>0</v>
      </c>
      <c r="AN64" s="27">
        <f t="shared" si="38"/>
        <v>0</v>
      </c>
      <c r="AO64" s="27">
        <f t="shared" si="39"/>
        <v>0</v>
      </c>
      <c r="AP64" s="27">
        <f t="shared" si="40"/>
        <v>0</v>
      </c>
      <c r="AQ64" s="27">
        <f t="shared" si="41"/>
        <v>0</v>
      </c>
      <c r="AR64" s="27">
        <f t="shared" si="42"/>
        <v>0</v>
      </c>
      <c r="AS64" s="27">
        <f t="shared" si="23"/>
        <v>0</v>
      </c>
      <c r="AT64" s="89">
        <f t="shared" si="24"/>
        <v>0</v>
      </c>
    </row>
    <row r="65" spans="1:46">
      <c r="A65" s="80">
        <v>61</v>
      </c>
      <c r="C65" s="10">
        <f t="shared" si="25"/>
        <v>103</v>
      </c>
      <c r="D65" s="98" t="str" cm="1">
        <f t="array" ref="D65">_xlfn.IFS(C65&lt;=4,"1-4",C65&lt;=9,"5-9",C65&lt;=14,"10-14",C65&lt;=19,"15-19",C65&lt;=24,"20-24",C65&lt;=29,"25-29",C65&lt;=34,"30-34",C65&lt;=39,"35-39",C65&lt;=44,"40-44",C65&lt;=49,"45-49",C65&lt;=54,"50-54",C65&lt;=54,"50-54",C65&lt;=59,"55-59",C65&lt;=64,"60-64",C65&lt;=69,"65-69",C65&lt;=74,"70-74",C65&lt;=79,"75-79",C65&lt;=84,"80-84",C65&gt;84,"85+")</f>
        <v>85+</v>
      </c>
      <c r="E65" s="83">
        <f>IF(D65="85+",1,VLOOKUP(D65,'Life table 2014'!$AF$3:$AR$21,7,FALSE))</f>
        <v>1</v>
      </c>
      <c r="F65" s="72"/>
      <c r="G65" s="316">
        <f t="shared" si="11"/>
        <v>22265</v>
      </c>
      <c r="H65" s="27">
        <f>'Parameters &amp; DSA'!$B$119*G65^'Parameters &amp; DSA'!$B$120</f>
        <v>2.8346922544713937</v>
      </c>
      <c r="I65" s="314">
        <f t="shared" si="31"/>
        <v>4.8693111367203223E-2</v>
      </c>
      <c r="J65" s="72"/>
      <c r="K65" s="140">
        <f t="shared" si="43"/>
        <v>0</v>
      </c>
      <c r="L65" s="141">
        <f t="shared" si="44"/>
        <v>0</v>
      </c>
      <c r="M65" s="141">
        <f t="shared" si="45"/>
        <v>0</v>
      </c>
      <c r="N65" s="27">
        <f t="shared" si="46"/>
        <v>0</v>
      </c>
      <c r="O65" s="27">
        <f t="shared" si="47"/>
        <v>0</v>
      </c>
      <c r="P65" s="27">
        <f t="shared" si="48"/>
        <v>0</v>
      </c>
      <c r="Q65" s="27">
        <f t="shared" si="49"/>
        <v>0</v>
      </c>
      <c r="R65" s="27">
        <f t="shared" si="50"/>
        <v>0</v>
      </c>
      <c r="S65" s="27">
        <f t="shared" si="51"/>
        <v>0</v>
      </c>
      <c r="T65" s="27">
        <f t="shared" si="52"/>
        <v>0</v>
      </c>
      <c r="U65" s="27">
        <f t="shared" si="53"/>
        <v>0</v>
      </c>
      <c r="V65" s="27">
        <f t="shared" si="54"/>
        <v>0</v>
      </c>
      <c r="W65" s="27">
        <f t="shared" si="28"/>
        <v>0</v>
      </c>
      <c r="X65" s="27">
        <f t="shared" si="29"/>
        <v>0</v>
      </c>
      <c r="Y65" s="142">
        <f t="shared" si="55"/>
        <v>1.0000000000000011</v>
      </c>
      <c r="Z65" s="89">
        <f t="shared" si="32"/>
        <v>1.0000000000000011</v>
      </c>
      <c r="AB65" s="92">
        <f>(IF('Parameters &amp; DSA'!$H$1=1,(('Parameters &amp; DSA'!$B$76+'Parameters &amp; DSA'!$B$84+'Parameters &amp; DSA'!$B$88+'Parameters &amp; DSA'!$B$92)*($K65))/(1+cDC)^$A65,(('Parameters &amp; DSA'!$B$76+'Parameters &amp; DSA'!$B$84)*($K65))))*($AD$2/$AF$2)</f>
        <v>0</v>
      </c>
      <c r="AC65" s="371">
        <f>(IF('Parameters &amp; DSA'!$H$1=1,(('Parameters &amp; DSA'!$B$76+'Parameters &amp; DSA'!$B$84+'Parameters &amp; DSA'!$B$88+'Parameters &amp; DSA'!$B$92)*($M65+$N65))/(1+cDC)^$A65,(('Parameters &amp; DSA'!$B$76+'Parameters &amp; DSA'!$B$84)*($M65+$N65))))*($AD$2/$AF$2)</f>
        <v>0</v>
      </c>
      <c r="AD65" s="371">
        <f>(IF('Parameters &amp; DSA'!$H$1=1,(('Parameters &amp; DSA'!$B$76+'Parameters &amp; DSA'!$B$84+'Parameters &amp; DSA'!$B$88+'Parameters &amp; DSA'!$B$92)*(P65+Q65))/(1+cDC)^$A65,(('Parameters &amp; DSA'!$B$76+'Parameters &amp; DSA'!$B$84)*(P65+Q65))))*($AD$2/$AF$2)</f>
        <v>0</v>
      </c>
      <c r="AE65" s="371">
        <f>(IF('Parameters &amp; DSA'!$H$1=1,(('Parameters &amp; DSA'!$B$76+'Parameters &amp; DSA'!$B$84+'Parameters &amp; DSA'!$B$88+'Parameters &amp; DSA'!$B$92)*(S65+T65))/(1+cDC)^$A65,(('Parameters &amp; DSA'!$B$76+'Parameters &amp; DSA'!$B$84)*(S65+T65))))*($AD$2/$AF$2)</f>
        <v>0</v>
      </c>
      <c r="AF65" s="371">
        <f>(IF('Parameters &amp; DSA'!$H$1=1,(((W65-W64)*cM_Dialysis0)+(W65*cM_Dialysis1))/(1+'Parameters &amp; DSA'!$B$6)^$A65,(((W65-W64)*cM_Dialysis0)+(W65*cM_Dialysis1))))*($AD$2/$AG$2)</f>
        <v>0</v>
      </c>
      <c r="AG65" s="93">
        <f t="shared" si="22"/>
        <v>0</v>
      </c>
      <c r="AI65" s="88">
        <f t="shared" si="33"/>
        <v>0</v>
      </c>
      <c r="AJ65" s="27">
        <f t="shared" si="34"/>
        <v>0</v>
      </c>
      <c r="AK65" s="27">
        <f t="shared" si="35"/>
        <v>0</v>
      </c>
      <c r="AL65" s="27">
        <f t="shared" si="36"/>
        <v>0</v>
      </c>
      <c r="AM65" s="27">
        <f t="shared" si="37"/>
        <v>0</v>
      </c>
      <c r="AN65" s="27">
        <f t="shared" si="38"/>
        <v>0</v>
      </c>
      <c r="AO65" s="27">
        <f t="shared" si="39"/>
        <v>0</v>
      </c>
      <c r="AP65" s="27">
        <f t="shared" si="40"/>
        <v>0</v>
      </c>
      <c r="AQ65" s="27">
        <f t="shared" si="41"/>
        <v>0</v>
      </c>
      <c r="AR65" s="27">
        <f t="shared" si="42"/>
        <v>0</v>
      </c>
      <c r="AS65" s="27">
        <f t="shared" si="23"/>
        <v>0</v>
      </c>
      <c r="AT65" s="89">
        <f t="shared" si="24"/>
        <v>0</v>
      </c>
    </row>
    <row r="66" spans="1:46">
      <c r="A66" s="80">
        <v>62</v>
      </c>
      <c r="C66" s="10">
        <f t="shared" si="25"/>
        <v>104</v>
      </c>
      <c r="D66" s="98" t="str" cm="1">
        <f t="array" ref="D66">_xlfn.IFS(C66&lt;=4,"1-4",C66&lt;=9,"5-9",C66&lt;=14,"10-14",C66&lt;=19,"15-19",C66&lt;=24,"20-24",C66&lt;=29,"25-29",C66&lt;=34,"30-34",C66&lt;=39,"35-39",C66&lt;=44,"40-44",C66&lt;=49,"45-49",C66&lt;=54,"50-54",C66&lt;=54,"50-54",C66&lt;=59,"55-59",C66&lt;=64,"60-64",C66&lt;=69,"65-69",C66&lt;=74,"70-74",C66&lt;=79,"75-79",C66&lt;=84,"80-84",C66&gt;84,"85+")</f>
        <v>85+</v>
      </c>
      <c r="E66" s="83">
        <f>IF(D66="85+",1,VLOOKUP(D66,'Life table 2014'!$AF$3:$AR$21,7,FALSE))</f>
        <v>1</v>
      </c>
      <c r="F66" s="72"/>
      <c r="G66" s="316">
        <f t="shared" si="11"/>
        <v>22630</v>
      </c>
      <c r="H66" s="27">
        <f>'Parameters &amp; DSA'!$B$119*G66^'Parameters &amp; DSA'!$B$120</f>
        <v>2.8846721271642086</v>
      </c>
      <c r="I66" s="314">
        <f t="shared" si="31"/>
        <v>4.8751429619778741E-2</v>
      </c>
      <c r="J66" s="72"/>
      <c r="K66" s="140">
        <f t="shared" si="43"/>
        <v>0</v>
      </c>
      <c r="L66" s="141">
        <f t="shared" si="44"/>
        <v>0</v>
      </c>
      <c r="M66" s="141">
        <f t="shared" si="45"/>
        <v>0</v>
      </c>
      <c r="N66" s="27">
        <f t="shared" si="46"/>
        <v>0</v>
      </c>
      <c r="O66" s="27">
        <f t="shared" si="47"/>
        <v>0</v>
      </c>
      <c r="P66" s="27">
        <f t="shared" si="48"/>
        <v>0</v>
      </c>
      <c r="Q66" s="27">
        <f t="shared" si="49"/>
        <v>0</v>
      </c>
      <c r="R66" s="27">
        <f t="shared" si="50"/>
        <v>0</v>
      </c>
      <c r="S66" s="27">
        <f t="shared" si="51"/>
        <v>0</v>
      </c>
      <c r="T66" s="27">
        <f t="shared" si="52"/>
        <v>0</v>
      </c>
      <c r="U66" s="27">
        <f t="shared" si="53"/>
        <v>0</v>
      </c>
      <c r="V66" s="27">
        <f t="shared" si="54"/>
        <v>0</v>
      </c>
      <c r="W66" s="27">
        <f t="shared" si="28"/>
        <v>0</v>
      </c>
      <c r="X66" s="27">
        <f t="shared" si="29"/>
        <v>0</v>
      </c>
      <c r="Y66" s="142">
        <f t="shared" si="55"/>
        <v>1.0000000000000011</v>
      </c>
      <c r="Z66" s="89">
        <f t="shared" si="32"/>
        <v>1.0000000000000011</v>
      </c>
      <c r="AB66" s="92">
        <f>(IF('Parameters &amp; DSA'!$H$1=1,(('Parameters &amp; DSA'!$B$76+'Parameters &amp; DSA'!$B$84+'Parameters &amp; DSA'!$B$88+'Parameters &amp; DSA'!$B$92)*($K66))/(1+cDC)^$A66,(('Parameters &amp; DSA'!$B$76+'Parameters &amp; DSA'!$B$84)*($K66))))*($AD$2/$AF$2)</f>
        <v>0</v>
      </c>
      <c r="AC66" s="371">
        <f>(IF('Parameters &amp; DSA'!$H$1=1,(('Parameters &amp; DSA'!$B$76+'Parameters &amp; DSA'!$B$84+'Parameters &amp; DSA'!$B$88+'Parameters &amp; DSA'!$B$92)*($M66+$N66))/(1+cDC)^$A66,(('Parameters &amp; DSA'!$B$76+'Parameters &amp; DSA'!$B$84)*($M66+$N66))))*($AD$2/$AF$2)</f>
        <v>0</v>
      </c>
      <c r="AD66" s="371">
        <f>(IF('Parameters &amp; DSA'!$H$1=1,(('Parameters &amp; DSA'!$B$76+'Parameters &amp; DSA'!$B$84+'Parameters &amp; DSA'!$B$88+'Parameters &amp; DSA'!$B$92)*(P66+Q66))/(1+cDC)^$A66,(('Parameters &amp; DSA'!$B$76+'Parameters &amp; DSA'!$B$84)*(P66+Q66))))*($AD$2/$AF$2)</f>
        <v>0</v>
      </c>
      <c r="AE66" s="371">
        <f>(IF('Parameters &amp; DSA'!$H$1=1,(('Parameters &amp; DSA'!$B$76+'Parameters &amp; DSA'!$B$84+'Parameters &amp; DSA'!$B$88+'Parameters &amp; DSA'!$B$92)*(S66+T66))/(1+cDC)^$A66,(('Parameters &amp; DSA'!$B$76+'Parameters &amp; DSA'!$B$84)*(S66+T66))))*($AD$2/$AF$2)</f>
        <v>0</v>
      </c>
      <c r="AF66" s="371">
        <f>(IF('Parameters &amp; DSA'!$H$1=1,(((W66-W65)*cM_Dialysis0)+(W66*cM_Dialysis1))/(1+'Parameters &amp; DSA'!$B$6)^$A66,(((W66-W65)*cM_Dialysis0)+(W66*cM_Dialysis1))))*($AD$2/$AG$2)</f>
        <v>0</v>
      </c>
      <c r="AG66" s="93">
        <f t="shared" si="22"/>
        <v>0</v>
      </c>
      <c r="AI66" s="88">
        <f t="shared" si="33"/>
        <v>0</v>
      </c>
      <c r="AJ66" s="27">
        <f t="shared" si="34"/>
        <v>0</v>
      </c>
      <c r="AK66" s="27">
        <f t="shared" si="35"/>
        <v>0</v>
      </c>
      <c r="AL66" s="27">
        <f t="shared" si="36"/>
        <v>0</v>
      </c>
      <c r="AM66" s="27">
        <f t="shared" si="37"/>
        <v>0</v>
      </c>
      <c r="AN66" s="27">
        <f t="shared" si="38"/>
        <v>0</v>
      </c>
      <c r="AO66" s="27">
        <f t="shared" si="39"/>
        <v>0</v>
      </c>
      <c r="AP66" s="27">
        <f t="shared" si="40"/>
        <v>0</v>
      </c>
      <c r="AQ66" s="27">
        <f t="shared" si="41"/>
        <v>0</v>
      </c>
      <c r="AR66" s="27">
        <f t="shared" si="42"/>
        <v>0</v>
      </c>
      <c r="AS66" s="27">
        <f t="shared" si="23"/>
        <v>0</v>
      </c>
      <c r="AT66" s="89">
        <f t="shared" si="24"/>
        <v>0</v>
      </c>
    </row>
    <row r="67" spans="1:46">
      <c r="A67" s="80">
        <v>63</v>
      </c>
      <c r="C67" s="10">
        <f t="shared" si="25"/>
        <v>105</v>
      </c>
      <c r="D67" s="98" t="str" cm="1">
        <f t="array" ref="D67">_xlfn.IFS(C67&lt;=4,"1-4",C67&lt;=9,"5-9",C67&lt;=14,"10-14",C67&lt;=19,"15-19",C67&lt;=24,"20-24",C67&lt;=29,"25-29",C67&lt;=34,"30-34",C67&lt;=39,"35-39",C67&lt;=44,"40-44",C67&lt;=49,"45-49",C67&lt;=54,"50-54",C67&lt;=54,"50-54",C67&lt;=59,"55-59",C67&lt;=64,"60-64",C67&lt;=69,"65-69",C67&lt;=74,"70-74",C67&lt;=79,"75-79",C67&lt;=84,"80-84",C67&gt;84,"85+")</f>
        <v>85+</v>
      </c>
      <c r="E67" s="83">
        <f>IF(D67="85+",1,VLOOKUP(D67,'Life table 2014'!$AF$3:$AR$21,7,FALSE))</f>
        <v>1</v>
      </c>
      <c r="F67" s="72"/>
      <c r="G67" s="316">
        <f t="shared" si="11"/>
        <v>22995</v>
      </c>
      <c r="H67" s="27">
        <f>'Parameters &amp; DSA'!$B$119*G67^'Parameters &amp; DSA'!$B$120</f>
        <v>2.9347123896375074</v>
      </c>
      <c r="I67" s="314">
        <f t="shared" si="31"/>
        <v>4.8808873577598111E-2</v>
      </c>
      <c r="J67" s="72"/>
      <c r="K67" s="140">
        <f t="shared" si="43"/>
        <v>0</v>
      </c>
      <c r="L67" s="141">
        <f t="shared" si="44"/>
        <v>0</v>
      </c>
      <c r="M67" s="141">
        <f t="shared" si="45"/>
        <v>0</v>
      </c>
      <c r="N67" s="27">
        <f t="shared" si="46"/>
        <v>0</v>
      </c>
      <c r="O67" s="27">
        <f t="shared" si="47"/>
        <v>0</v>
      </c>
      <c r="P67" s="27">
        <f t="shared" si="48"/>
        <v>0</v>
      </c>
      <c r="Q67" s="27">
        <f t="shared" si="49"/>
        <v>0</v>
      </c>
      <c r="R67" s="27">
        <f t="shared" si="50"/>
        <v>0</v>
      </c>
      <c r="S67" s="27">
        <f t="shared" si="51"/>
        <v>0</v>
      </c>
      <c r="T67" s="27">
        <f t="shared" si="52"/>
        <v>0</v>
      </c>
      <c r="U67" s="27">
        <f t="shared" si="53"/>
        <v>0</v>
      </c>
      <c r="V67" s="27">
        <f t="shared" si="54"/>
        <v>0</v>
      </c>
      <c r="W67" s="27">
        <f t="shared" si="28"/>
        <v>0</v>
      </c>
      <c r="X67" s="27">
        <f t="shared" si="29"/>
        <v>0</v>
      </c>
      <c r="Y67" s="142">
        <f t="shared" si="55"/>
        <v>1.0000000000000011</v>
      </c>
      <c r="Z67" s="89">
        <f t="shared" si="32"/>
        <v>1.0000000000000011</v>
      </c>
      <c r="AB67" s="92">
        <f>(IF('Parameters &amp; DSA'!$H$1=1,(('Parameters &amp; DSA'!$B$76+'Parameters &amp; DSA'!$B$84+'Parameters &amp; DSA'!$B$88+'Parameters &amp; DSA'!$B$92)*($K67))/(1+cDC)^$A67,(('Parameters &amp; DSA'!$B$76+'Parameters &amp; DSA'!$B$84)*($K67))))*($AD$2/$AF$2)</f>
        <v>0</v>
      </c>
      <c r="AC67" s="371">
        <f>(IF('Parameters &amp; DSA'!$H$1=1,(('Parameters &amp; DSA'!$B$76+'Parameters &amp; DSA'!$B$84+'Parameters &amp; DSA'!$B$88+'Parameters &amp; DSA'!$B$92)*($M67+$N67))/(1+cDC)^$A67,(('Parameters &amp; DSA'!$B$76+'Parameters &amp; DSA'!$B$84)*($M67+$N67))))*($AD$2/$AF$2)</f>
        <v>0</v>
      </c>
      <c r="AD67" s="371">
        <f>(IF('Parameters &amp; DSA'!$H$1=1,(('Parameters &amp; DSA'!$B$76+'Parameters &amp; DSA'!$B$84+'Parameters &amp; DSA'!$B$88+'Parameters &amp; DSA'!$B$92)*(P67+Q67))/(1+cDC)^$A67,(('Parameters &amp; DSA'!$B$76+'Parameters &amp; DSA'!$B$84)*(P67+Q67))))*($AD$2/$AF$2)</f>
        <v>0</v>
      </c>
      <c r="AE67" s="371">
        <f>(IF('Parameters &amp; DSA'!$H$1=1,(('Parameters &amp; DSA'!$B$76+'Parameters &amp; DSA'!$B$84+'Parameters &amp; DSA'!$B$88+'Parameters &amp; DSA'!$B$92)*(S67+T67))/(1+cDC)^$A67,(('Parameters &amp; DSA'!$B$76+'Parameters &amp; DSA'!$B$84)*(S67+T67))))*($AD$2/$AF$2)</f>
        <v>0</v>
      </c>
      <c r="AF67" s="371">
        <f>(IF('Parameters &amp; DSA'!$H$1=1,(((W67-W66)*cM_Dialysis0)+(W67*cM_Dialysis1))/(1+'Parameters &amp; DSA'!$B$6)^$A67,(((W67-W66)*cM_Dialysis0)+(W67*cM_Dialysis1))))*($AD$2/$AG$2)</f>
        <v>0</v>
      </c>
      <c r="AG67" s="93">
        <f t="shared" si="22"/>
        <v>0</v>
      </c>
      <c r="AI67" s="88">
        <f t="shared" si="33"/>
        <v>0</v>
      </c>
      <c r="AJ67" s="27">
        <f t="shared" si="34"/>
        <v>0</v>
      </c>
      <c r="AK67" s="27">
        <f t="shared" si="35"/>
        <v>0</v>
      </c>
      <c r="AL67" s="27">
        <f t="shared" si="36"/>
        <v>0</v>
      </c>
      <c r="AM67" s="27">
        <f t="shared" si="37"/>
        <v>0</v>
      </c>
      <c r="AN67" s="27">
        <f t="shared" si="38"/>
        <v>0</v>
      </c>
      <c r="AO67" s="27">
        <f t="shared" si="39"/>
        <v>0</v>
      </c>
      <c r="AP67" s="27">
        <f t="shared" si="40"/>
        <v>0</v>
      </c>
      <c r="AQ67" s="27">
        <f t="shared" si="41"/>
        <v>0</v>
      </c>
      <c r="AR67" s="27">
        <f t="shared" si="42"/>
        <v>0</v>
      </c>
      <c r="AS67" s="27">
        <f t="shared" si="23"/>
        <v>0</v>
      </c>
      <c r="AT67" s="89">
        <f t="shared" si="24"/>
        <v>0</v>
      </c>
    </row>
    <row r="68" spans="1:46">
      <c r="A68" s="80">
        <v>64</v>
      </c>
      <c r="C68" s="10">
        <f t="shared" si="25"/>
        <v>106</v>
      </c>
      <c r="D68" s="98" t="str" cm="1">
        <f t="array" ref="D68">_xlfn.IFS(C68&lt;=4,"1-4",C68&lt;=9,"5-9",C68&lt;=14,"10-14",C68&lt;=19,"15-19",C68&lt;=24,"20-24",C68&lt;=29,"25-29",C68&lt;=34,"30-34",C68&lt;=39,"35-39",C68&lt;=44,"40-44",C68&lt;=49,"45-49",C68&lt;=54,"50-54",C68&lt;=54,"50-54",C68&lt;=59,"55-59",C68&lt;=64,"60-64",C68&lt;=69,"65-69",C68&lt;=74,"70-74",C68&lt;=79,"75-79",C68&lt;=84,"80-84",C68&gt;84,"85+")</f>
        <v>85+</v>
      </c>
      <c r="E68" s="83">
        <f>IF(D68="85+",1,VLOOKUP(D68,'Life table 2014'!$AF$3:$AR$21,7,FALSE))</f>
        <v>1</v>
      </c>
      <c r="F68" s="72"/>
      <c r="G68" s="316">
        <f t="shared" si="11"/>
        <v>23360</v>
      </c>
      <c r="H68" s="27">
        <f>'Parameters &amp; DSA'!$B$119*G68^'Parameters &amp; DSA'!$B$120</f>
        <v>2.9848121544843602</v>
      </c>
      <c r="I68" s="314">
        <f t="shared" si="31"/>
        <v>4.8865470023495727E-2</v>
      </c>
      <c r="J68" s="72"/>
      <c r="K68" s="140">
        <f t="shared" si="43"/>
        <v>0</v>
      </c>
      <c r="L68" s="141">
        <f t="shared" si="44"/>
        <v>0</v>
      </c>
      <c r="M68" s="141">
        <f t="shared" si="45"/>
        <v>0</v>
      </c>
      <c r="N68" s="27">
        <f t="shared" si="46"/>
        <v>0</v>
      </c>
      <c r="O68" s="27">
        <f t="shared" si="47"/>
        <v>0</v>
      </c>
      <c r="P68" s="27">
        <f t="shared" si="48"/>
        <v>0</v>
      </c>
      <c r="Q68" s="27">
        <f t="shared" si="49"/>
        <v>0</v>
      </c>
      <c r="R68" s="27">
        <f t="shared" si="50"/>
        <v>0</v>
      </c>
      <c r="S68" s="27">
        <f t="shared" si="51"/>
        <v>0</v>
      </c>
      <c r="T68" s="27">
        <f t="shared" si="52"/>
        <v>0</v>
      </c>
      <c r="U68" s="27">
        <f t="shared" si="53"/>
        <v>0</v>
      </c>
      <c r="V68" s="27">
        <f t="shared" si="54"/>
        <v>0</v>
      </c>
      <c r="W68" s="27">
        <f t="shared" si="28"/>
        <v>0</v>
      </c>
      <c r="X68" s="27">
        <f t="shared" si="29"/>
        <v>0</v>
      </c>
      <c r="Y68" s="142">
        <f t="shared" si="55"/>
        <v>1.0000000000000011</v>
      </c>
      <c r="Z68" s="89">
        <f t="shared" ref="Z68:Z99" si="56">SUM(K68:Y68)</f>
        <v>1.0000000000000011</v>
      </c>
      <c r="AB68" s="92">
        <f>(IF('Parameters &amp; DSA'!$H$1=1,(('Parameters &amp; DSA'!$B$76+'Parameters &amp; DSA'!$B$84+'Parameters &amp; DSA'!$B$88+'Parameters &amp; DSA'!$B$92)*($K68))/(1+cDC)^$A68,(('Parameters &amp; DSA'!$B$76+'Parameters &amp; DSA'!$B$84)*($K68))))*($AD$2/$AF$2)</f>
        <v>0</v>
      </c>
      <c r="AC68" s="371">
        <f>(IF('Parameters &amp; DSA'!$H$1=1,(('Parameters &amp; DSA'!$B$76+'Parameters &amp; DSA'!$B$84+'Parameters &amp; DSA'!$B$88+'Parameters &amp; DSA'!$B$92)*($M68+$N68))/(1+cDC)^$A68,(('Parameters &amp; DSA'!$B$76+'Parameters &amp; DSA'!$B$84)*($M68+$N68))))*($AD$2/$AF$2)</f>
        <v>0</v>
      </c>
      <c r="AD68" s="371">
        <f>(IF('Parameters &amp; DSA'!$H$1=1,(('Parameters &amp; DSA'!$B$76+'Parameters &amp; DSA'!$B$84+'Parameters &amp; DSA'!$B$88+'Parameters &amp; DSA'!$B$92)*(P68+Q68))/(1+cDC)^$A68,(('Parameters &amp; DSA'!$B$76+'Parameters &amp; DSA'!$B$84)*(P68+Q68))))*($AD$2/$AF$2)</f>
        <v>0</v>
      </c>
      <c r="AE68" s="371">
        <f>(IF('Parameters &amp; DSA'!$H$1=1,(('Parameters &amp; DSA'!$B$76+'Parameters &amp; DSA'!$B$84+'Parameters &amp; DSA'!$B$88+'Parameters &amp; DSA'!$B$92)*(S68+T68))/(1+cDC)^$A68,(('Parameters &amp; DSA'!$B$76+'Parameters &amp; DSA'!$B$84)*(S68+T68))))*($AD$2/$AF$2)</f>
        <v>0</v>
      </c>
      <c r="AF68" s="371">
        <f>(IF('Parameters &amp; DSA'!$H$1=1,(((W68-W67)*cM_Dialysis0)+(W68*cM_Dialysis1))/(1+'Parameters &amp; DSA'!$B$6)^$A68,(((W68-W67)*cM_Dialysis0)+(W68*cM_Dialysis1))))*($AD$2/$AG$2)</f>
        <v>0</v>
      </c>
      <c r="AG68" s="93">
        <f t="shared" si="22"/>
        <v>0</v>
      </c>
      <c r="AI68" s="88">
        <f t="shared" ref="AI68:AI103" si="57">K68/((1+cDO)^$A68)</f>
        <v>0</v>
      </c>
      <c r="AJ68" s="27">
        <f t="shared" ref="AJ68:AJ99" si="58">AI68*u3aCT</f>
        <v>0</v>
      </c>
      <c r="AK68" s="27">
        <f t="shared" ref="AK68:AK103" si="59">(M68+N68)/((1+cDO)^$A68)</f>
        <v>0</v>
      </c>
      <c r="AL68" s="27">
        <f t="shared" ref="AL68:AL99" si="60">AK68*u3bCT</f>
        <v>0</v>
      </c>
      <c r="AM68" s="27">
        <f t="shared" ref="AM68:AM103" si="61">(P68+Q68)/((1+cDO)^$A68)</f>
        <v>0</v>
      </c>
      <c r="AN68" s="27">
        <f t="shared" ref="AN68:AN99" si="62">AM68*u4CT</f>
        <v>0</v>
      </c>
      <c r="AO68" s="27">
        <f t="shared" ref="AO68:AO103" si="63">(S68+T68)/((1+cDO)^$A68)</f>
        <v>0</v>
      </c>
      <c r="AP68" s="27">
        <f t="shared" ref="AP68:AP99" si="64">AO68*u5CT</f>
        <v>0</v>
      </c>
      <c r="AQ68" s="27">
        <f t="shared" ref="AQ68:AQ103" si="65">(V68+W68)/((1+cDO)^$A68)</f>
        <v>0</v>
      </c>
      <c r="AR68" s="27">
        <f t="shared" ref="AR68:AR99" si="66">AQ68*uDialysisCT</f>
        <v>0</v>
      </c>
      <c r="AS68" s="27">
        <f t="shared" si="23"/>
        <v>0</v>
      </c>
      <c r="AT68" s="89">
        <f t="shared" si="24"/>
        <v>0</v>
      </c>
    </row>
    <row r="69" spans="1:46">
      <c r="A69" s="80">
        <v>65</v>
      </c>
      <c r="C69" s="10">
        <f t="shared" si="25"/>
        <v>107</v>
      </c>
      <c r="D69" s="98" t="str" cm="1">
        <f t="array" ref="D69">_xlfn.IFS(C69&lt;=4,"1-4",C69&lt;=9,"5-9",C69&lt;=14,"10-14",C69&lt;=19,"15-19",C69&lt;=24,"20-24",C69&lt;=29,"25-29",C69&lt;=34,"30-34",C69&lt;=39,"35-39",C69&lt;=44,"40-44",C69&lt;=49,"45-49",C69&lt;=54,"50-54",C69&lt;=54,"50-54",C69&lt;=59,"55-59",C69&lt;=64,"60-64",C69&lt;=69,"65-69",C69&lt;=74,"70-74",C69&lt;=79,"75-79",C69&lt;=84,"80-84",C69&gt;84,"85+")</f>
        <v>85+</v>
      </c>
      <c r="E69" s="83">
        <f>IF(D69="85+",1,VLOOKUP(D69,'Life table 2014'!$AF$3:$AR$21,7,FALSE))</f>
        <v>1</v>
      </c>
      <c r="F69" s="72"/>
      <c r="G69" s="316">
        <f t="shared" ref="G69:G103" si="67">A69*365</f>
        <v>23725</v>
      </c>
      <c r="H69" s="27">
        <f>'Parameters &amp; DSA'!$B$119*G69^'Parameters &amp; DSA'!$B$120</f>
        <v>3.0349705610102311</v>
      </c>
      <c r="I69" s="314">
        <f t="shared" si="31"/>
        <v>4.8921244513934647E-2</v>
      </c>
      <c r="J69" s="72"/>
      <c r="K69" s="140">
        <f t="shared" ref="K69:K102" si="68">(K68*(1-E69))*p3a_3a</f>
        <v>0</v>
      </c>
      <c r="L69" s="141">
        <f t="shared" ref="L69:L102" si="69">(K68*(1-E69))*p3a_Death</f>
        <v>0</v>
      </c>
      <c r="M69" s="141">
        <f t="shared" ref="M69:M102" si="70">(K68*(1-E69))*p3a_3b</f>
        <v>0</v>
      </c>
      <c r="N69" s="27">
        <f t="shared" ref="N69:N103" si="71">(SUM(M68:N68)*(1-E69))*p3b_3b</f>
        <v>0</v>
      </c>
      <c r="O69" s="27">
        <f t="shared" ref="O69:O103" si="72">(SUM(M68:N68)*(1-E69))*p3b_Death</f>
        <v>0</v>
      </c>
      <c r="P69" s="27">
        <f t="shared" ref="P69:P103" si="73">(SUM(M68:N68)*(1-E69))*p3b_4</f>
        <v>0</v>
      </c>
      <c r="Q69" s="27">
        <f t="shared" ref="Q69:Q103" si="74">(SUM(P68:Q68)*(1-E69))*p4_4</f>
        <v>0</v>
      </c>
      <c r="R69" s="27">
        <f t="shared" ref="R69:R103" si="75">(SUM(P68:Q68)*(1-E69))*p4_Death</f>
        <v>0</v>
      </c>
      <c r="S69" s="27">
        <f t="shared" ref="S69:S103" si="76">(SUM(P68:Q68)*(1-E69))*p4_5</f>
        <v>0</v>
      </c>
      <c r="T69" s="27">
        <f t="shared" ref="T69:T103" si="77">(SUM(S68:T68)*(1-E69))*p5_5</f>
        <v>0</v>
      </c>
      <c r="U69" s="27">
        <f t="shared" ref="U69:U103" si="78">(SUM(S68:T68)*(1-E69))*p5_Death</f>
        <v>0</v>
      </c>
      <c r="V69" s="27">
        <f t="shared" ref="V69:V103" si="79">(SUM(S68:T68)*(1-E69))*p5_Dialysis</f>
        <v>0</v>
      </c>
      <c r="W69" s="27">
        <f t="shared" si="28"/>
        <v>0</v>
      </c>
      <c r="X69" s="27">
        <f t="shared" si="29"/>
        <v>0</v>
      </c>
      <c r="Y69" s="142">
        <f t="shared" ref="Y69:Y103" si="80">(SUM(K68:K68,M68:N68,P68:Q68,S68:T68,V68:W68)*E69)+SUM(L68,O68,R68,U68,X68)+Y68</f>
        <v>1.0000000000000011</v>
      </c>
      <c r="Z69" s="89">
        <f t="shared" si="56"/>
        <v>1.0000000000000011</v>
      </c>
      <c r="AB69" s="92">
        <f>(IF('Parameters &amp; DSA'!$H$1=1,(('Parameters &amp; DSA'!$B$76+'Parameters &amp; DSA'!$B$84+'Parameters &amp; DSA'!$B$88+'Parameters &amp; DSA'!$B$92)*($K69))/(1+cDC)^$A69,(('Parameters &amp; DSA'!$B$76+'Parameters &amp; DSA'!$B$84)*($K69))))*($AD$2/$AF$2)</f>
        <v>0</v>
      </c>
      <c r="AC69" s="371">
        <f>(IF('Parameters &amp; DSA'!$H$1=1,(('Parameters &amp; DSA'!$B$76+'Parameters &amp; DSA'!$B$84+'Parameters &amp; DSA'!$B$88+'Parameters &amp; DSA'!$B$92)*($M69+$N69))/(1+cDC)^$A69,(('Parameters &amp; DSA'!$B$76+'Parameters &amp; DSA'!$B$84)*($M69+$N69))))*($AD$2/$AF$2)</f>
        <v>0</v>
      </c>
      <c r="AD69" s="371">
        <f>(IF('Parameters &amp; DSA'!$H$1=1,(('Parameters &amp; DSA'!$B$76+'Parameters &amp; DSA'!$B$84+'Parameters &amp; DSA'!$B$88+'Parameters &amp; DSA'!$B$92)*(P69+Q69))/(1+cDC)^$A69,(('Parameters &amp; DSA'!$B$76+'Parameters &amp; DSA'!$B$84)*(P69+Q69))))*($AD$2/$AF$2)</f>
        <v>0</v>
      </c>
      <c r="AE69" s="371">
        <f>(IF('Parameters &amp; DSA'!$H$1=1,(('Parameters &amp; DSA'!$B$76+'Parameters &amp; DSA'!$B$84+'Parameters &amp; DSA'!$B$88+'Parameters &amp; DSA'!$B$92)*(S69+T69))/(1+cDC)^$A69,(('Parameters &amp; DSA'!$B$76+'Parameters &amp; DSA'!$B$84)*(S69+T69))))*($AD$2/$AF$2)</f>
        <v>0</v>
      </c>
      <c r="AF69" s="371">
        <f>(IF('Parameters &amp; DSA'!$H$1=1,(((W69-W68)*cM_Dialysis0)+(W69*cM_Dialysis1))/(1+'Parameters &amp; DSA'!$B$6)^$A69,(((W69-W68)*cM_Dialysis0)+(W69*cM_Dialysis1))))*($AD$2/$AG$2)</f>
        <v>0</v>
      </c>
      <c r="AG69" s="93">
        <f t="shared" ref="AG69:AG103" si="81">(SUM(AB69:AF69))</f>
        <v>0</v>
      </c>
      <c r="AI69" s="88">
        <f t="shared" si="57"/>
        <v>0</v>
      </c>
      <c r="AJ69" s="27">
        <f t="shared" si="58"/>
        <v>0</v>
      </c>
      <c r="AK69" s="27">
        <f t="shared" si="59"/>
        <v>0</v>
      </c>
      <c r="AL69" s="27">
        <f t="shared" si="60"/>
        <v>0</v>
      </c>
      <c r="AM69" s="27">
        <f t="shared" si="61"/>
        <v>0</v>
      </c>
      <c r="AN69" s="27">
        <f t="shared" si="62"/>
        <v>0</v>
      </c>
      <c r="AO69" s="27">
        <f t="shared" si="63"/>
        <v>0</v>
      </c>
      <c r="AP69" s="27">
        <f t="shared" si="64"/>
        <v>0</v>
      </c>
      <c r="AQ69" s="27">
        <f t="shared" si="65"/>
        <v>0</v>
      </c>
      <c r="AR69" s="27">
        <f t="shared" si="66"/>
        <v>0</v>
      </c>
      <c r="AS69" s="27">
        <f t="shared" ref="AS69:AS103" si="82">AI69+AK69+AM69+AO69+AQ69</f>
        <v>0</v>
      </c>
      <c r="AT69" s="89">
        <f t="shared" ref="AT69:AT103" si="83">SUM(AJ69+AL69+AN69+AP69+AR69)</f>
        <v>0</v>
      </c>
    </row>
    <row r="70" spans="1:46">
      <c r="A70" s="80">
        <v>66</v>
      </c>
      <c r="C70" s="10">
        <f t="shared" ref="C70:C103" si="84">$C$4+A70</f>
        <v>108</v>
      </c>
      <c r="D70" s="98" t="str" cm="1">
        <f t="array" ref="D70">_xlfn.IFS(C70&lt;=4,"1-4",C70&lt;=9,"5-9",C70&lt;=14,"10-14",C70&lt;=19,"15-19",C70&lt;=24,"20-24",C70&lt;=29,"25-29",C70&lt;=34,"30-34",C70&lt;=39,"35-39",C70&lt;=44,"40-44",C70&lt;=49,"45-49",C70&lt;=54,"50-54",C70&lt;=54,"50-54",C70&lt;=59,"55-59",C70&lt;=64,"60-64",C70&lt;=69,"65-69",C70&lt;=74,"70-74",C70&lt;=79,"75-79",C70&lt;=84,"80-84",C70&gt;84,"85+")</f>
        <v>85+</v>
      </c>
      <c r="E70" s="83">
        <f>IF(D70="85+",1,VLOOKUP(D70,'Life table 2014'!$AF$3:$AR$21,7,FALSE))</f>
        <v>1</v>
      </c>
      <c r="F70" s="72"/>
      <c r="G70" s="316">
        <f t="shared" si="67"/>
        <v>24090</v>
      </c>
      <c r="H70" s="27">
        <f>'Parameters &amp; DSA'!$B$119*G70^'Parameters &amp; DSA'!$B$120</f>
        <v>3.0851867740299661</v>
      </c>
      <c r="I70" s="314">
        <f t="shared" ref="I70:I103" si="85">1-EXP(H69-H70)</f>
        <v>4.8976221453150615E-2</v>
      </c>
      <c r="J70" s="72"/>
      <c r="K70" s="140">
        <f t="shared" si="68"/>
        <v>0</v>
      </c>
      <c r="L70" s="141">
        <f t="shared" si="69"/>
        <v>0</v>
      </c>
      <c r="M70" s="141">
        <f t="shared" si="70"/>
        <v>0</v>
      </c>
      <c r="N70" s="27">
        <f t="shared" si="71"/>
        <v>0</v>
      </c>
      <c r="O70" s="27">
        <f t="shared" si="72"/>
        <v>0</v>
      </c>
      <c r="P70" s="27">
        <f t="shared" si="73"/>
        <v>0</v>
      </c>
      <c r="Q70" s="27">
        <f t="shared" si="74"/>
        <v>0</v>
      </c>
      <c r="R70" s="27">
        <f t="shared" si="75"/>
        <v>0</v>
      </c>
      <c r="S70" s="27">
        <f t="shared" si="76"/>
        <v>0</v>
      </c>
      <c r="T70" s="27">
        <f t="shared" si="77"/>
        <v>0</v>
      </c>
      <c r="U70" s="27">
        <f t="shared" si="78"/>
        <v>0</v>
      </c>
      <c r="V70" s="27">
        <f t="shared" si="79"/>
        <v>0</v>
      </c>
      <c r="W70" s="27">
        <f t="shared" ref="W70:W102" si="86">(SUM(V69:W69)*(1-E70))*(1-I70)</f>
        <v>0</v>
      </c>
      <c r="X70" s="27">
        <f t="shared" ref="X70:X102" si="87">(SUM(V69:W69)*(1-E70))*I70</f>
        <v>0</v>
      </c>
      <c r="Y70" s="142">
        <f t="shared" si="80"/>
        <v>1.0000000000000011</v>
      </c>
      <c r="Z70" s="89">
        <f t="shared" si="56"/>
        <v>1.0000000000000011</v>
      </c>
      <c r="AB70" s="92">
        <f>(IF('Parameters &amp; DSA'!$H$1=1,(('Parameters &amp; DSA'!$B$76+'Parameters &amp; DSA'!$B$84+'Parameters &amp; DSA'!$B$88+'Parameters &amp; DSA'!$B$92)*($K70))/(1+cDC)^$A70,(('Parameters &amp; DSA'!$B$76+'Parameters &amp; DSA'!$B$84)*($K70))))*($AD$2/$AF$2)</f>
        <v>0</v>
      </c>
      <c r="AC70" s="371">
        <f>(IF('Parameters &amp; DSA'!$H$1=1,(('Parameters &amp; DSA'!$B$76+'Parameters &amp; DSA'!$B$84+'Parameters &amp; DSA'!$B$88+'Parameters &amp; DSA'!$B$92)*($M70+$N70))/(1+cDC)^$A70,(('Parameters &amp; DSA'!$B$76+'Parameters &amp; DSA'!$B$84)*($M70+$N70))))*($AD$2/$AF$2)</f>
        <v>0</v>
      </c>
      <c r="AD70" s="371">
        <f>(IF('Parameters &amp; DSA'!$H$1=1,(('Parameters &amp; DSA'!$B$76+'Parameters &amp; DSA'!$B$84+'Parameters &amp; DSA'!$B$88+'Parameters &amp; DSA'!$B$92)*(P70+Q70))/(1+cDC)^$A70,(('Parameters &amp; DSA'!$B$76+'Parameters &amp; DSA'!$B$84)*(P70+Q70))))*($AD$2/$AF$2)</f>
        <v>0</v>
      </c>
      <c r="AE70" s="371">
        <f>(IF('Parameters &amp; DSA'!$H$1=1,(('Parameters &amp; DSA'!$B$76+'Parameters &amp; DSA'!$B$84+'Parameters &amp; DSA'!$B$88+'Parameters &amp; DSA'!$B$92)*(S70+T70))/(1+cDC)^$A70,(('Parameters &amp; DSA'!$B$76+'Parameters &amp; DSA'!$B$84)*(S70+T70))))*($AD$2/$AF$2)</f>
        <v>0</v>
      </c>
      <c r="AF70" s="371">
        <f>(IF('Parameters &amp; DSA'!$H$1=1,(((W70-W69)*cM_Dialysis0)+(W70*cM_Dialysis1))/(1+'Parameters &amp; DSA'!$B$6)^$A70,(((W70-W69)*cM_Dialysis0)+(W70*cM_Dialysis1))))*($AD$2/$AG$2)</f>
        <v>0</v>
      </c>
      <c r="AG70" s="93">
        <f t="shared" si="81"/>
        <v>0</v>
      </c>
      <c r="AI70" s="88">
        <f t="shared" si="57"/>
        <v>0</v>
      </c>
      <c r="AJ70" s="27">
        <f t="shared" si="58"/>
        <v>0</v>
      </c>
      <c r="AK70" s="27">
        <f t="shared" si="59"/>
        <v>0</v>
      </c>
      <c r="AL70" s="27">
        <f t="shared" si="60"/>
        <v>0</v>
      </c>
      <c r="AM70" s="27">
        <f t="shared" si="61"/>
        <v>0</v>
      </c>
      <c r="AN70" s="27">
        <f t="shared" si="62"/>
        <v>0</v>
      </c>
      <c r="AO70" s="27">
        <f t="shared" si="63"/>
        <v>0</v>
      </c>
      <c r="AP70" s="27">
        <f t="shared" si="64"/>
        <v>0</v>
      </c>
      <c r="AQ70" s="27">
        <f t="shared" si="65"/>
        <v>0</v>
      </c>
      <c r="AR70" s="27">
        <f t="shared" si="66"/>
        <v>0</v>
      </c>
      <c r="AS70" s="27">
        <f t="shared" si="82"/>
        <v>0</v>
      </c>
      <c r="AT70" s="89">
        <f t="shared" si="83"/>
        <v>0</v>
      </c>
    </row>
    <row r="71" spans="1:46">
      <c r="A71" s="80">
        <v>67</v>
      </c>
      <c r="C71" s="10">
        <f t="shared" si="84"/>
        <v>109</v>
      </c>
      <c r="D71" s="98" t="str" cm="1">
        <f t="array" ref="D71">_xlfn.IFS(C71&lt;=4,"1-4",C71&lt;=9,"5-9",C71&lt;=14,"10-14",C71&lt;=19,"15-19",C71&lt;=24,"20-24",C71&lt;=29,"25-29",C71&lt;=34,"30-34",C71&lt;=39,"35-39",C71&lt;=44,"40-44",C71&lt;=49,"45-49",C71&lt;=54,"50-54",C71&lt;=54,"50-54",C71&lt;=59,"55-59",C71&lt;=64,"60-64",C71&lt;=69,"65-69",C71&lt;=74,"70-74",C71&lt;=79,"75-79",C71&lt;=84,"80-84",C71&gt;84,"85+")</f>
        <v>85+</v>
      </c>
      <c r="E71" s="83">
        <f>IF(D71="85+",1,VLOOKUP(D71,'Life table 2014'!$AF$3:$AR$21,7,FALSE))</f>
        <v>1</v>
      </c>
      <c r="F71" s="72"/>
      <c r="G71" s="316">
        <f t="shared" si="67"/>
        <v>24455</v>
      </c>
      <c r="H71" s="27">
        <f>'Parameters &amp; DSA'!$B$119*G71^'Parameters &amp; DSA'!$B$120</f>
        <v>3.1354599827363576</v>
      </c>
      <c r="I71" s="314">
        <f t="shared" si="85"/>
        <v>4.9030424161760622E-2</v>
      </c>
      <c r="J71" s="72"/>
      <c r="K71" s="140">
        <f t="shared" si="68"/>
        <v>0</v>
      </c>
      <c r="L71" s="141">
        <f t="shared" si="69"/>
        <v>0</v>
      </c>
      <c r="M71" s="141">
        <f t="shared" si="70"/>
        <v>0</v>
      </c>
      <c r="N71" s="27">
        <f t="shared" si="71"/>
        <v>0</v>
      </c>
      <c r="O71" s="27">
        <f t="shared" si="72"/>
        <v>0</v>
      </c>
      <c r="P71" s="27">
        <f t="shared" si="73"/>
        <v>0</v>
      </c>
      <c r="Q71" s="27">
        <f t="shared" si="74"/>
        <v>0</v>
      </c>
      <c r="R71" s="27">
        <f t="shared" si="75"/>
        <v>0</v>
      </c>
      <c r="S71" s="27">
        <f t="shared" si="76"/>
        <v>0</v>
      </c>
      <c r="T71" s="27">
        <f t="shared" si="77"/>
        <v>0</v>
      </c>
      <c r="U71" s="27">
        <f t="shared" si="78"/>
        <v>0</v>
      </c>
      <c r="V71" s="27">
        <f t="shared" si="79"/>
        <v>0</v>
      </c>
      <c r="W71" s="27">
        <f t="shared" si="86"/>
        <v>0</v>
      </c>
      <c r="X71" s="27">
        <f t="shared" si="87"/>
        <v>0</v>
      </c>
      <c r="Y71" s="142">
        <f t="shared" si="80"/>
        <v>1.0000000000000011</v>
      </c>
      <c r="Z71" s="89">
        <f t="shared" si="56"/>
        <v>1.0000000000000011</v>
      </c>
      <c r="AB71" s="92">
        <f>(IF('Parameters &amp; DSA'!$H$1=1,(('Parameters &amp; DSA'!$B$76+'Parameters &amp; DSA'!$B$84+'Parameters &amp; DSA'!$B$88+'Parameters &amp; DSA'!$B$92)*($K71))/(1+cDC)^$A71,(('Parameters &amp; DSA'!$B$76+'Parameters &amp; DSA'!$B$84)*($K71))))*($AD$2/$AF$2)</f>
        <v>0</v>
      </c>
      <c r="AC71" s="371">
        <f>(IF('Parameters &amp; DSA'!$H$1=1,(('Parameters &amp; DSA'!$B$76+'Parameters &amp; DSA'!$B$84+'Parameters &amp; DSA'!$B$88+'Parameters &amp; DSA'!$B$92)*($M71+$N71))/(1+cDC)^$A71,(('Parameters &amp; DSA'!$B$76+'Parameters &amp; DSA'!$B$84)*($M71+$N71))))*($AD$2/$AF$2)</f>
        <v>0</v>
      </c>
      <c r="AD71" s="371">
        <f>(IF('Parameters &amp; DSA'!$H$1=1,(('Parameters &amp; DSA'!$B$76+'Parameters &amp; DSA'!$B$84+'Parameters &amp; DSA'!$B$88+'Parameters &amp; DSA'!$B$92)*(P71+Q71))/(1+cDC)^$A71,(('Parameters &amp; DSA'!$B$76+'Parameters &amp; DSA'!$B$84)*(P71+Q71))))*($AD$2/$AF$2)</f>
        <v>0</v>
      </c>
      <c r="AE71" s="371">
        <f>(IF('Parameters &amp; DSA'!$H$1=1,(('Parameters &amp; DSA'!$B$76+'Parameters &amp; DSA'!$B$84+'Parameters &amp; DSA'!$B$88+'Parameters &amp; DSA'!$B$92)*(S71+T71))/(1+cDC)^$A71,(('Parameters &amp; DSA'!$B$76+'Parameters &amp; DSA'!$B$84)*(S71+T71))))*($AD$2/$AF$2)</f>
        <v>0</v>
      </c>
      <c r="AF71" s="371">
        <f>(IF('Parameters &amp; DSA'!$H$1=1,(((W71-W70)*cM_Dialysis0)+(W71*cM_Dialysis1))/(1+'Parameters &amp; DSA'!$B$6)^$A71,(((W71-W70)*cM_Dialysis0)+(W71*cM_Dialysis1))))*($AD$2/$AG$2)</f>
        <v>0</v>
      </c>
      <c r="AG71" s="93">
        <f t="shared" si="81"/>
        <v>0</v>
      </c>
      <c r="AI71" s="88">
        <f t="shared" si="57"/>
        <v>0</v>
      </c>
      <c r="AJ71" s="27">
        <f t="shared" si="58"/>
        <v>0</v>
      </c>
      <c r="AK71" s="27">
        <f t="shared" si="59"/>
        <v>0</v>
      </c>
      <c r="AL71" s="27">
        <f t="shared" si="60"/>
        <v>0</v>
      </c>
      <c r="AM71" s="27">
        <f t="shared" si="61"/>
        <v>0</v>
      </c>
      <c r="AN71" s="27">
        <f t="shared" si="62"/>
        <v>0</v>
      </c>
      <c r="AO71" s="27">
        <f t="shared" si="63"/>
        <v>0</v>
      </c>
      <c r="AP71" s="27">
        <f t="shared" si="64"/>
        <v>0</v>
      </c>
      <c r="AQ71" s="27">
        <f t="shared" si="65"/>
        <v>0</v>
      </c>
      <c r="AR71" s="27">
        <f t="shared" si="66"/>
        <v>0</v>
      </c>
      <c r="AS71" s="27">
        <f t="shared" si="82"/>
        <v>0</v>
      </c>
      <c r="AT71" s="89">
        <f t="shared" si="83"/>
        <v>0</v>
      </c>
    </row>
    <row r="72" spans="1:46">
      <c r="A72" s="80">
        <v>68</v>
      </c>
      <c r="C72" s="10">
        <f t="shared" si="84"/>
        <v>110</v>
      </c>
      <c r="D72" s="98" t="str" cm="1">
        <f t="array" ref="D72">_xlfn.IFS(C72&lt;=4,"1-4",C72&lt;=9,"5-9",C72&lt;=14,"10-14",C72&lt;=19,"15-19",C72&lt;=24,"20-24",C72&lt;=29,"25-29",C72&lt;=34,"30-34",C72&lt;=39,"35-39",C72&lt;=44,"40-44",C72&lt;=49,"45-49",C72&lt;=54,"50-54",C72&lt;=54,"50-54",C72&lt;=59,"55-59",C72&lt;=64,"60-64",C72&lt;=69,"65-69",C72&lt;=74,"70-74",C72&lt;=79,"75-79",C72&lt;=84,"80-84",C72&gt;84,"85+")</f>
        <v>85+</v>
      </c>
      <c r="E72" s="83">
        <f>IF(D72="85+",1,VLOOKUP(D72,'Life table 2014'!$AF$3:$AR$21,7,FALSE))</f>
        <v>1</v>
      </c>
      <c r="F72" s="72"/>
      <c r="G72" s="316">
        <f t="shared" si="67"/>
        <v>24820</v>
      </c>
      <c r="H72" s="27">
        <f>'Parameters &amp; DSA'!$B$119*G72^'Parameters &amp; DSA'!$B$120</f>
        <v>3.185789399635147</v>
      </c>
      <c r="I72" s="314">
        <f t="shared" si="85"/>
        <v>4.9083874940443861E-2</v>
      </c>
      <c r="J72" s="72"/>
      <c r="K72" s="140">
        <f t="shared" si="68"/>
        <v>0</v>
      </c>
      <c r="L72" s="141">
        <f t="shared" si="69"/>
        <v>0</v>
      </c>
      <c r="M72" s="141">
        <f t="shared" si="70"/>
        <v>0</v>
      </c>
      <c r="N72" s="27">
        <f t="shared" si="71"/>
        <v>0</v>
      </c>
      <c r="O72" s="27">
        <f t="shared" si="72"/>
        <v>0</v>
      </c>
      <c r="P72" s="27">
        <f t="shared" si="73"/>
        <v>0</v>
      </c>
      <c r="Q72" s="27">
        <f t="shared" si="74"/>
        <v>0</v>
      </c>
      <c r="R72" s="27">
        <f t="shared" si="75"/>
        <v>0</v>
      </c>
      <c r="S72" s="27">
        <f t="shared" si="76"/>
        <v>0</v>
      </c>
      <c r="T72" s="27">
        <f t="shared" si="77"/>
        <v>0</v>
      </c>
      <c r="U72" s="27">
        <f t="shared" si="78"/>
        <v>0</v>
      </c>
      <c r="V72" s="27">
        <f t="shared" si="79"/>
        <v>0</v>
      </c>
      <c r="W72" s="27">
        <f t="shared" si="86"/>
        <v>0</v>
      </c>
      <c r="X72" s="27">
        <f t="shared" si="87"/>
        <v>0</v>
      </c>
      <c r="Y72" s="142">
        <f t="shared" si="80"/>
        <v>1.0000000000000011</v>
      </c>
      <c r="Z72" s="89">
        <f t="shared" si="56"/>
        <v>1.0000000000000011</v>
      </c>
      <c r="AB72" s="92">
        <f>(IF('Parameters &amp; DSA'!$H$1=1,(('Parameters &amp; DSA'!$B$76+'Parameters &amp; DSA'!$B$84+'Parameters &amp; DSA'!$B$88+'Parameters &amp; DSA'!$B$92)*($K72))/(1+cDC)^$A72,(('Parameters &amp; DSA'!$B$76+'Parameters &amp; DSA'!$B$84)*($K72))))*($AD$2/$AF$2)</f>
        <v>0</v>
      </c>
      <c r="AC72" s="371">
        <f>(IF('Parameters &amp; DSA'!$H$1=1,(('Parameters &amp; DSA'!$B$76+'Parameters &amp; DSA'!$B$84+'Parameters &amp; DSA'!$B$88+'Parameters &amp; DSA'!$B$92)*($M72+$N72))/(1+cDC)^$A72,(('Parameters &amp; DSA'!$B$76+'Parameters &amp; DSA'!$B$84)*($M72+$N72))))*($AD$2/$AF$2)</f>
        <v>0</v>
      </c>
      <c r="AD72" s="371">
        <f>(IF('Parameters &amp; DSA'!$H$1=1,(('Parameters &amp; DSA'!$B$76+'Parameters &amp; DSA'!$B$84+'Parameters &amp; DSA'!$B$88+'Parameters &amp; DSA'!$B$92)*(P72+Q72))/(1+cDC)^$A72,(('Parameters &amp; DSA'!$B$76+'Parameters &amp; DSA'!$B$84)*(P72+Q72))))*($AD$2/$AF$2)</f>
        <v>0</v>
      </c>
      <c r="AE72" s="371">
        <f>(IF('Parameters &amp; DSA'!$H$1=1,(('Parameters &amp; DSA'!$B$76+'Parameters &amp; DSA'!$B$84+'Parameters &amp; DSA'!$B$88+'Parameters &amp; DSA'!$B$92)*(S72+T72))/(1+cDC)^$A72,(('Parameters &amp; DSA'!$B$76+'Parameters &amp; DSA'!$B$84)*(S72+T72))))*($AD$2/$AF$2)</f>
        <v>0</v>
      </c>
      <c r="AF72" s="371">
        <f>(IF('Parameters &amp; DSA'!$H$1=1,(((W72-W71)*cM_Dialysis0)+(W72*cM_Dialysis1))/(1+'Parameters &amp; DSA'!$B$6)^$A72,(((W72-W71)*cM_Dialysis0)+(W72*cM_Dialysis1))))*($AD$2/$AG$2)</f>
        <v>0</v>
      </c>
      <c r="AG72" s="93">
        <f t="shared" si="81"/>
        <v>0</v>
      </c>
      <c r="AI72" s="88">
        <f t="shared" si="57"/>
        <v>0</v>
      </c>
      <c r="AJ72" s="27">
        <f t="shared" si="58"/>
        <v>0</v>
      </c>
      <c r="AK72" s="27">
        <f t="shared" si="59"/>
        <v>0</v>
      </c>
      <c r="AL72" s="27">
        <f t="shared" si="60"/>
        <v>0</v>
      </c>
      <c r="AM72" s="27">
        <f t="shared" si="61"/>
        <v>0</v>
      </c>
      <c r="AN72" s="27">
        <f t="shared" si="62"/>
        <v>0</v>
      </c>
      <c r="AO72" s="27">
        <f t="shared" si="63"/>
        <v>0</v>
      </c>
      <c r="AP72" s="27">
        <f t="shared" si="64"/>
        <v>0</v>
      </c>
      <c r="AQ72" s="27">
        <f t="shared" si="65"/>
        <v>0</v>
      </c>
      <c r="AR72" s="27">
        <f t="shared" si="66"/>
        <v>0</v>
      </c>
      <c r="AS72" s="27">
        <f t="shared" si="82"/>
        <v>0</v>
      </c>
      <c r="AT72" s="89">
        <f t="shared" si="83"/>
        <v>0</v>
      </c>
    </row>
    <row r="73" spans="1:46">
      <c r="A73" s="80">
        <v>69</v>
      </c>
      <c r="C73" s="10">
        <f t="shared" si="84"/>
        <v>111</v>
      </c>
      <c r="D73" s="98" t="str" cm="1">
        <f t="array" ref="D73">_xlfn.IFS(C73&lt;=4,"1-4",C73&lt;=9,"5-9",C73&lt;=14,"10-14",C73&lt;=19,"15-19",C73&lt;=24,"20-24",C73&lt;=29,"25-29",C73&lt;=34,"30-34",C73&lt;=39,"35-39",C73&lt;=44,"40-44",C73&lt;=49,"45-49",C73&lt;=54,"50-54",C73&lt;=54,"50-54",C73&lt;=59,"55-59",C73&lt;=64,"60-64",C73&lt;=69,"65-69",C73&lt;=74,"70-74",C73&lt;=79,"75-79",C73&lt;=84,"80-84",C73&gt;84,"85+")</f>
        <v>85+</v>
      </c>
      <c r="E73" s="83">
        <f>IF(D73="85+",1,VLOOKUP(D73,'Life table 2014'!$AF$3:$AR$21,7,FALSE))</f>
        <v>1</v>
      </c>
      <c r="F73" s="72"/>
      <c r="G73" s="316">
        <f t="shared" si="67"/>
        <v>25185</v>
      </c>
      <c r="H73" s="27">
        <f>'Parameters &amp; DSA'!$B$119*G73^'Parameters &amp; DSA'!$B$120</f>
        <v>3.2361742595413934</v>
      </c>
      <c r="I73" s="314">
        <f t="shared" si="85"/>
        <v>4.913659512876023E-2</v>
      </c>
      <c r="J73" s="72"/>
      <c r="K73" s="140">
        <f t="shared" si="68"/>
        <v>0</v>
      </c>
      <c r="L73" s="141">
        <f t="shared" si="69"/>
        <v>0</v>
      </c>
      <c r="M73" s="141">
        <f t="shared" si="70"/>
        <v>0</v>
      </c>
      <c r="N73" s="27">
        <f t="shared" si="71"/>
        <v>0</v>
      </c>
      <c r="O73" s="27">
        <f t="shared" si="72"/>
        <v>0</v>
      </c>
      <c r="P73" s="27">
        <f t="shared" si="73"/>
        <v>0</v>
      </c>
      <c r="Q73" s="27">
        <f t="shared" si="74"/>
        <v>0</v>
      </c>
      <c r="R73" s="27">
        <f t="shared" si="75"/>
        <v>0</v>
      </c>
      <c r="S73" s="27">
        <f t="shared" si="76"/>
        <v>0</v>
      </c>
      <c r="T73" s="27">
        <f t="shared" si="77"/>
        <v>0</v>
      </c>
      <c r="U73" s="27">
        <f t="shared" si="78"/>
        <v>0</v>
      </c>
      <c r="V73" s="27">
        <f t="shared" si="79"/>
        <v>0</v>
      </c>
      <c r="W73" s="27">
        <f t="shared" si="86"/>
        <v>0</v>
      </c>
      <c r="X73" s="27">
        <f t="shared" si="87"/>
        <v>0</v>
      </c>
      <c r="Y73" s="142">
        <f t="shared" si="80"/>
        <v>1.0000000000000011</v>
      </c>
      <c r="Z73" s="89">
        <f t="shared" si="56"/>
        <v>1.0000000000000011</v>
      </c>
      <c r="AB73" s="92">
        <f>(IF('Parameters &amp; DSA'!$H$1=1,(('Parameters &amp; DSA'!$B$76+'Parameters &amp; DSA'!$B$84+'Parameters &amp; DSA'!$B$88+'Parameters &amp; DSA'!$B$92)*($K73))/(1+cDC)^$A73,(('Parameters &amp; DSA'!$B$76+'Parameters &amp; DSA'!$B$84)*($K73))))*($AD$2/$AF$2)</f>
        <v>0</v>
      </c>
      <c r="AC73" s="371">
        <f>(IF('Parameters &amp; DSA'!$H$1=1,(('Parameters &amp; DSA'!$B$76+'Parameters &amp; DSA'!$B$84+'Parameters &amp; DSA'!$B$88+'Parameters &amp; DSA'!$B$92)*($M73+$N73))/(1+cDC)^$A73,(('Parameters &amp; DSA'!$B$76+'Parameters &amp; DSA'!$B$84)*($M73+$N73))))*($AD$2/$AF$2)</f>
        <v>0</v>
      </c>
      <c r="AD73" s="371">
        <f>(IF('Parameters &amp; DSA'!$H$1=1,(('Parameters &amp; DSA'!$B$76+'Parameters &amp; DSA'!$B$84+'Parameters &amp; DSA'!$B$88+'Parameters &amp; DSA'!$B$92)*(P73+Q73))/(1+cDC)^$A73,(('Parameters &amp; DSA'!$B$76+'Parameters &amp; DSA'!$B$84)*(P73+Q73))))*($AD$2/$AF$2)</f>
        <v>0</v>
      </c>
      <c r="AE73" s="371">
        <f>(IF('Parameters &amp; DSA'!$H$1=1,(('Parameters &amp; DSA'!$B$76+'Parameters &amp; DSA'!$B$84+'Parameters &amp; DSA'!$B$88+'Parameters &amp; DSA'!$B$92)*(S73+T73))/(1+cDC)^$A73,(('Parameters &amp; DSA'!$B$76+'Parameters &amp; DSA'!$B$84)*(S73+T73))))*($AD$2/$AF$2)</f>
        <v>0</v>
      </c>
      <c r="AF73" s="371">
        <f>(IF('Parameters &amp; DSA'!$H$1=1,(((W73-W72)*cM_Dialysis0)+(W73*cM_Dialysis1))/(1+'Parameters &amp; DSA'!$B$6)^$A73,(((W73-W72)*cM_Dialysis0)+(W73*cM_Dialysis1))))*($AD$2/$AG$2)</f>
        <v>0</v>
      </c>
      <c r="AG73" s="93">
        <f t="shared" si="81"/>
        <v>0</v>
      </c>
      <c r="AI73" s="88">
        <f t="shared" si="57"/>
        <v>0</v>
      </c>
      <c r="AJ73" s="27">
        <f t="shared" si="58"/>
        <v>0</v>
      </c>
      <c r="AK73" s="27">
        <f t="shared" si="59"/>
        <v>0</v>
      </c>
      <c r="AL73" s="27">
        <f t="shared" si="60"/>
        <v>0</v>
      </c>
      <c r="AM73" s="27">
        <f t="shared" si="61"/>
        <v>0</v>
      </c>
      <c r="AN73" s="27">
        <f t="shared" si="62"/>
        <v>0</v>
      </c>
      <c r="AO73" s="27">
        <f t="shared" si="63"/>
        <v>0</v>
      </c>
      <c r="AP73" s="27">
        <f t="shared" si="64"/>
        <v>0</v>
      </c>
      <c r="AQ73" s="27">
        <f t="shared" si="65"/>
        <v>0</v>
      </c>
      <c r="AR73" s="27">
        <f t="shared" si="66"/>
        <v>0</v>
      </c>
      <c r="AS73" s="27">
        <f t="shared" si="82"/>
        <v>0</v>
      </c>
      <c r="AT73" s="89">
        <f t="shared" si="83"/>
        <v>0</v>
      </c>
    </row>
    <row r="74" spans="1:46">
      <c r="A74" s="80">
        <v>70</v>
      </c>
      <c r="C74" s="10">
        <f t="shared" si="84"/>
        <v>112</v>
      </c>
      <c r="D74" s="98" t="str" cm="1">
        <f t="array" ref="D74">_xlfn.IFS(C74&lt;=4,"1-4",C74&lt;=9,"5-9",C74&lt;=14,"10-14",C74&lt;=19,"15-19",C74&lt;=24,"20-24",C74&lt;=29,"25-29",C74&lt;=34,"30-34",C74&lt;=39,"35-39",C74&lt;=44,"40-44",C74&lt;=49,"45-49",C74&lt;=54,"50-54",C74&lt;=54,"50-54",C74&lt;=59,"55-59",C74&lt;=64,"60-64",C74&lt;=69,"65-69",C74&lt;=74,"70-74",C74&lt;=79,"75-79",C74&lt;=84,"80-84",C74&gt;84,"85+")</f>
        <v>85+</v>
      </c>
      <c r="E74" s="83">
        <f>IF(D74="85+",1,VLOOKUP(D74,'Life table 2014'!$AF$3:$AR$21,7,FALSE))</f>
        <v>1</v>
      </c>
      <c r="F74" s="72"/>
      <c r="G74" s="316">
        <f t="shared" si="67"/>
        <v>25550</v>
      </c>
      <c r="H74" s="27">
        <f>'Parameters &amp; DSA'!$B$119*G74^'Parameters &amp; DSA'!$B$120</f>
        <v>3.2866138186331066</v>
      </c>
      <c r="I74" s="314">
        <f t="shared" si="85"/>
        <v>4.9188605160030763E-2</v>
      </c>
      <c r="J74" s="72"/>
      <c r="K74" s="140">
        <f t="shared" si="68"/>
        <v>0</v>
      </c>
      <c r="L74" s="141">
        <f t="shared" si="69"/>
        <v>0</v>
      </c>
      <c r="M74" s="141">
        <f t="shared" si="70"/>
        <v>0</v>
      </c>
      <c r="N74" s="27">
        <f t="shared" si="71"/>
        <v>0</v>
      </c>
      <c r="O74" s="27">
        <f t="shared" si="72"/>
        <v>0</v>
      </c>
      <c r="P74" s="27">
        <f t="shared" si="73"/>
        <v>0</v>
      </c>
      <c r="Q74" s="27">
        <f t="shared" si="74"/>
        <v>0</v>
      </c>
      <c r="R74" s="27">
        <f t="shared" si="75"/>
        <v>0</v>
      </c>
      <c r="S74" s="27">
        <f t="shared" si="76"/>
        <v>0</v>
      </c>
      <c r="T74" s="27">
        <f t="shared" si="77"/>
        <v>0</v>
      </c>
      <c r="U74" s="27">
        <f t="shared" si="78"/>
        <v>0</v>
      </c>
      <c r="V74" s="27">
        <f t="shared" si="79"/>
        <v>0</v>
      </c>
      <c r="W74" s="27">
        <f t="shared" si="86"/>
        <v>0</v>
      </c>
      <c r="X74" s="27">
        <f t="shared" si="87"/>
        <v>0</v>
      </c>
      <c r="Y74" s="142">
        <f t="shared" si="80"/>
        <v>1.0000000000000011</v>
      </c>
      <c r="Z74" s="89">
        <f t="shared" si="56"/>
        <v>1.0000000000000011</v>
      </c>
      <c r="AB74" s="92">
        <f>(IF('Parameters &amp; DSA'!$H$1=1,(('Parameters &amp; DSA'!$B$76+'Parameters &amp; DSA'!$B$84+'Parameters &amp; DSA'!$B$88+'Parameters &amp; DSA'!$B$92)*($K74))/(1+cDC)^$A74,(('Parameters &amp; DSA'!$B$76+'Parameters &amp; DSA'!$B$84)*($K74))))*($AD$2/$AF$2)</f>
        <v>0</v>
      </c>
      <c r="AC74" s="371">
        <f>(IF('Parameters &amp; DSA'!$H$1=1,(('Parameters &amp; DSA'!$B$76+'Parameters &amp; DSA'!$B$84+'Parameters &amp; DSA'!$B$88+'Parameters &amp; DSA'!$B$92)*($M74+$N74))/(1+cDC)^$A74,(('Parameters &amp; DSA'!$B$76+'Parameters &amp; DSA'!$B$84)*($M74+$N74))))*($AD$2/$AF$2)</f>
        <v>0</v>
      </c>
      <c r="AD74" s="371">
        <f>(IF('Parameters &amp; DSA'!$H$1=1,(('Parameters &amp; DSA'!$B$76+'Parameters &amp; DSA'!$B$84+'Parameters &amp; DSA'!$B$88+'Parameters &amp; DSA'!$B$92)*(P74+Q74))/(1+cDC)^$A74,(('Parameters &amp; DSA'!$B$76+'Parameters &amp; DSA'!$B$84)*(P74+Q74))))*($AD$2/$AF$2)</f>
        <v>0</v>
      </c>
      <c r="AE74" s="371">
        <f>(IF('Parameters &amp; DSA'!$H$1=1,(('Parameters &amp; DSA'!$B$76+'Parameters &amp; DSA'!$B$84+'Parameters &amp; DSA'!$B$88+'Parameters &amp; DSA'!$B$92)*(S74+T74))/(1+cDC)^$A74,(('Parameters &amp; DSA'!$B$76+'Parameters &amp; DSA'!$B$84)*(S74+T74))))*($AD$2/$AF$2)</f>
        <v>0</v>
      </c>
      <c r="AF74" s="371">
        <f>(IF('Parameters &amp; DSA'!$H$1=1,(((W74-W73)*cM_Dialysis0)+(W74*cM_Dialysis1))/(1+'Parameters &amp; DSA'!$B$6)^$A74,(((W74-W73)*cM_Dialysis0)+(W74*cM_Dialysis1))))*($AD$2/$AG$2)</f>
        <v>0</v>
      </c>
      <c r="AG74" s="93">
        <f t="shared" si="81"/>
        <v>0</v>
      </c>
      <c r="AI74" s="88">
        <f t="shared" si="57"/>
        <v>0</v>
      </c>
      <c r="AJ74" s="27">
        <f t="shared" si="58"/>
        <v>0</v>
      </c>
      <c r="AK74" s="27">
        <f t="shared" si="59"/>
        <v>0</v>
      </c>
      <c r="AL74" s="27">
        <f t="shared" si="60"/>
        <v>0</v>
      </c>
      <c r="AM74" s="27">
        <f t="shared" si="61"/>
        <v>0</v>
      </c>
      <c r="AN74" s="27">
        <f t="shared" si="62"/>
        <v>0</v>
      </c>
      <c r="AO74" s="27">
        <f t="shared" si="63"/>
        <v>0</v>
      </c>
      <c r="AP74" s="27">
        <f t="shared" si="64"/>
        <v>0</v>
      </c>
      <c r="AQ74" s="27">
        <f t="shared" si="65"/>
        <v>0</v>
      </c>
      <c r="AR74" s="27">
        <f t="shared" si="66"/>
        <v>0</v>
      </c>
      <c r="AS74" s="27">
        <f t="shared" si="82"/>
        <v>0</v>
      </c>
      <c r="AT74" s="89">
        <f t="shared" si="83"/>
        <v>0</v>
      </c>
    </row>
    <row r="75" spans="1:46">
      <c r="A75" s="80">
        <v>71</v>
      </c>
      <c r="C75" s="10">
        <f t="shared" si="84"/>
        <v>113</v>
      </c>
      <c r="D75" s="98" t="str" cm="1">
        <f t="array" ref="D75">_xlfn.IFS(C75&lt;=4,"1-4",C75&lt;=9,"5-9",C75&lt;=14,"10-14",C75&lt;=19,"15-19",C75&lt;=24,"20-24",C75&lt;=29,"25-29",C75&lt;=34,"30-34",C75&lt;=39,"35-39",C75&lt;=44,"40-44",C75&lt;=49,"45-49",C75&lt;=54,"50-54",C75&lt;=54,"50-54",C75&lt;=59,"55-59",C75&lt;=64,"60-64",C75&lt;=69,"65-69",C75&lt;=74,"70-74",C75&lt;=79,"75-79",C75&lt;=84,"80-84",C75&gt;84,"85+")</f>
        <v>85+</v>
      </c>
      <c r="E75" s="83">
        <f>IF(D75="85+",1,VLOOKUP(D75,'Life table 2014'!$AF$3:$AR$21,7,FALSE))</f>
        <v>1</v>
      </c>
      <c r="F75" s="72"/>
      <c r="G75" s="316">
        <f t="shared" si="67"/>
        <v>25915</v>
      </c>
      <c r="H75" s="27">
        <f>'Parameters &amp; DSA'!$B$119*G75^'Parameters &amp; DSA'!$B$120</f>
        <v>3.3371073535579363</v>
      </c>
      <c r="I75" s="314">
        <f t="shared" si="85"/>
        <v>4.9239924612186292E-2</v>
      </c>
      <c r="J75" s="72"/>
      <c r="K75" s="140">
        <f t="shared" si="68"/>
        <v>0</v>
      </c>
      <c r="L75" s="141">
        <f t="shared" si="69"/>
        <v>0</v>
      </c>
      <c r="M75" s="141">
        <f t="shared" si="70"/>
        <v>0</v>
      </c>
      <c r="N75" s="27">
        <f t="shared" si="71"/>
        <v>0</v>
      </c>
      <c r="O75" s="27">
        <f t="shared" si="72"/>
        <v>0</v>
      </c>
      <c r="P75" s="27">
        <f t="shared" si="73"/>
        <v>0</v>
      </c>
      <c r="Q75" s="27">
        <f t="shared" si="74"/>
        <v>0</v>
      </c>
      <c r="R75" s="27">
        <f t="shared" si="75"/>
        <v>0</v>
      </c>
      <c r="S75" s="27">
        <f t="shared" si="76"/>
        <v>0</v>
      </c>
      <c r="T75" s="27">
        <f t="shared" si="77"/>
        <v>0</v>
      </c>
      <c r="U75" s="27">
        <f t="shared" si="78"/>
        <v>0</v>
      </c>
      <c r="V75" s="27">
        <f t="shared" si="79"/>
        <v>0</v>
      </c>
      <c r="W75" s="27">
        <f t="shared" si="86"/>
        <v>0</v>
      </c>
      <c r="X75" s="27">
        <f t="shared" si="87"/>
        <v>0</v>
      </c>
      <c r="Y75" s="142">
        <f t="shared" si="80"/>
        <v>1.0000000000000011</v>
      </c>
      <c r="Z75" s="89">
        <f t="shared" si="56"/>
        <v>1.0000000000000011</v>
      </c>
      <c r="AB75" s="92">
        <f>(IF('Parameters &amp; DSA'!$H$1=1,(('Parameters &amp; DSA'!$B$76+'Parameters &amp; DSA'!$B$84+'Parameters &amp; DSA'!$B$88+'Parameters &amp; DSA'!$B$92)*($K75))/(1+cDC)^$A75,(('Parameters &amp; DSA'!$B$76+'Parameters &amp; DSA'!$B$84)*($K75))))*($AD$2/$AF$2)</f>
        <v>0</v>
      </c>
      <c r="AC75" s="371">
        <f>(IF('Parameters &amp; DSA'!$H$1=1,(('Parameters &amp; DSA'!$B$76+'Parameters &amp; DSA'!$B$84+'Parameters &amp; DSA'!$B$88+'Parameters &amp; DSA'!$B$92)*($M75+$N75))/(1+cDC)^$A75,(('Parameters &amp; DSA'!$B$76+'Parameters &amp; DSA'!$B$84)*($M75+$N75))))*($AD$2/$AF$2)</f>
        <v>0</v>
      </c>
      <c r="AD75" s="371">
        <f>(IF('Parameters &amp; DSA'!$H$1=1,(('Parameters &amp; DSA'!$B$76+'Parameters &amp; DSA'!$B$84+'Parameters &amp; DSA'!$B$88+'Parameters &amp; DSA'!$B$92)*(P75+Q75))/(1+cDC)^$A75,(('Parameters &amp; DSA'!$B$76+'Parameters &amp; DSA'!$B$84)*(P75+Q75))))*($AD$2/$AF$2)</f>
        <v>0</v>
      </c>
      <c r="AE75" s="371">
        <f>(IF('Parameters &amp; DSA'!$H$1=1,(('Parameters &amp; DSA'!$B$76+'Parameters &amp; DSA'!$B$84+'Parameters &amp; DSA'!$B$88+'Parameters &amp; DSA'!$B$92)*(S75+T75))/(1+cDC)^$A75,(('Parameters &amp; DSA'!$B$76+'Parameters &amp; DSA'!$B$84)*(S75+T75))))*($AD$2/$AF$2)</f>
        <v>0</v>
      </c>
      <c r="AF75" s="371">
        <f>(IF('Parameters &amp; DSA'!$H$1=1,(((W75-W74)*cM_Dialysis0)+(W75*cM_Dialysis1))/(1+'Parameters &amp; DSA'!$B$6)^$A75,(((W75-W74)*cM_Dialysis0)+(W75*cM_Dialysis1))))*($AD$2/$AG$2)</f>
        <v>0</v>
      </c>
      <c r="AG75" s="93">
        <f t="shared" si="81"/>
        <v>0</v>
      </c>
      <c r="AI75" s="88">
        <f t="shared" si="57"/>
        <v>0</v>
      </c>
      <c r="AJ75" s="27">
        <f t="shared" si="58"/>
        <v>0</v>
      </c>
      <c r="AK75" s="27">
        <f t="shared" si="59"/>
        <v>0</v>
      </c>
      <c r="AL75" s="27">
        <f t="shared" si="60"/>
        <v>0</v>
      </c>
      <c r="AM75" s="27">
        <f t="shared" si="61"/>
        <v>0</v>
      </c>
      <c r="AN75" s="27">
        <f t="shared" si="62"/>
        <v>0</v>
      </c>
      <c r="AO75" s="27">
        <f t="shared" si="63"/>
        <v>0</v>
      </c>
      <c r="AP75" s="27">
        <f t="shared" si="64"/>
        <v>0</v>
      </c>
      <c r="AQ75" s="27">
        <f t="shared" si="65"/>
        <v>0</v>
      </c>
      <c r="AR75" s="27">
        <f t="shared" si="66"/>
        <v>0</v>
      </c>
      <c r="AS75" s="27">
        <f t="shared" si="82"/>
        <v>0</v>
      </c>
      <c r="AT75" s="89">
        <f t="shared" si="83"/>
        <v>0</v>
      </c>
    </row>
    <row r="76" spans="1:46">
      <c r="A76" s="80">
        <v>72</v>
      </c>
      <c r="C76" s="10">
        <f t="shared" si="84"/>
        <v>114</v>
      </c>
      <c r="D76" s="98" t="str" cm="1">
        <f t="array" ref="D76">_xlfn.IFS(C76&lt;=4,"1-4",C76&lt;=9,"5-9",C76&lt;=14,"10-14",C76&lt;=19,"15-19",C76&lt;=24,"20-24",C76&lt;=29,"25-29",C76&lt;=34,"30-34",C76&lt;=39,"35-39",C76&lt;=44,"40-44",C76&lt;=49,"45-49",C76&lt;=54,"50-54",C76&lt;=54,"50-54",C76&lt;=59,"55-59",C76&lt;=64,"60-64",C76&lt;=69,"65-69",C76&lt;=74,"70-74",C76&lt;=79,"75-79",C76&lt;=84,"80-84",C76&gt;84,"85+")</f>
        <v>85+</v>
      </c>
      <c r="E76" s="83">
        <f>IF(D76="85+",1,VLOOKUP(D76,'Life table 2014'!$AF$3:$AR$21,7,FALSE))</f>
        <v>1</v>
      </c>
      <c r="F76" s="72"/>
      <c r="G76" s="316">
        <f t="shared" si="67"/>
        <v>26280</v>
      </c>
      <c r="H76" s="27">
        <f>'Parameters &amp; DSA'!$B$119*G76^'Parameters &amp; DSA'!$B$120</f>
        <v>3.3876541605892512</v>
      </c>
      <c r="I76" s="314">
        <f t="shared" si="85"/>
        <v>4.9290572255098919E-2</v>
      </c>
      <c r="J76" s="72"/>
      <c r="K76" s="140">
        <f t="shared" si="68"/>
        <v>0</v>
      </c>
      <c r="L76" s="141">
        <f t="shared" si="69"/>
        <v>0</v>
      </c>
      <c r="M76" s="141">
        <f t="shared" si="70"/>
        <v>0</v>
      </c>
      <c r="N76" s="27">
        <f t="shared" si="71"/>
        <v>0</v>
      </c>
      <c r="O76" s="27">
        <f t="shared" si="72"/>
        <v>0</v>
      </c>
      <c r="P76" s="27">
        <f t="shared" si="73"/>
        <v>0</v>
      </c>
      <c r="Q76" s="27">
        <f t="shared" si="74"/>
        <v>0</v>
      </c>
      <c r="R76" s="27">
        <f t="shared" si="75"/>
        <v>0</v>
      </c>
      <c r="S76" s="27">
        <f t="shared" si="76"/>
        <v>0</v>
      </c>
      <c r="T76" s="27">
        <f t="shared" si="77"/>
        <v>0</v>
      </c>
      <c r="U76" s="27">
        <f t="shared" si="78"/>
        <v>0</v>
      </c>
      <c r="V76" s="27">
        <f t="shared" si="79"/>
        <v>0</v>
      </c>
      <c r="W76" s="27">
        <f t="shared" si="86"/>
        <v>0</v>
      </c>
      <c r="X76" s="27">
        <f t="shared" si="87"/>
        <v>0</v>
      </c>
      <c r="Y76" s="142">
        <f t="shared" si="80"/>
        <v>1.0000000000000011</v>
      </c>
      <c r="Z76" s="89">
        <f t="shared" si="56"/>
        <v>1.0000000000000011</v>
      </c>
      <c r="AB76" s="92">
        <f>(IF('Parameters &amp; DSA'!$H$1=1,(('Parameters &amp; DSA'!$B$76+'Parameters &amp; DSA'!$B$84+'Parameters &amp; DSA'!$B$88+'Parameters &amp; DSA'!$B$92)*($K76))/(1+cDC)^$A76,(('Parameters &amp; DSA'!$B$76+'Parameters &amp; DSA'!$B$84)*($K76))))*($AD$2/$AF$2)</f>
        <v>0</v>
      </c>
      <c r="AC76" s="371">
        <f>(IF('Parameters &amp; DSA'!$H$1=1,(('Parameters &amp; DSA'!$B$76+'Parameters &amp; DSA'!$B$84+'Parameters &amp; DSA'!$B$88+'Parameters &amp; DSA'!$B$92)*($M76+$N76))/(1+cDC)^$A76,(('Parameters &amp; DSA'!$B$76+'Parameters &amp; DSA'!$B$84)*($M76+$N76))))*($AD$2/$AF$2)</f>
        <v>0</v>
      </c>
      <c r="AD76" s="371">
        <f>(IF('Parameters &amp; DSA'!$H$1=1,(('Parameters &amp; DSA'!$B$76+'Parameters &amp; DSA'!$B$84+'Parameters &amp; DSA'!$B$88+'Parameters &amp; DSA'!$B$92)*(P76+Q76))/(1+cDC)^$A76,(('Parameters &amp; DSA'!$B$76+'Parameters &amp; DSA'!$B$84)*(P76+Q76))))*($AD$2/$AF$2)</f>
        <v>0</v>
      </c>
      <c r="AE76" s="371">
        <f>(IF('Parameters &amp; DSA'!$H$1=1,(('Parameters &amp; DSA'!$B$76+'Parameters &amp; DSA'!$B$84+'Parameters &amp; DSA'!$B$88+'Parameters &amp; DSA'!$B$92)*(S76+T76))/(1+cDC)^$A76,(('Parameters &amp; DSA'!$B$76+'Parameters &amp; DSA'!$B$84)*(S76+T76))))*($AD$2/$AF$2)</f>
        <v>0</v>
      </c>
      <c r="AF76" s="371">
        <f>(IF('Parameters &amp; DSA'!$H$1=1,(((W76-W75)*cM_Dialysis0)+(W76*cM_Dialysis1))/(1+'Parameters &amp; DSA'!$B$6)^$A76,(((W76-W75)*cM_Dialysis0)+(W76*cM_Dialysis1))))*($AD$2/$AG$2)</f>
        <v>0</v>
      </c>
      <c r="AG76" s="93">
        <f t="shared" si="81"/>
        <v>0</v>
      </c>
      <c r="AI76" s="88">
        <f t="shared" si="57"/>
        <v>0</v>
      </c>
      <c r="AJ76" s="27">
        <f t="shared" si="58"/>
        <v>0</v>
      </c>
      <c r="AK76" s="27">
        <f t="shared" si="59"/>
        <v>0</v>
      </c>
      <c r="AL76" s="27">
        <f t="shared" si="60"/>
        <v>0</v>
      </c>
      <c r="AM76" s="27">
        <f t="shared" si="61"/>
        <v>0</v>
      </c>
      <c r="AN76" s="27">
        <f t="shared" si="62"/>
        <v>0</v>
      </c>
      <c r="AO76" s="27">
        <f t="shared" si="63"/>
        <v>0</v>
      </c>
      <c r="AP76" s="27">
        <f t="shared" si="64"/>
        <v>0</v>
      </c>
      <c r="AQ76" s="27">
        <f t="shared" si="65"/>
        <v>0</v>
      </c>
      <c r="AR76" s="27">
        <f t="shared" si="66"/>
        <v>0</v>
      </c>
      <c r="AS76" s="27">
        <f t="shared" si="82"/>
        <v>0</v>
      </c>
      <c r="AT76" s="89">
        <f t="shared" si="83"/>
        <v>0</v>
      </c>
    </row>
    <row r="77" spans="1:46">
      <c r="A77" s="80">
        <v>73</v>
      </c>
      <c r="C77" s="10">
        <f t="shared" si="84"/>
        <v>115</v>
      </c>
      <c r="D77" s="98" t="str" cm="1">
        <f t="array" ref="D77">_xlfn.IFS(C77&lt;=4,"1-4",C77&lt;=9,"5-9",C77&lt;=14,"10-14",C77&lt;=19,"15-19",C77&lt;=24,"20-24",C77&lt;=29,"25-29",C77&lt;=34,"30-34",C77&lt;=39,"35-39",C77&lt;=44,"40-44",C77&lt;=49,"45-49",C77&lt;=54,"50-54",C77&lt;=54,"50-54",C77&lt;=59,"55-59",C77&lt;=64,"60-64",C77&lt;=69,"65-69",C77&lt;=74,"70-74",C77&lt;=79,"75-79",C77&lt;=84,"80-84",C77&gt;84,"85+")</f>
        <v>85+</v>
      </c>
      <c r="E77" s="83">
        <f>IF(D77="85+",1,VLOOKUP(D77,'Life table 2014'!$AF$3:$AR$21,7,FALSE))</f>
        <v>1</v>
      </c>
      <c r="F77" s="72"/>
      <c r="G77" s="316">
        <f t="shared" si="67"/>
        <v>26645</v>
      </c>
      <c r="H77" s="27">
        <f>'Parameters &amp; DSA'!$B$119*G77^'Parameters &amp; DSA'!$B$120</f>
        <v>3.4382535548283166</v>
      </c>
      <c r="I77" s="314">
        <f t="shared" si="85"/>
        <v>4.9340566094756455E-2</v>
      </c>
      <c r="J77" s="72"/>
      <c r="K77" s="140">
        <f t="shared" si="68"/>
        <v>0</v>
      </c>
      <c r="L77" s="141">
        <f t="shared" si="69"/>
        <v>0</v>
      </c>
      <c r="M77" s="141">
        <f t="shared" si="70"/>
        <v>0</v>
      </c>
      <c r="N77" s="27">
        <f t="shared" si="71"/>
        <v>0</v>
      </c>
      <c r="O77" s="27">
        <f t="shared" si="72"/>
        <v>0</v>
      </c>
      <c r="P77" s="27">
        <f t="shared" si="73"/>
        <v>0</v>
      </c>
      <c r="Q77" s="27">
        <f t="shared" si="74"/>
        <v>0</v>
      </c>
      <c r="R77" s="27">
        <f t="shared" si="75"/>
        <v>0</v>
      </c>
      <c r="S77" s="27">
        <f t="shared" si="76"/>
        <v>0</v>
      </c>
      <c r="T77" s="27">
        <f t="shared" si="77"/>
        <v>0</v>
      </c>
      <c r="U77" s="27">
        <f t="shared" si="78"/>
        <v>0</v>
      </c>
      <c r="V77" s="27">
        <f t="shared" si="79"/>
        <v>0</v>
      </c>
      <c r="W77" s="27">
        <f t="shared" si="86"/>
        <v>0</v>
      </c>
      <c r="X77" s="27">
        <f t="shared" si="87"/>
        <v>0</v>
      </c>
      <c r="Y77" s="142">
        <f t="shared" si="80"/>
        <v>1.0000000000000011</v>
      </c>
      <c r="Z77" s="89">
        <f t="shared" si="56"/>
        <v>1.0000000000000011</v>
      </c>
      <c r="AB77" s="92">
        <f>(IF('Parameters &amp; DSA'!$H$1=1,(('Parameters &amp; DSA'!$B$76+'Parameters &amp; DSA'!$B$84+'Parameters &amp; DSA'!$B$88+'Parameters &amp; DSA'!$B$92)*($K77))/(1+cDC)^$A77,(('Parameters &amp; DSA'!$B$76+'Parameters &amp; DSA'!$B$84)*($K77))))*($AD$2/$AF$2)</f>
        <v>0</v>
      </c>
      <c r="AC77" s="371">
        <f>(IF('Parameters &amp; DSA'!$H$1=1,(('Parameters &amp; DSA'!$B$76+'Parameters &amp; DSA'!$B$84+'Parameters &amp; DSA'!$B$88+'Parameters &amp; DSA'!$B$92)*($M77+$N77))/(1+cDC)^$A77,(('Parameters &amp; DSA'!$B$76+'Parameters &amp; DSA'!$B$84)*($M77+$N77))))*($AD$2/$AF$2)</f>
        <v>0</v>
      </c>
      <c r="AD77" s="371">
        <f>(IF('Parameters &amp; DSA'!$H$1=1,(('Parameters &amp; DSA'!$B$76+'Parameters &amp; DSA'!$B$84+'Parameters &amp; DSA'!$B$88+'Parameters &amp; DSA'!$B$92)*(P77+Q77))/(1+cDC)^$A77,(('Parameters &amp; DSA'!$B$76+'Parameters &amp; DSA'!$B$84)*(P77+Q77))))*($AD$2/$AF$2)</f>
        <v>0</v>
      </c>
      <c r="AE77" s="371">
        <f>(IF('Parameters &amp; DSA'!$H$1=1,(('Parameters &amp; DSA'!$B$76+'Parameters &amp; DSA'!$B$84+'Parameters &amp; DSA'!$B$88+'Parameters &amp; DSA'!$B$92)*(S77+T77))/(1+cDC)^$A77,(('Parameters &amp; DSA'!$B$76+'Parameters &amp; DSA'!$B$84)*(S77+T77))))*($AD$2/$AF$2)</f>
        <v>0</v>
      </c>
      <c r="AF77" s="371">
        <f>(IF('Parameters &amp; DSA'!$H$1=1,(((W77-W76)*cM_Dialysis0)+(W77*cM_Dialysis1))/(1+'Parameters &amp; DSA'!$B$6)^$A77,(((W77-W76)*cM_Dialysis0)+(W77*cM_Dialysis1))))*($AD$2/$AG$2)</f>
        <v>0</v>
      </c>
      <c r="AG77" s="93">
        <f t="shared" si="81"/>
        <v>0</v>
      </c>
      <c r="AI77" s="88">
        <f t="shared" si="57"/>
        <v>0</v>
      </c>
      <c r="AJ77" s="27">
        <f t="shared" si="58"/>
        <v>0</v>
      </c>
      <c r="AK77" s="27">
        <f t="shared" si="59"/>
        <v>0</v>
      </c>
      <c r="AL77" s="27">
        <f t="shared" si="60"/>
        <v>0</v>
      </c>
      <c r="AM77" s="27">
        <f t="shared" si="61"/>
        <v>0</v>
      </c>
      <c r="AN77" s="27">
        <f t="shared" si="62"/>
        <v>0</v>
      </c>
      <c r="AO77" s="27">
        <f t="shared" si="63"/>
        <v>0</v>
      </c>
      <c r="AP77" s="27">
        <f t="shared" si="64"/>
        <v>0</v>
      </c>
      <c r="AQ77" s="27">
        <f t="shared" si="65"/>
        <v>0</v>
      </c>
      <c r="AR77" s="27">
        <f t="shared" si="66"/>
        <v>0</v>
      </c>
      <c r="AS77" s="27">
        <f t="shared" si="82"/>
        <v>0</v>
      </c>
      <c r="AT77" s="89">
        <f t="shared" si="83"/>
        <v>0</v>
      </c>
    </row>
    <row r="78" spans="1:46">
      <c r="A78" s="80">
        <v>74</v>
      </c>
      <c r="C78" s="10">
        <f t="shared" si="84"/>
        <v>116</v>
      </c>
      <c r="D78" s="98" t="str" cm="1">
        <f t="array" ref="D78">_xlfn.IFS(C78&lt;=4,"1-4",C78&lt;=9,"5-9",C78&lt;=14,"10-14",C78&lt;=19,"15-19",C78&lt;=24,"20-24",C78&lt;=29,"25-29",C78&lt;=34,"30-34",C78&lt;=39,"35-39",C78&lt;=44,"40-44",C78&lt;=49,"45-49",C78&lt;=54,"50-54",C78&lt;=54,"50-54",C78&lt;=59,"55-59",C78&lt;=64,"60-64",C78&lt;=69,"65-69",C78&lt;=74,"70-74",C78&lt;=79,"75-79",C78&lt;=84,"80-84",C78&gt;84,"85+")</f>
        <v>85+</v>
      </c>
      <c r="E78" s="83">
        <f>IF(D78="85+",1,VLOOKUP(D78,'Life table 2014'!$AF$3:$AR$21,7,FALSE))</f>
        <v>1</v>
      </c>
      <c r="F78" s="72"/>
      <c r="G78" s="316">
        <f t="shared" si="67"/>
        <v>27010</v>
      </c>
      <c r="H78" s="27">
        <f>'Parameters &amp; DSA'!$B$119*G78^'Parameters &amp; DSA'!$B$120</f>
        <v>3.4889048694493416</v>
      </c>
      <c r="I78" s="314">
        <f t="shared" si="85"/>
        <v>4.9389923414341674E-2</v>
      </c>
      <c r="J78" s="72"/>
      <c r="K78" s="140">
        <f t="shared" si="68"/>
        <v>0</v>
      </c>
      <c r="L78" s="141">
        <f t="shared" si="69"/>
        <v>0</v>
      </c>
      <c r="M78" s="141">
        <f t="shared" si="70"/>
        <v>0</v>
      </c>
      <c r="N78" s="27">
        <f t="shared" si="71"/>
        <v>0</v>
      </c>
      <c r="O78" s="27">
        <f t="shared" si="72"/>
        <v>0</v>
      </c>
      <c r="P78" s="27">
        <f t="shared" si="73"/>
        <v>0</v>
      </c>
      <c r="Q78" s="27">
        <f t="shared" si="74"/>
        <v>0</v>
      </c>
      <c r="R78" s="27">
        <f t="shared" si="75"/>
        <v>0</v>
      </c>
      <c r="S78" s="27">
        <f t="shared" si="76"/>
        <v>0</v>
      </c>
      <c r="T78" s="27">
        <f t="shared" si="77"/>
        <v>0</v>
      </c>
      <c r="U78" s="27">
        <f t="shared" si="78"/>
        <v>0</v>
      </c>
      <c r="V78" s="27">
        <f t="shared" si="79"/>
        <v>0</v>
      </c>
      <c r="W78" s="27">
        <f t="shared" si="86"/>
        <v>0</v>
      </c>
      <c r="X78" s="27">
        <f t="shared" si="87"/>
        <v>0</v>
      </c>
      <c r="Y78" s="142">
        <f t="shared" si="80"/>
        <v>1.0000000000000011</v>
      </c>
      <c r="Z78" s="89">
        <f t="shared" si="56"/>
        <v>1.0000000000000011</v>
      </c>
      <c r="AB78" s="92">
        <f>(IF('Parameters &amp; DSA'!$H$1=1,(('Parameters &amp; DSA'!$B$76+'Parameters &amp; DSA'!$B$84+'Parameters &amp; DSA'!$B$88+'Parameters &amp; DSA'!$B$92)*($K78))/(1+cDC)^$A78,(('Parameters &amp; DSA'!$B$76+'Parameters &amp; DSA'!$B$84)*($K78))))*($AD$2/$AF$2)</f>
        <v>0</v>
      </c>
      <c r="AC78" s="371">
        <f>(IF('Parameters &amp; DSA'!$H$1=1,(('Parameters &amp; DSA'!$B$76+'Parameters &amp; DSA'!$B$84+'Parameters &amp; DSA'!$B$88+'Parameters &amp; DSA'!$B$92)*($M78+$N78))/(1+cDC)^$A78,(('Parameters &amp; DSA'!$B$76+'Parameters &amp; DSA'!$B$84)*($M78+$N78))))*($AD$2/$AF$2)</f>
        <v>0</v>
      </c>
      <c r="AD78" s="371">
        <f>(IF('Parameters &amp; DSA'!$H$1=1,(('Parameters &amp; DSA'!$B$76+'Parameters &amp; DSA'!$B$84+'Parameters &amp; DSA'!$B$88+'Parameters &amp; DSA'!$B$92)*(P78+Q78))/(1+cDC)^$A78,(('Parameters &amp; DSA'!$B$76+'Parameters &amp; DSA'!$B$84)*(P78+Q78))))*($AD$2/$AF$2)</f>
        <v>0</v>
      </c>
      <c r="AE78" s="371">
        <f>(IF('Parameters &amp; DSA'!$H$1=1,(('Parameters &amp; DSA'!$B$76+'Parameters &amp; DSA'!$B$84+'Parameters &amp; DSA'!$B$88+'Parameters &amp; DSA'!$B$92)*(S78+T78))/(1+cDC)^$A78,(('Parameters &amp; DSA'!$B$76+'Parameters &amp; DSA'!$B$84)*(S78+T78))))*($AD$2/$AF$2)</f>
        <v>0</v>
      </c>
      <c r="AF78" s="371">
        <f>(IF('Parameters &amp; DSA'!$H$1=1,(((W78-W77)*cM_Dialysis0)+(W78*cM_Dialysis1))/(1+'Parameters &amp; DSA'!$B$6)^$A78,(((W78-W77)*cM_Dialysis0)+(W78*cM_Dialysis1))))*($AD$2/$AG$2)</f>
        <v>0</v>
      </c>
      <c r="AG78" s="93">
        <f t="shared" si="81"/>
        <v>0</v>
      </c>
      <c r="AI78" s="88">
        <f t="shared" si="57"/>
        <v>0</v>
      </c>
      <c r="AJ78" s="27">
        <f t="shared" si="58"/>
        <v>0</v>
      </c>
      <c r="AK78" s="27">
        <f t="shared" si="59"/>
        <v>0</v>
      </c>
      <c r="AL78" s="27">
        <f t="shared" si="60"/>
        <v>0</v>
      </c>
      <c r="AM78" s="27">
        <f t="shared" si="61"/>
        <v>0</v>
      </c>
      <c r="AN78" s="27">
        <f t="shared" si="62"/>
        <v>0</v>
      </c>
      <c r="AO78" s="27">
        <f t="shared" si="63"/>
        <v>0</v>
      </c>
      <c r="AP78" s="27">
        <f t="shared" si="64"/>
        <v>0</v>
      </c>
      <c r="AQ78" s="27">
        <f t="shared" si="65"/>
        <v>0</v>
      </c>
      <c r="AR78" s="27">
        <f t="shared" si="66"/>
        <v>0</v>
      </c>
      <c r="AS78" s="27">
        <f t="shared" si="82"/>
        <v>0</v>
      </c>
      <c r="AT78" s="89">
        <f t="shared" si="83"/>
        <v>0</v>
      </c>
    </row>
    <row r="79" spans="1:46">
      <c r="A79" s="80">
        <v>75</v>
      </c>
      <c r="C79" s="10">
        <f t="shared" si="84"/>
        <v>117</v>
      </c>
      <c r="D79" s="98" t="str" cm="1">
        <f t="array" ref="D79">_xlfn.IFS(C79&lt;=4,"1-4",C79&lt;=9,"5-9",C79&lt;=14,"10-14",C79&lt;=19,"15-19",C79&lt;=24,"20-24",C79&lt;=29,"25-29",C79&lt;=34,"30-34",C79&lt;=39,"35-39",C79&lt;=44,"40-44",C79&lt;=49,"45-49",C79&lt;=54,"50-54",C79&lt;=54,"50-54",C79&lt;=59,"55-59",C79&lt;=64,"60-64",C79&lt;=69,"65-69",C79&lt;=74,"70-74",C79&lt;=79,"75-79",C79&lt;=84,"80-84",C79&gt;84,"85+")</f>
        <v>85+</v>
      </c>
      <c r="E79" s="83">
        <f>IF(D79="85+",1,VLOOKUP(D79,'Life table 2014'!$AF$3:$AR$21,7,FALSE))</f>
        <v>1</v>
      </c>
      <c r="F79" s="72"/>
      <c r="G79" s="316">
        <f t="shared" si="67"/>
        <v>27375</v>
      </c>
      <c r="H79" s="27">
        <f>'Parameters &amp; DSA'!$B$119*G79^'Parameters &amp; DSA'!$B$120</f>
        <v>3.539607454984651</v>
      </c>
      <c r="I79" s="314">
        <f t="shared" si="85"/>
        <v>4.9438660812680002E-2</v>
      </c>
      <c r="J79" s="72"/>
      <c r="K79" s="140">
        <f t="shared" si="68"/>
        <v>0</v>
      </c>
      <c r="L79" s="141">
        <f t="shared" si="69"/>
        <v>0</v>
      </c>
      <c r="M79" s="141">
        <f t="shared" si="70"/>
        <v>0</v>
      </c>
      <c r="N79" s="27">
        <f t="shared" si="71"/>
        <v>0</v>
      </c>
      <c r="O79" s="27">
        <f t="shared" si="72"/>
        <v>0</v>
      </c>
      <c r="P79" s="27">
        <f t="shared" si="73"/>
        <v>0</v>
      </c>
      <c r="Q79" s="27">
        <f t="shared" si="74"/>
        <v>0</v>
      </c>
      <c r="R79" s="27">
        <f t="shared" si="75"/>
        <v>0</v>
      </c>
      <c r="S79" s="27">
        <f t="shared" si="76"/>
        <v>0</v>
      </c>
      <c r="T79" s="27">
        <f t="shared" si="77"/>
        <v>0</v>
      </c>
      <c r="U79" s="27">
        <f t="shared" si="78"/>
        <v>0</v>
      </c>
      <c r="V79" s="27">
        <f t="shared" si="79"/>
        <v>0</v>
      </c>
      <c r="W79" s="27">
        <f t="shared" si="86"/>
        <v>0</v>
      </c>
      <c r="X79" s="27">
        <f t="shared" si="87"/>
        <v>0</v>
      </c>
      <c r="Y79" s="142">
        <f t="shared" si="80"/>
        <v>1.0000000000000011</v>
      </c>
      <c r="Z79" s="89">
        <f t="shared" si="56"/>
        <v>1.0000000000000011</v>
      </c>
      <c r="AB79" s="92">
        <f>(IF('Parameters &amp; DSA'!$H$1=1,(('Parameters &amp; DSA'!$B$76+'Parameters &amp; DSA'!$B$84+'Parameters &amp; DSA'!$B$88+'Parameters &amp; DSA'!$B$92)*($K79))/(1+cDC)^$A79,(('Parameters &amp; DSA'!$B$76+'Parameters &amp; DSA'!$B$84)*($K79))))*($AD$2/$AF$2)</f>
        <v>0</v>
      </c>
      <c r="AC79" s="371">
        <f>(IF('Parameters &amp; DSA'!$H$1=1,(('Parameters &amp; DSA'!$B$76+'Parameters &amp; DSA'!$B$84+'Parameters &amp; DSA'!$B$88+'Parameters &amp; DSA'!$B$92)*($M79+$N79))/(1+cDC)^$A79,(('Parameters &amp; DSA'!$B$76+'Parameters &amp; DSA'!$B$84)*($M79+$N79))))*($AD$2/$AF$2)</f>
        <v>0</v>
      </c>
      <c r="AD79" s="371">
        <f>(IF('Parameters &amp; DSA'!$H$1=1,(('Parameters &amp; DSA'!$B$76+'Parameters &amp; DSA'!$B$84+'Parameters &amp; DSA'!$B$88+'Parameters &amp; DSA'!$B$92)*(P79+Q79))/(1+cDC)^$A79,(('Parameters &amp; DSA'!$B$76+'Parameters &amp; DSA'!$B$84)*(P79+Q79))))*($AD$2/$AF$2)</f>
        <v>0</v>
      </c>
      <c r="AE79" s="371">
        <f>(IF('Parameters &amp; DSA'!$H$1=1,(('Parameters &amp; DSA'!$B$76+'Parameters &amp; DSA'!$B$84+'Parameters &amp; DSA'!$B$88+'Parameters &amp; DSA'!$B$92)*(S79+T79))/(1+cDC)^$A79,(('Parameters &amp; DSA'!$B$76+'Parameters &amp; DSA'!$B$84)*(S79+T79))))*($AD$2/$AF$2)</f>
        <v>0</v>
      </c>
      <c r="AF79" s="371">
        <f>(IF('Parameters &amp; DSA'!$H$1=1,(((W79-W78)*cM_Dialysis0)+(W79*cM_Dialysis1))/(1+'Parameters &amp; DSA'!$B$6)^$A79,(((W79-W78)*cM_Dialysis0)+(W79*cM_Dialysis1))))*($AD$2/$AG$2)</f>
        <v>0</v>
      </c>
      <c r="AG79" s="93">
        <f t="shared" si="81"/>
        <v>0</v>
      </c>
      <c r="AI79" s="88">
        <f t="shared" si="57"/>
        <v>0</v>
      </c>
      <c r="AJ79" s="27">
        <f t="shared" si="58"/>
        <v>0</v>
      </c>
      <c r="AK79" s="27">
        <f t="shared" si="59"/>
        <v>0</v>
      </c>
      <c r="AL79" s="27">
        <f t="shared" si="60"/>
        <v>0</v>
      </c>
      <c r="AM79" s="27">
        <f t="shared" si="61"/>
        <v>0</v>
      </c>
      <c r="AN79" s="27">
        <f t="shared" si="62"/>
        <v>0</v>
      </c>
      <c r="AO79" s="27">
        <f t="shared" si="63"/>
        <v>0</v>
      </c>
      <c r="AP79" s="27">
        <f t="shared" si="64"/>
        <v>0</v>
      </c>
      <c r="AQ79" s="27">
        <f t="shared" si="65"/>
        <v>0</v>
      </c>
      <c r="AR79" s="27">
        <f t="shared" si="66"/>
        <v>0</v>
      </c>
      <c r="AS79" s="27">
        <f t="shared" si="82"/>
        <v>0</v>
      </c>
      <c r="AT79" s="89">
        <f t="shared" si="83"/>
        <v>0</v>
      </c>
    </row>
    <row r="80" spans="1:46">
      <c r="A80" s="80">
        <v>76</v>
      </c>
      <c r="C80" s="10">
        <f t="shared" si="84"/>
        <v>118</v>
      </c>
      <c r="D80" s="98" t="str" cm="1">
        <f t="array" ref="D80">_xlfn.IFS(C80&lt;=4,"1-4",C80&lt;=9,"5-9",C80&lt;=14,"10-14",C80&lt;=19,"15-19",C80&lt;=24,"20-24",C80&lt;=29,"25-29",C80&lt;=34,"30-34",C80&lt;=39,"35-39",C80&lt;=44,"40-44",C80&lt;=49,"45-49",C80&lt;=54,"50-54",C80&lt;=54,"50-54",C80&lt;=59,"55-59",C80&lt;=64,"60-64",C80&lt;=69,"65-69",C80&lt;=74,"70-74",C80&lt;=79,"75-79",C80&lt;=84,"80-84",C80&gt;84,"85+")</f>
        <v>85+</v>
      </c>
      <c r="E80" s="83">
        <f>IF(D80="85+",1,VLOOKUP(D80,'Life table 2014'!$AF$3:$AR$21,7,FALSE))</f>
        <v>1</v>
      </c>
      <c r="F80" s="72"/>
      <c r="G80" s="316">
        <f t="shared" si="67"/>
        <v>27740</v>
      </c>
      <c r="H80" s="27">
        <f>'Parameters &amp; DSA'!$B$119*G80^'Parameters &amp; DSA'!$B$120</f>
        <v>3.5903606786472535</v>
      </c>
      <c r="I80" s="314">
        <f t="shared" si="85"/>
        <v>4.9486794240070076E-2</v>
      </c>
      <c r="J80" s="72"/>
      <c r="K80" s="140">
        <f t="shared" si="68"/>
        <v>0</v>
      </c>
      <c r="L80" s="141">
        <f t="shared" si="69"/>
        <v>0</v>
      </c>
      <c r="M80" s="141">
        <f t="shared" si="70"/>
        <v>0</v>
      </c>
      <c r="N80" s="27">
        <f t="shared" si="71"/>
        <v>0</v>
      </c>
      <c r="O80" s="27">
        <f t="shared" si="72"/>
        <v>0</v>
      </c>
      <c r="P80" s="27">
        <f t="shared" si="73"/>
        <v>0</v>
      </c>
      <c r="Q80" s="27">
        <f t="shared" si="74"/>
        <v>0</v>
      </c>
      <c r="R80" s="27">
        <f t="shared" si="75"/>
        <v>0</v>
      </c>
      <c r="S80" s="27">
        <f t="shared" si="76"/>
        <v>0</v>
      </c>
      <c r="T80" s="27">
        <f t="shared" si="77"/>
        <v>0</v>
      </c>
      <c r="U80" s="27">
        <f t="shared" si="78"/>
        <v>0</v>
      </c>
      <c r="V80" s="27">
        <f t="shared" si="79"/>
        <v>0</v>
      </c>
      <c r="W80" s="27">
        <f t="shared" si="86"/>
        <v>0</v>
      </c>
      <c r="X80" s="27">
        <f t="shared" si="87"/>
        <v>0</v>
      </c>
      <c r="Y80" s="142">
        <f t="shared" si="80"/>
        <v>1.0000000000000011</v>
      </c>
      <c r="Z80" s="89">
        <f t="shared" si="56"/>
        <v>1.0000000000000011</v>
      </c>
      <c r="AB80" s="92">
        <f>(IF('Parameters &amp; DSA'!$H$1=1,(('Parameters &amp; DSA'!$B$76+'Parameters &amp; DSA'!$B$84+'Parameters &amp; DSA'!$B$88+'Parameters &amp; DSA'!$B$92)*($K80))/(1+cDC)^$A80,(('Parameters &amp; DSA'!$B$76+'Parameters &amp; DSA'!$B$84)*($K80))))*($AD$2/$AF$2)</f>
        <v>0</v>
      </c>
      <c r="AC80" s="371">
        <f>(IF('Parameters &amp; DSA'!$H$1=1,(('Parameters &amp; DSA'!$B$76+'Parameters &amp; DSA'!$B$84+'Parameters &amp; DSA'!$B$88+'Parameters &amp; DSA'!$B$92)*($M80+$N80))/(1+cDC)^$A80,(('Parameters &amp; DSA'!$B$76+'Parameters &amp; DSA'!$B$84)*($M80+$N80))))*($AD$2/$AF$2)</f>
        <v>0</v>
      </c>
      <c r="AD80" s="371">
        <f>(IF('Parameters &amp; DSA'!$H$1=1,(('Parameters &amp; DSA'!$B$76+'Parameters &amp; DSA'!$B$84+'Parameters &amp; DSA'!$B$88+'Parameters &amp; DSA'!$B$92)*(P80+Q80))/(1+cDC)^$A80,(('Parameters &amp; DSA'!$B$76+'Parameters &amp; DSA'!$B$84)*(P80+Q80))))*($AD$2/$AF$2)</f>
        <v>0</v>
      </c>
      <c r="AE80" s="371">
        <f>(IF('Parameters &amp; DSA'!$H$1=1,(('Parameters &amp; DSA'!$B$76+'Parameters &amp; DSA'!$B$84+'Parameters &amp; DSA'!$B$88+'Parameters &amp; DSA'!$B$92)*(S80+T80))/(1+cDC)^$A80,(('Parameters &amp; DSA'!$B$76+'Parameters &amp; DSA'!$B$84)*(S80+T80))))*($AD$2/$AF$2)</f>
        <v>0</v>
      </c>
      <c r="AF80" s="371">
        <f>(IF('Parameters &amp; DSA'!$H$1=1,(((W80-W79)*cM_Dialysis0)+(W80*cM_Dialysis1))/(1+'Parameters &amp; DSA'!$B$6)^$A80,(((W80-W79)*cM_Dialysis0)+(W80*cM_Dialysis1))))*($AD$2/$AG$2)</f>
        <v>0</v>
      </c>
      <c r="AG80" s="93">
        <f t="shared" si="81"/>
        <v>0</v>
      </c>
      <c r="AI80" s="88">
        <f t="shared" si="57"/>
        <v>0</v>
      </c>
      <c r="AJ80" s="27">
        <f t="shared" si="58"/>
        <v>0</v>
      </c>
      <c r="AK80" s="27">
        <f t="shared" si="59"/>
        <v>0</v>
      </c>
      <c r="AL80" s="27">
        <f t="shared" si="60"/>
        <v>0</v>
      </c>
      <c r="AM80" s="27">
        <f t="shared" si="61"/>
        <v>0</v>
      </c>
      <c r="AN80" s="27">
        <f t="shared" si="62"/>
        <v>0</v>
      </c>
      <c r="AO80" s="27">
        <f t="shared" si="63"/>
        <v>0</v>
      </c>
      <c r="AP80" s="27">
        <f t="shared" si="64"/>
        <v>0</v>
      </c>
      <c r="AQ80" s="27">
        <f t="shared" si="65"/>
        <v>0</v>
      </c>
      <c r="AR80" s="27">
        <f t="shared" si="66"/>
        <v>0</v>
      </c>
      <c r="AS80" s="27">
        <f t="shared" si="82"/>
        <v>0</v>
      </c>
      <c r="AT80" s="89">
        <f t="shared" si="83"/>
        <v>0</v>
      </c>
    </row>
    <row r="81" spans="1:46">
      <c r="A81" s="80">
        <v>77</v>
      </c>
      <c r="C81" s="10">
        <f t="shared" si="84"/>
        <v>119</v>
      </c>
      <c r="D81" s="98" t="str" cm="1">
        <f t="array" ref="D81">_xlfn.IFS(C81&lt;=4,"1-4",C81&lt;=9,"5-9",C81&lt;=14,"10-14",C81&lt;=19,"15-19",C81&lt;=24,"20-24",C81&lt;=29,"25-29",C81&lt;=34,"30-34",C81&lt;=39,"35-39",C81&lt;=44,"40-44",C81&lt;=49,"45-49",C81&lt;=54,"50-54",C81&lt;=54,"50-54",C81&lt;=59,"55-59",C81&lt;=64,"60-64",C81&lt;=69,"65-69",C81&lt;=74,"70-74",C81&lt;=79,"75-79",C81&lt;=84,"80-84",C81&gt;84,"85+")</f>
        <v>85+</v>
      </c>
      <c r="E81" s="83">
        <f>IF(D81="85+",1,VLOOKUP(D81,'Life table 2014'!$AF$3:$AR$21,7,FALSE))</f>
        <v>1</v>
      </c>
      <c r="F81" s="72"/>
      <c r="G81" s="316">
        <f t="shared" si="67"/>
        <v>28105</v>
      </c>
      <c r="H81" s="27">
        <f>'Parameters &amp; DSA'!$B$119*G81^'Parameters &amp; DSA'!$B$120</f>
        <v>3.6411639236884201</v>
      </c>
      <c r="I81" s="314">
        <f t="shared" si="85"/>
        <v>4.953433903182769E-2</v>
      </c>
      <c r="J81" s="72"/>
      <c r="K81" s="140">
        <f t="shared" si="68"/>
        <v>0</v>
      </c>
      <c r="L81" s="141">
        <f t="shared" si="69"/>
        <v>0</v>
      </c>
      <c r="M81" s="141">
        <f t="shared" si="70"/>
        <v>0</v>
      </c>
      <c r="N81" s="27">
        <f t="shared" si="71"/>
        <v>0</v>
      </c>
      <c r="O81" s="27">
        <f t="shared" si="72"/>
        <v>0</v>
      </c>
      <c r="P81" s="27">
        <f t="shared" si="73"/>
        <v>0</v>
      </c>
      <c r="Q81" s="27">
        <f t="shared" si="74"/>
        <v>0</v>
      </c>
      <c r="R81" s="27">
        <f t="shared" si="75"/>
        <v>0</v>
      </c>
      <c r="S81" s="27">
        <f t="shared" si="76"/>
        <v>0</v>
      </c>
      <c r="T81" s="27">
        <f t="shared" si="77"/>
        <v>0</v>
      </c>
      <c r="U81" s="27">
        <f t="shared" si="78"/>
        <v>0</v>
      </c>
      <c r="V81" s="27">
        <f t="shared" si="79"/>
        <v>0</v>
      </c>
      <c r="W81" s="27">
        <f t="shared" si="86"/>
        <v>0</v>
      </c>
      <c r="X81" s="27">
        <f t="shared" si="87"/>
        <v>0</v>
      </c>
      <c r="Y81" s="142">
        <f t="shared" si="80"/>
        <v>1.0000000000000011</v>
      </c>
      <c r="Z81" s="89">
        <f t="shared" si="56"/>
        <v>1.0000000000000011</v>
      </c>
      <c r="AB81" s="92">
        <f>(IF('Parameters &amp; DSA'!$H$1=1,(('Parameters &amp; DSA'!$B$76+'Parameters &amp; DSA'!$B$84+'Parameters &amp; DSA'!$B$88+'Parameters &amp; DSA'!$B$92)*($K81))/(1+cDC)^$A81,(('Parameters &amp; DSA'!$B$76+'Parameters &amp; DSA'!$B$84)*($K81))))*($AD$2/$AF$2)</f>
        <v>0</v>
      </c>
      <c r="AC81" s="371">
        <f>(IF('Parameters &amp; DSA'!$H$1=1,(('Parameters &amp; DSA'!$B$76+'Parameters &amp; DSA'!$B$84+'Parameters &amp; DSA'!$B$88+'Parameters &amp; DSA'!$B$92)*($M81+$N81))/(1+cDC)^$A81,(('Parameters &amp; DSA'!$B$76+'Parameters &amp; DSA'!$B$84)*($M81+$N81))))*($AD$2/$AF$2)</f>
        <v>0</v>
      </c>
      <c r="AD81" s="371">
        <f>(IF('Parameters &amp; DSA'!$H$1=1,(('Parameters &amp; DSA'!$B$76+'Parameters &amp; DSA'!$B$84+'Parameters &amp; DSA'!$B$88+'Parameters &amp; DSA'!$B$92)*(P81+Q81))/(1+cDC)^$A81,(('Parameters &amp; DSA'!$B$76+'Parameters &amp; DSA'!$B$84)*(P81+Q81))))*($AD$2/$AF$2)</f>
        <v>0</v>
      </c>
      <c r="AE81" s="371">
        <f>(IF('Parameters &amp; DSA'!$H$1=1,(('Parameters &amp; DSA'!$B$76+'Parameters &amp; DSA'!$B$84+'Parameters &amp; DSA'!$B$88+'Parameters &amp; DSA'!$B$92)*(S81+T81))/(1+cDC)^$A81,(('Parameters &amp; DSA'!$B$76+'Parameters &amp; DSA'!$B$84)*(S81+T81))))*($AD$2/$AF$2)</f>
        <v>0</v>
      </c>
      <c r="AF81" s="371">
        <f>(IF('Parameters &amp; DSA'!$H$1=1,(((W81-W80)*cM_Dialysis0)+(W81*cM_Dialysis1))/(1+'Parameters &amp; DSA'!$B$6)^$A81,(((W81-W80)*cM_Dialysis0)+(W81*cM_Dialysis1))))*($AD$2/$AG$2)</f>
        <v>0</v>
      </c>
      <c r="AG81" s="93">
        <f t="shared" si="81"/>
        <v>0</v>
      </c>
      <c r="AI81" s="88">
        <f t="shared" si="57"/>
        <v>0</v>
      </c>
      <c r="AJ81" s="27">
        <f t="shared" si="58"/>
        <v>0</v>
      </c>
      <c r="AK81" s="27">
        <f t="shared" si="59"/>
        <v>0</v>
      </c>
      <c r="AL81" s="27">
        <f t="shared" si="60"/>
        <v>0</v>
      </c>
      <c r="AM81" s="27">
        <f t="shared" si="61"/>
        <v>0</v>
      </c>
      <c r="AN81" s="27">
        <f t="shared" si="62"/>
        <v>0</v>
      </c>
      <c r="AO81" s="27">
        <f t="shared" si="63"/>
        <v>0</v>
      </c>
      <c r="AP81" s="27">
        <f t="shared" si="64"/>
        <v>0</v>
      </c>
      <c r="AQ81" s="27">
        <f t="shared" si="65"/>
        <v>0</v>
      </c>
      <c r="AR81" s="27">
        <f t="shared" si="66"/>
        <v>0</v>
      </c>
      <c r="AS81" s="27">
        <f t="shared" si="82"/>
        <v>0</v>
      </c>
      <c r="AT81" s="89">
        <f t="shared" si="83"/>
        <v>0</v>
      </c>
    </row>
    <row r="82" spans="1:46">
      <c r="A82" s="80">
        <v>78</v>
      </c>
      <c r="C82" s="10">
        <f t="shared" si="84"/>
        <v>120</v>
      </c>
      <c r="D82" s="98" t="str" cm="1">
        <f t="array" ref="D82">_xlfn.IFS(C82&lt;=4,"1-4",C82&lt;=9,"5-9",C82&lt;=14,"10-14",C82&lt;=19,"15-19",C82&lt;=24,"20-24",C82&lt;=29,"25-29",C82&lt;=34,"30-34",C82&lt;=39,"35-39",C82&lt;=44,"40-44",C82&lt;=49,"45-49",C82&lt;=54,"50-54",C82&lt;=54,"50-54",C82&lt;=59,"55-59",C82&lt;=64,"60-64",C82&lt;=69,"65-69",C82&lt;=74,"70-74",C82&lt;=79,"75-79",C82&lt;=84,"80-84",C82&gt;84,"85+")</f>
        <v>85+</v>
      </c>
      <c r="E82" s="83">
        <f>IF(D82="85+",1,VLOOKUP(D82,'Life table 2014'!$AF$3:$AR$21,7,FALSE))</f>
        <v>1</v>
      </c>
      <c r="F82" s="72"/>
      <c r="G82" s="316">
        <f t="shared" si="67"/>
        <v>28470</v>
      </c>
      <c r="H82" s="27">
        <f>'Parameters &amp; DSA'!$B$119*G82^'Parameters &amp; DSA'!$B$120</f>
        <v>3.6920165887880727</v>
      </c>
      <c r="I82" s="314">
        <f t="shared" si="85"/>
        <v>4.9581309939719542E-2</v>
      </c>
      <c r="J82" s="72"/>
      <c r="K82" s="140">
        <f t="shared" si="68"/>
        <v>0</v>
      </c>
      <c r="L82" s="141">
        <f t="shared" si="69"/>
        <v>0</v>
      </c>
      <c r="M82" s="141">
        <f t="shared" si="70"/>
        <v>0</v>
      </c>
      <c r="N82" s="27">
        <f t="shared" si="71"/>
        <v>0</v>
      </c>
      <c r="O82" s="27">
        <f t="shared" si="72"/>
        <v>0</v>
      </c>
      <c r="P82" s="27">
        <f t="shared" si="73"/>
        <v>0</v>
      </c>
      <c r="Q82" s="27">
        <f t="shared" si="74"/>
        <v>0</v>
      </c>
      <c r="R82" s="27">
        <f t="shared" si="75"/>
        <v>0</v>
      </c>
      <c r="S82" s="27">
        <f t="shared" si="76"/>
        <v>0</v>
      </c>
      <c r="T82" s="27">
        <f t="shared" si="77"/>
        <v>0</v>
      </c>
      <c r="U82" s="27">
        <f t="shared" si="78"/>
        <v>0</v>
      </c>
      <c r="V82" s="27">
        <f t="shared" si="79"/>
        <v>0</v>
      </c>
      <c r="W82" s="27">
        <f t="shared" si="86"/>
        <v>0</v>
      </c>
      <c r="X82" s="27">
        <f t="shared" si="87"/>
        <v>0</v>
      </c>
      <c r="Y82" s="142">
        <f t="shared" si="80"/>
        <v>1.0000000000000011</v>
      </c>
      <c r="Z82" s="89">
        <f t="shared" si="56"/>
        <v>1.0000000000000011</v>
      </c>
      <c r="AB82" s="92">
        <f>(IF('Parameters &amp; DSA'!$H$1=1,(('Parameters &amp; DSA'!$B$76+'Parameters &amp; DSA'!$B$84+'Parameters &amp; DSA'!$B$88+'Parameters &amp; DSA'!$B$92)*($K82))/(1+cDC)^$A82,(('Parameters &amp; DSA'!$B$76+'Parameters &amp; DSA'!$B$84)*($K82))))*($AD$2/$AF$2)</f>
        <v>0</v>
      </c>
      <c r="AC82" s="371">
        <f>(IF('Parameters &amp; DSA'!$H$1=1,(('Parameters &amp; DSA'!$B$76+'Parameters &amp; DSA'!$B$84+'Parameters &amp; DSA'!$B$88+'Parameters &amp; DSA'!$B$92)*($M82+$N82))/(1+cDC)^$A82,(('Parameters &amp; DSA'!$B$76+'Parameters &amp; DSA'!$B$84)*($M82+$N82))))*($AD$2/$AF$2)</f>
        <v>0</v>
      </c>
      <c r="AD82" s="371">
        <f>(IF('Parameters &amp; DSA'!$H$1=1,(('Parameters &amp; DSA'!$B$76+'Parameters &amp; DSA'!$B$84+'Parameters &amp; DSA'!$B$88+'Parameters &amp; DSA'!$B$92)*(P82+Q82))/(1+cDC)^$A82,(('Parameters &amp; DSA'!$B$76+'Parameters &amp; DSA'!$B$84)*(P82+Q82))))*($AD$2/$AF$2)</f>
        <v>0</v>
      </c>
      <c r="AE82" s="371">
        <f>(IF('Parameters &amp; DSA'!$H$1=1,(('Parameters &amp; DSA'!$B$76+'Parameters &amp; DSA'!$B$84+'Parameters &amp; DSA'!$B$88+'Parameters &amp; DSA'!$B$92)*(S82+T82))/(1+cDC)^$A82,(('Parameters &amp; DSA'!$B$76+'Parameters &amp; DSA'!$B$84)*(S82+T82))))*($AD$2/$AF$2)</f>
        <v>0</v>
      </c>
      <c r="AF82" s="371">
        <f>(IF('Parameters &amp; DSA'!$H$1=1,(((W82-W81)*cM_Dialysis0)+(W82*cM_Dialysis1))/(1+'Parameters &amp; DSA'!$B$6)^$A82,(((W82-W81)*cM_Dialysis0)+(W82*cM_Dialysis1))))*($AD$2/$AG$2)</f>
        <v>0</v>
      </c>
      <c r="AG82" s="93">
        <f t="shared" si="81"/>
        <v>0</v>
      </c>
      <c r="AI82" s="88">
        <f t="shared" si="57"/>
        <v>0</v>
      </c>
      <c r="AJ82" s="27">
        <f t="shared" si="58"/>
        <v>0</v>
      </c>
      <c r="AK82" s="27">
        <f t="shared" si="59"/>
        <v>0</v>
      </c>
      <c r="AL82" s="27">
        <f t="shared" si="60"/>
        <v>0</v>
      </c>
      <c r="AM82" s="27">
        <f t="shared" si="61"/>
        <v>0</v>
      </c>
      <c r="AN82" s="27">
        <f t="shared" si="62"/>
        <v>0</v>
      </c>
      <c r="AO82" s="27">
        <f t="shared" si="63"/>
        <v>0</v>
      </c>
      <c r="AP82" s="27">
        <f t="shared" si="64"/>
        <v>0</v>
      </c>
      <c r="AQ82" s="27">
        <f t="shared" si="65"/>
        <v>0</v>
      </c>
      <c r="AR82" s="27">
        <f t="shared" si="66"/>
        <v>0</v>
      </c>
      <c r="AS82" s="27">
        <f t="shared" si="82"/>
        <v>0</v>
      </c>
      <c r="AT82" s="89">
        <f t="shared" si="83"/>
        <v>0</v>
      </c>
    </row>
    <row r="83" spans="1:46">
      <c r="A83" s="80">
        <v>79</v>
      </c>
      <c r="C83" s="10">
        <f t="shared" si="84"/>
        <v>121</v>
      </c>
      <c r="D83" s="98" t="str" cm="1">
        <f t="array" ref="D83">_xlfn.IFS(C83&lt;=4,"1-4",C83&lt;=9,"5-9",C83&lt;=14,"10-14",C83&lt;=19,"15-19",C83&lt;=24,"20-24",C83&lt;=29,"25-29",C83&lt;=34,"30-34",C83&lt;=39,"35-39",C83&lt;=44,"40-44",C83&lt;=49,"45-49",C83&lt;=54,"50-54",C83&lt;=54,"50-54",C83&lt;=59,"55-59",C83&lt;=64,"60-64",C83&lt;=69,"65-69",C83&lt;=74,"70-74",C83&lt;=79,"75-79",C83&lt;=84,"80-84",C83&gt;84,"85+")</f>
        <v>85+</v>
      </c>
      <c r="E83" s="83">
        <f>IF(D83="85+",1,VLOOKUP(D83,'Life table 2014'!$AF$3:$AR$21,7,FALSE))</f>
        <v>1</v>
      </c>
      <c r="F83" s="72"/>
      <c r="G83" s="316">
        <f t="shared" si="67"/>
        <v>28835</v>
      </c>
      <c r="H83" s="27">
        <f>'Parameters &amp; DSA'!$B$119*G83^'Parameters &amp; DSA'!$B$120</f>
        <v>3.7429180874758061</v>
      </c>
      <c r="I83" s="314">
        <f t="shared" si="85"/>
        <v>4.9627721161311866E-2</v>
      </c>
      <c r="J83" s="72"/>
      <c r="K83" s="140">
        <f t="shared" si="68"/>
        <v>0</v>
      </c>
      <c r="L83" s="141">
        <f t="shared" si="69"/>
        <v>0</v>
      </c>
      <c r="M83" s="141">
        <f t="shared" si="70"/>
        <v>0</v>
      </c>
      <c r="N83" s="27">
        <f t="shared" si="71"/>
        <v>0</v>
      </c>
      <c r="O83" s="27">
        <f t="shared" si="72"/>
        <v>0</v>
      </c>
      <c r="P83" s="27">
        <f t="shared" si="73"/>
        <v>0</v>
      </c>
      <c r="Q83" s="27">
        <f t="shared" si="74"/>
        <v>0</v>
      </c>
      <c r="R83" s="27">
        <f t="shared" si="75"/>
        <v>0</v>
      </c>
      <c r="S83" s="27">
        <f t="shared" si="76"/>
        <v>0</v>
      </c>
      <c r="T83" s="27">
        <f t="shared" si="77"/>
        <v>0</v>
      </c>
      <c r="U83" s="27">
        <f t="shared" si="78"/>
        <v>0</v>
      </c>
      <c r="V83" s="27">
        <f t="shared" si="79"/>
        <v>0</v>
      </c>
      <c r="W83" s="27">
        <f t="shared" si="86"/>
        <v>0</v>
      </c>
      <c r="X83" s="27">
        <f t="shared" si="87"/>
        <v>0</v>
      </c>
      <c r="Y83" s="142">
        <f t="shared" si="80"/>
        <v>1.0000000000000011</v>
      </c>
      <c r="Z83" s="89">
        <f t="shared" si="56"/>
        <v>1.0000000000000011</v>
      </c>
      <c r="AB83" s="92">
        <f>(IF('Parameters &amp; DSA'!$H$1=1,(('Parameters &amp; DSA'!$B$76+'Parameters &amp; DSA'!$B$84+'Parameters &amp; DSA'!$B$88+'Parameters &amp; DSA'!$B$92)*($K83))/(1+cDC)^$A83,(('Parameters &amp; DSA'!$B$76+'Parameters &amp; DSA'!$B$84)*($K83))))*($AD$2/$AF$2)</f>
        <v>0</v>
      </c>
      <c r="AC83" s="371">
        <f>(IF('Parameters &amp; DSA'!$H$1=1,(('Parameters &amp; DSA'!$B$76+'Parameters &amp; DSA'!$B$84+'Parameters &amp; DSA'!$B$88+'Parameters &amp; DSA'!$B$92)*($M83+$N83))/(1+cDC)^$A83,(('Parameters &amp; DSA'!$B$76+'Parameters &amp; DSA'!$B$84)*($M83+$N83))))*($AD$2/$AF$2)</f>
        <v>0</v>
      </c>
      <c r="AD83" s="371">
        <f>(IF('Parameters &amp; DSA'!$H$1=1,(('Parameters &amp; DSA'!$B$76+'Parameters &amp; DSA'!$B$84+'Parameters &amp; DSA'!$B$88+'Parameters &amp; DSA'!$B$92)*(P83+Q83))/(1+cDC)^$A83,(('Parameters &amp; DSA'!$B$76+'Parameters &amp; DSA'!$B$84)*(P83+Q83))))*($AD$2/$AF$2)</f>
        <v>0</v>
      </c>
      <c r="AE83" s="371">
        <f>(IF('Parameters &amp; DSA'!$H$1=1,(('Parameters &amp; DSA'!$B$76+'Parameters &amp; DSA'!$B$84+'Parameters &amp; DSA'!$B$88+'Parameters &amp; DSA'!$B$92)*(S83+T83))/(1+cDC)^$A83,(('Parameters &amp; DSA'!$B$76+'Parameters &amp; DSA'!$B$84)*(S83+T83))))*($AD$2/$AF$2)</f>
        <v>0</v>
      </c>
      <c r="AF83" s="371">
        <f>(IF('Parameters &amp; DSA'!$H$1=1,(((W83-W82)*cM_Dialysis0)+(W83*cM_Dialysis1))/(1+'Parameters &amp; DSA'!$B$6)^$A83,(((W83-W82)*cM_Dialysis0)+(W83*cM_Dialysis1))))*($AD$2/$AG$2)</f>
        <v>0</v>
      </c>
      <c r="AG83" s="93">
        <f t="shared" si="81"/>
        <v>0</v>
      </c>
      <c r="AI83" s="88">
        <f t="shared" si="57"/>
        <v>0</v>
      </c>
      <c r="AJ83" s="27">
        <f t="shared" si="58"/>
        <v>0</v>
      </c>
      <c r="AK83" s="27">
        <f t="shared" si="59"/>
        <v>0</v>
      </c>
      <c r="AL83" s="27">
        <f t="shared" si="60"/>
        <v>0</v>
      </c>
      <c r="AM83" s="27">
        <f t="shared" si="61"/>
        <v>0</v>
      </c>
      <c r="AN83" s="27">
        <f t="shared" si="62"/>
        <v>0</v>
      </c>
      <c r="AO83" s="27">
        <f t="shared" si="63"/>
        <v>0</v>
      </c>
      <c r="AP83" s="27">
        <f t="shared" si="64"/>
        <v>0</v>
      </c>
      <c r="AQ83" s="27">
        <f t="shared" si="65"/>
        <v>0</v>
      </c>
      <c r="AR83" s="27">
        <f t="shared" si="66"/>
        <v>0</v>
      </c>
      <c r="AS83" s="27">
        <f t="shared" si="82"/>
        <v>0</v>
      </c>
      <c r="AT83" s="89">
        <f t="shared" si="83"/>
        <v>0</v>
      </c>
    </row>
    <row r="84" spans="1:46">
      <c r="A84" s="80">
        <v>80</v>
      </c>
      <c r="C84" s="10">
        <f t="shared" si="84"/>
        <v>122</v>
      </c>
      <c r="D84" s="98" t="str" cm="1">
        <f t="array" ref="D84">_xlfn.IFS(C84&lt;=4,"1-4",C84&lt;=9,"5-9",C84&lt;=14,"10-14",C84&lt;=19,"15-19",C84&lt;=24,"20-24",C84&lt;=29,"25-29",C84&lt;=34,"30-34",C84&lt;=39,"35-39",C84&lt;=44,"40-44",C84&lt;=49,"45-49",C84&lt;=54,"50-54",C84&lt;=54,"50-54",C84&lt;=59,"55-59",C84&lt;=64,"60-64",C84&lt;=69,"65-69",C84&lt;=74,"70-74",C84&lt;=79,"75-79",C84&lt;=84,"80-84",C84&gt;84,"85+")</f>
        <v>85+</v>
      </c>
      <c r="E84" s="83">
        <f>IF(D84="85+",1,VLOOKUP(D84,'Life table 2014'!$AF$3:$AR$21,7,FALSE))</f>
        <v>1</v>
      </c>
      <c r="F84" s="72"/>
      <c r="G84" s="316">
        <f t="shared" si="67"/>
        <v>29200</v>
      </c>
      <c r="H84" s="27">
        <f>'Parameters &amp; DSA'!$B$119*G84^'Parameters &amp; DSA'!$B$120</f>
        <v>3.7938678475807368</v>
      </c>
      <c r="I84" s="314">
        <f t="shared" si="85"/>
        <v>4.9673586367584788E-2</v>
      </c>
      <c r="J84" s="72"/>
      <c r="K84" s="140">
        <f t="shared" si="68"/>
        <v>0</v>
      </c>
      <c r="L84" s="141">
        <f t="shared" si="69"/>
        <v>0</v>
      </c>
      <c r="M84" s="141">
        <f t="shared" si="70"/>
        <v>0</v>
      </c>
      <c r="N84" s="27">
        <f t="shared" si="71"/>
        <v>0</v>
      </c>
      <c r="O84" s="27">
        <f t="shared" si="72"/>
        <v>0</v>
      </c>
      <c r="P84" s="27">
        <f t="shared" si="73"/>
        <v>0</v>
      </c>
      <c r="Q84" s="27">
        <f t="shared" si="74"/>
        <v>0</v>
      </c>
      <c r="R84" s="27">
        <f t="shared" si="75"/>
        <v>0</v>
      </c>
      <c r="S84" s="27">
        <f t="shared" si="76"/>
        <v>0</v>
      </c>
      <c r="T84" s="27">
        <f t="shared" si="77"/>
        <v>0</v>
      </c>
      <c r="U84" s="27">
        <f t="shared" si="78"/>
        <v>0</v>
      </c>
      <c r="V84" s="27">
        <f t="shared" si="79"/>
        <v>0</v>
      </c>
      <c r="W84" s="27">
        <f t="shared" si="86"/>
        <v>0</v>
      </c>
      <c r="X84" s="27">
        <f t="shared" si="87"/>
        <v>0</v>
      </c>
      <c r="Y84" s="142">
        <f t="shared" si="80"/>
        <v>1.0000000000000011</v>
      </c>
      <c r="Z84" s="89">
        <f t="shared" si="56"/>
        <v>1.0000000000000011</v>
      </c>
      <c r="AB84" s="92">
        <f>(IF('Parameters &amp; DSA'!$H$1=1,(('Parameters &amp; DSA'!$B$76+'Parameters &amp; DSA'!$B$84+'Parameters &amp; DSA'!$B$88+'Parameters &amp; DSA'!$B$92)*($K84))/(1+cDC)^$A84,(('Parameters &amp; DSA'!$B$76+'Parameters &amp; DSA'!$B$84)*($K84))))*($AD$2/$AF$2)</f>
        <v>0</v>
      </c>
      <c r="AC84" s="371">
        <f>(IF('Parameters &amp; DSA'!$H$1=1,(('Parameters &amp; DSA'!$B$76+'Parameters &amp; DSA'!$B$84+'Parameters &amp; DSA'!$B$88+'Parameters &amp; DSA'!$B$92)*($M84+$N84))/(1+cDC)^$A84,(('Parameters &amp; DSA'!$B$76+'Parameters &amp; DSA'!$B$84)*($M84+$N84))))*($AD$2/$AF$2)</f>
        <v>0</v>
      </c>
      <c r="AD84" s="371">
        <f>(IF('Parameters &amp; DSA'!$H$1=1,(('Parameters &amp; DSA'!$B$76+'Parameters &amp; DSA'!$B$84+'Parameters &amp; DSA'!$B$88+'Parameters &amp; DSA'!$B$92)*(P84+Q84))/(1+cDC)^$A84,(('Parameters &amp; DSA'!$B$76+'Parameters &amp; DSA'!$B$84)*(P84+Q84))))*($AD$2/$AF$2)</f>
        <v>0</v>
      </c>
      <c r="AE84" s="371">
        <f>(IF('Parameters &amp; DSA'!$H$1=1,(('Parameters &amp; DSA'!$B$76+'Parameters &amp; DSA'!$B$84+'Parameters &amp; DSA'!$B$88+'Parameters &amp; DSA'!$B$92)*(S84+T84))/(1+cDC)^$A84,(('Parameters &amp; DSA'!$B$76+'Parameters &amp; DSA'!$B$84)*(S84+T84))))*($AD$2/$AF$2)</f>
        <v>0</v>
      </c>
      <c r="AF84" s="371">
        <f>(IF('Parameters &amp; DSA'!$H$1=1,(((W84-W83)*cM_Dialysis0)+(W84*cM_Dialysis1))/(1+'Parameters &amp; DSA'!$B$6)^$A84,(((W84-W83)*cM_Dialysis0)+(W84*cM_Dialysis1))))*($AD$2/$AG$2)</f>
        <v>0</v>
      </c>
      <c r="AG84" s="93">
        <f t="shared" si="81"/>
        <v>0</v>
      </c>
      <c r="AI84" s="88">
        <f t="shared" si="57"/>
        <v>0</v>
      </c>
      <c r="AJ84" s="27">
        <f t="shared" si="58"/>
        <v>0</v>
      </c>
      <c r="AK84" s="27">
        <f t="shared" si="59"/>
        <v>0</v>
      </c>
      <c r="AL84" s="27">
        <f t="shared" si="60"/>
        <v>0</v>
      </c>
      <c r="AM84" s="27">
        <f t="shared" si="61"/>
        <v>0</v>
      </c>
      <c r="AN84" s="27">
        <f t="shared" si="62"/>
        <v>0</v>
      </c>
      <c r="AO84" s="27">
        <f t="shared" si="63"/>
        <v>0</v>
      </c>
      <c r="AP84" s="27">
        <f t="shared" si="64"/>
        <v>0</v>
      </c>
      <c r="AQ84" s="27">
        <f t="shared" si="65"/>
        <v>0</v>
      </c>
      <c r="AR84" s="27">
        <f t="shared" si="66"/>
        <v>0</v>
      </c>
      <c r="AS84" s="27">
        <f t="shared" si="82"/>
        <v>0</v>
      </c>
      <c r="AT84" s="89">
        <f t="shared" si="83"/>
        <v>0</v>
      </c>
    </row>
    <row r="85" spans="1:46">
      <c r="A85" s="80">
        <v>81</v>
      </c>
      <c r="C85" s="10">
        <f t="shared" si="84"/>
        <v>123</v>
      </c>
      <c r="D85" s="98" t="str" cm="1">
        <f t="array" ref="D85">_xlfn.IFS(C85&lt;=4,"1-4",C85&lt;=9,"5-9",C85&lt;=14,"10-14",C85&lt;=19,"15-19",C85&lt;=24,"20-24",C85&lt;=29,"25-29",C85&lt;=34,"30-34",C85&lt;=39,"35-39",C85&lt;=44,"40-44",C85&lt;=49,"45-49",C85&lt;=54,"50-54",C85&lt;=54,"50-54",C85&lt;=59,"55-59",C85&lt;=64,"60-64",C85&lt;=69,"65-69",C85&lt;=74,"70-74",C85&lt;=79,"75-79",C85&lt;=84,"80-84",C85&gt;84,"85+")</f>
        <v>85+</v>
      </c>
      <c r="E85" s="83">
        <f>IF(D85="85+",1,VLOOKUP(D85,'Life table 2014'!$AF$3:$AR$21,7,FALSE))</f>
        <v>1</v>
      </c>
      <c r="F85" s="72"/>
      <c r="G85" s="316">
        <f t="shared" si="67"/>
        <v>29565</v>
      </c>
      <c r="H85" s="27">
        <f>'Parameters &amp; DSA'!$B$119*G85^'Parameters &amp; DSA'!$B$120</f>
        <v>3.8448653107083817</v>
      </c>
      <c r="I85" s="314">
        <f t="shared" si="85"/>
        <v>4.9718918728826278E-2</v>
      </c>
      <c r="J85" s="72"/>
      <c r="K85" s="140">
        <f t="shared" si="68"/>
        <v>0</v>
      </c>
      <c r="L85" s="141">
        <f t="shared" si="69"/>
        <v>0</v>
      </c>
      <c r="M85" s="141">
        <f t="shared" si="70"/>
        <v>0</v>
      </c>
      <c r="N85" s="27">
        <f t="shared" si="71"/>
        <v>0</v>
      </c>
      <c r="O85" s="27">
        <f t="shared" si="72"/>
        <v>0</v>
      </c>
      <c r="P85" s="27">
        <f t="shared" si="73"/>
        <v>0</v>
      </c>
      <c r="Q85" s="27">
        <f t="shared" si="74"/>
        <v>0</v>
      </c>
      <c r="R85" s="27">
        <f t="shared" si="75"/>
        <v>0</v>
      </c>
      <c r="S85" s="27">
        <f t="shared" si="76"/>
        <v>0</v>
      </c>
      <c r="T85" s="27">
        <f t="shared" si="77"/>
        <v>0</v>
      </c>
      <c r="U85" s="27">
        <f t="shared" si="78"/>
        <v>0</v>
      </c>
      <c r="V85" s="27">
        <f t="shared" si="79"/>
        <v>0</v>
      </c>
      <c r="W85" s="27">
        <f t="shared" si="86"/>
        <v>0</v>
      </c>
      <c r="X85" s="27">
        <f t="shared" si="87"/>
        <v>0</v>
      </c>
      <c r="Y85" s="142">
        <f t="shared" si="80"/>
        <v>1.0000000000000011</v>
      </c>
      <c r="Z85" s="89">
        <f t="shared" si="56"/>
        <v>1.0000000000000011</v>
      </c>
      <c r="AB85" s="92">
        <f>(IF('Parameters &amp; DSA'!$H$1=1,(('Parameters &amp; DSA'!$B$76+'Parameters &amp; DSA'!$B$84+'Parameters &amp; DSA'!$B$88+'Parameters &amp; DSA'!$B$92)*($K85))/(1+cDC)^$A85,(('Parameters &amp; DSA'!$B$76+'Parameters &amp; DSA'!$B$84)*($K85))))*($AD$2/$AF$2)</f>
        <v>0</v>
      </c>
      <c r="AC85" s="371">
        <f>(IF('Parameters &amp; DSA'!$H$1=1,(('Parameters &amp; DSA'!$B$76+'Parameters &amp; DSA'!$B$84+'Parameters &amp; DSA'!$B$88+'Parameters &amp; DSA'!$B$92)*($M85+$N85))/(1+cDC)^$A85,(('Parameters &amp; DSA'!$B$76+'Parameters &amp; DSA'!$B$84)*($M85+$N85))))*($AD$2/$AF$2)</f>
        <v>0</v>
      </c>
      <c r="AD85" s="371">
        <f>(IF('Parameters &amp; DSA'!$H$1=1,(('Parameters &amp; DSA'!$B$76+'Parameters &amp; DSA'!$B$84+'Parameters &amp; DSA'!$B$88+'Parameters &amp; DSA'!$B$92)*(P85+Q85))/(1+cDC)^$A85,(('Parameters &amp; DSA'!$B$76+'Parameters &amp; DSA'!$B$84)*(P85+Q85))))*($AD$2/$AF$2)</f>
        <v>0</v>
      </c>
      <c r="AE85" s="371">
        <f>(IF('Parameters &amp; DSA'!$H$1=1,(('Parameters &amp; DSA'!$B$76+'Parameters &amp; DSA'!$B$84+'Parameters &amp; DSA'!$B$88+'Parameters &amp; DSA'!$B$92)*(S85+T85))/(1+cDC)^$A85,(('Parameters &amp; DSA'!$B$76+'Parameters &amp; DSA'!$B$84)*(S85+T85))))*($AD$2/$AF$2)</f>
        <v>0</v>
      </c>
      <c r="AF85" s="371">
        <f>(IF('Parameters &amp; DSA'!$H$1=1,(((W85-W84)*cM_Dialysis0)+(W85*cM_Dialysis1))/(1+'Parameters &amp; DSA'!$B$6)^$A85,(((W85-W84)*cM_Dialysis0)+(W85*cM_Dialysis1))))*($AD$2/$AG$2)</f>
        <v>0</v>
      </c>
      <c r="AG85" s="93">
        <f t="shared" si="81"/>
        <v>0</v>
      </c>
      <c r="AI85" s="88">
        <f t="shared" si="57"/>
        <v>0</v>
      </c>
      <c r="AJ85" s="27">
        <f t="shared" si="58"/>
        <v>0</v>
      </c>
      <c r="AK85" s="27">
        <f t="shared" si="59"/>
        <v>0</v>
      </c>
      <c r="AL85" s="27">
        <f t="shared" si="60"/>
        <v>0</v>
      </c>
      <c r="AM85" s="27">
        <f t="shared" si="61"/>
        <v>0</v>
      </c>
      <c r="AN85" s="27">
        <f t="shared" si="62"/>
        <v>0</v>
      </c>
      <c r="AO85" s="27">
        <f t="shared" si="63"/>
        <v>0</v>
      </c>
      <c r="AP85" s="27">
        <f t="shared" si="64"/>
        <v>0</v>
      </c>
      <c r="AQ85" s="27">
        <f t="shared" si="65"/>
        <v>0</v>
      </c>
      <c r="AR85" s="27">
        <f t="shared" si="66"/>
        <v>0</v>
      </c>
      <c r="AS85" s="27">
        <f t="shared" si="82"/>
        <v>0</v>
      </c>
      <c r="AT85" s="89">
        <f t="shared" si="83"/>
        <v>0</v>
      </c>
    </row>
    <row r="86" spans="1:46">
      <c r="A86" s="80">
        <v>82</v>
      </c>
      <c r="C86" s="10">
        <f t="shared" si="84"/>
        <v>124</v>
      </c>
      <c r="D86" s="98" t="str" cm="1">
        <f t="array" ref="D86">_xlfn.IFS(C86&lt;=4,"1-4",C86&lt;=9,"5-9",C86&lt;=14,"10-14",C86&lt;=19,"15-19",C86&lt;=24,"20-24",C86&lt;=29,"25-29",C86&lt;=34,"30-34",C86&lt;=39,"35-39",C86&lt;=44,"40-44",C86&lt;=49,"45-49",C86&lt;=54,"50-54",C86&lt;=54,"50-54",C86&lt;=59,"55-59",C86&lt;=64,"60-64",C86&lt;=69,"65-69",C86&lt;=74,"70-74",C86&lt;=79,"75-79",C86&lt;=84,"80-84",C86&gt;84,"85+")</f>
        <v>85+</v>
      </c>
      <c r="E86" s="83">
        <f>IF(D86="85+",1,VLOOKUP(D86,'Life table 2014'!$AF$3:$AR$21,7,FALSE))</f>
        <v>1</v>
      </c>
      <c r="F86" s="72"/>
      <c r="G86" s="316">
        <f t="shared" si="67"/>
        <v>29930</v>
      </c>
      <c r="H86" s="27">
        <f>'Parameters &amp; DSA'!$B$119*G86^'Parameters &amp; DSA'!$B$120</f>
        <v>3.8959099317428132</v>
      </c>
      <c r="I86" s="314">
        <f t="shared" si="85"/>
        <v>4.9763730938844675E-2</v>
      </c>
      <c r="J86" s="72"/>
      <c r="K86" s="140">
        <f t="shared" si="68"/>
        <v>0</v>
      </c>
      <c r="L86" s="141">
        <f t="shared" si="69"/>
        <v>0</v>
      </c>
      <c r="M86" s="141">
        <f t="shared" si="70"/>
        <v>0</v>
      </c>
      <c r="N86" s="27">
        <f t="shared" si="71"/>
        <v>0</v>
      </c>
      <c r="O86" s="27">
        <f t="shared" si="72"/>
        <v>0</v>
      </c>
      <c r="P86" s="27">
        <f t="shared" si="73"/>
        <v>0</v>
      </c>
      <c r="Q86" s="27">
        <f t="shared" si="74"/>
        <v>0</v>
      </c>
      <c r="R86" s="27">
        <f t="shared" si="75"/>
        <v>0</v>
      </c>
      <c r="S86" s="27">
        <f t="shared" si="76"/>
        <v>0</v>
      </c>
      <c r="T86" s="27">
        <f t="shared" si="77"/>
        <v>0</v>
      </c>
      <c r="U86" s="27">
        <f t="shared" si="78"/>
        <v>0</v>
      </c>
      <c r="V86" s="27">
        <f t="shared" si="79"/>
        <v>0</v>
      </c>
      <c r="W86" s="27">
        <f t="shared" si="86"/>
        <v>0</v>
      </c>
      <c r="X86" s="27">
        <f t="shared" si="87"/>
        <v>0</v>
      </c>
      <c r="Y86" s="142">
        <f t="shared" si="80"/>
        <v>1.0000000000000011</v>
      </c>
      <c r="Z86" s="89">
        <f t="shared" si="56"/>
        <v>1.0000000000000011</v>
      </c>
      <c r="AB86" s="92">
        <f>(IF('Parameters &amp; DSA'!$H$1=1,(('Parameters &amp; DSA'!$B$76+'Parameters &amp; DSA'!$B$84+'Parameters &amp; DSA'!$B$88+'Parameters &amp; DSA'!$B$92)*($K86))/(1+cDC)^$A86,(('Parameters &amp; DSA'!$B$76+'Parameters &amp; DSA'!$B$84)*($K86))))*($AD$2/$AF$2)</f>
        <v>0</v>
      </c>
      <c r="AC86" s="371">
        <f>(IF('Parameters &amp; DSA'!$H$1=1,(('Parameters &amp; DSA'!$B$76+'Parameters &amp; DSA'!$B$84+'Parameters &amp; DSA'!$B$88+'Parameters &amp; DSA'!$B$92)*($M86+$N86))/(1+cDC)^$A86,(('Parameters &amp; DSA'!$B$76+'Parameters &amp; DSA'!$B$84)*($M86+$N86))))*($AD$2/$AF$2)</f>
        <v>0</v>
      </c>
      <c r="AD86" s="371">
        <f>(IF('Parameters &amp; DSA'!$H$1=1,(('Parameters &amp; DSA'!$B$76+'Parameters &amp; DSA'!$B$84+'Parameters &amp; DSA'!$B$88+'Parameters &amp; DSA'!$B$92)*(P86+Q86))/(1+cDC)^$A86,(('Parameters &amp; DSA'!$B$76+'Parameters &amp; DSA'!$B$84)*(P86+Q86))))*($AD$2/$AF$2)</f>
        <v>0</v>
      </c>
      <c r="AE86" s="371">
        <f>(IF('Parameters &amp; DSA'!$H$1=1,(('Parameters &amp; DSA'!$B$76+'Parameters &amp; DSA'!$B$84+'Parameters &amp; DSA'!$B$88+'Parameters &amp; DSA'!$B$92)*(S86+T86))/(1+cDC)^$A86,(('Parameters &amp; DSA'!$B$76+'Parameters &amp; DSA'!$B$84)*(S86+T86))))*($AD$2/$AF$2)</f>
        <v>0</v>
      </c>
      <c r="AF86" s="371">
        <f>(IF('Parameters &amp; DSA'!$H$1=1,(((W86-W85)*cM_Dialysis0)+(W86*cM_Dialysis1))/(1+'Parameters &amp; DSA'!$B$6)^$A86,(((W86-W85)*cM_Dialysis0)+(W86*cM_Dialysis1))))*($AD$2/$AG$2)</f>
        <v>0</v>
      </c>
      <c r="AG86" s="93">
        <f t="shared" si="81"/>
        <v>0</v>
      </c>
      <c r="AI86" s="88">
        <f t="shared" si="57"/>
        <v>0</v>
      </c>
      <c r="AJ86" s="27">
        <f t="shared" si="58"/>
        <v>0</v>
      </c>
      <c r="AK86" s="27">
        <f t="shared" si="59"/>
        <v>0</v>
      </c>
      <c r="AL86" s="27">
        <f t="shared" si="60"/>
        <v>0</v>
      </c>
      <c r="AM86" s="27">
        <f t="shared" si="61"/>
        <v>0</v>
      </c>
      <c r="AN86" s="27">
        <f t="shared" si="62"/>
        <v>0</v>
      </c>
      <c r="AO86" s="27">
        <f t="shared" si="63"/>
        <v>0</v>
      </c>
      <c r="AP86" s="27">
        <f t="shared" si="64"/>
        <v>0</v>
      </c>
      <c r="AQ86" s="27">
        <f t="shared" si="65"/>
        <v>0</v>
      </c>
      <c r="AR86" s="27">
        <f t="shared" si="66"/>
        <v>0</v>
      </c>
      <c r="AS86" s="27">
        <f t="shared" si="82"/>
        <v>0</v>
      </c>
      <c r="AT86" s="89">
        <f t="shared" si="83"/>
        <v>0</v>
      </c>
    </row>
    <row r="87" spans="1:46">
      <c r="A87" s="80">
        <v>83</v>
      </c>
      <c r="C87" s="10">
        <f t="shared" si="84"/>
        <v>125</v>
      </c>
      <c r="D87" s="98" t="str" cm="1">
        <f t="array" ref="D87">_xlfn.IFS(C87&lt;=4,"1-4",C87&lt;=9,"5-9",C87&lt;=14,"10-14",C87&lt;=19,"15-19",C87&lt;=24,"20-24",C87&lt;=29,"25-29",C87&lt;=34,"30-34",C87&lt;=39,"35-39",C87&lt;=44,"40-44",C87&lt;=49,"45-49",C87&lt;=54,"50-54",C87&lt;=54,"50-54",C87&lt;=59,"55-59",C87&lt;=64,"60-64",C87&lt;=69,"65-69",C87&lt;=74,"70-74",C87&lt;=79,"75-79",C87&lt;=84,"80-84",C87&gt;84,"85+")</f>
        <v>85+</v>
      </c>
      <c r="E87" s="83">
        <f>IF(D87="85+",1,VLOOKUP(D87,'Life table 2014'!$AF$3:$AR$21,7,FALSE))</f>
        <v>1</v>
      </c>
      <c r="F87" s="72"/>
      <c r="G87" s="316">
        <f t="shared" si="67"/>
        <v>30295</v>
      </c>
      <c r="H87" s="27">
        <f>'Parameters &amp; DSA'!$B$119*G87^'Parameters &amp; DSA'!$B$120</f>
        <v>3.9470011783727803</v>
      </c>
      <c r="I87" s="314">
        <f t="shared" si="85"/>
        <v>4.9808035237923987E-2</v>
      </c>
      <c r="J87" s="72"/>
      <c r="K87" s="140">
        <f t="shared" si="68"/>
        <v>0</v>
      </c>
      <c r="L87" s="141">
        <f t="shared" si="69"/>
        <v>0</v>
      </c>
      <c r="M87" s="141">
        <f t="shared" si="70"/>
        <v>0</v>
      </c>
      <c r="N87" s="27">
        <f t="shared" si="71"/>
        <v>0</v>
      </c>
      <c r="O87" s="27">
        <f t="shared" si="72"/>
        <v>0</v>
      </c>
      <c r="P87" s="27">
        <f t="shared" si="73"/>
        <v>0</v>
      </c>
      <c r="Q87" s="27">
        <f t="shared" si="74"/>
        <v>0</v>
      </c>
      <c r="R87" s="27">
        <f t="shared" si="75"/>
        <v>0</v>
      </c>
      <c r="S87" s="27">
        <f t="shared" si="76"/>
        <v>0</v>
      </c>
      <c r="T87" s="27">
        <f t="shared" si="77"/>
        <v>0</v>
      </c>
      <c r="U87" s="27">
        <f t="shared" si="78"/>
        <v>0</v>
      </c>
      <c r="V87" s="27">
        <f t="shared" si="79"/>
        <v>0</v>
      </c>
      <c r="W87" s="27">
        <f t="shared" si="86"/>
        <v>0</v>
      </c>
      <c r="X87" s="27">
        <f t="shared" si="87"/>
        <v>0</v>
      </c>
      <c r="Y87" s="142">
        <f t="shared" si="80"/>
        <v>1.0000000000000011</v>
      </c>
      <c r="Z87" s="89">
        <f t="shared" si="56"/>
        <v>1.0000000000000011</v>
      </c>
      <c r="AB87" s="92">
        <f>(IF('Parameters &amp; DSA'!$H$1=1,(('Parameters &amp; DSA'!$B$76+'Parameters &amp; DSA'!$B$84+'Parameters &amp; DSA'!$B$88+'Parameters &amp; DSA'!$B$92)*($K87))/(1+cDC)^$A87,(('Parameters &amp; DSA'!$B$76+'Parameters &amp; DSA'!$B$84)*($K87))))*($AD$2/$AF$2)</f>
        <v>0</v>
      </c>
      <c r="AC87" s="371">
        <f>(IF('Parameters &amp; DSA'!$H$1=1,(('Parameters &amp; DSA'!$B$76+'Parameters &amp; DSA'!$B$84+'Parameters &amp; DSA'!$B$88+'Parameters &amp; DSA'!$B$92)*($M87+$N87))/(1+cDC)^$A87,(('Parameters &amp; DSA'!$B$76+'Parameters &amp; DSA'!$B$84)*($M87+$N87))))*($AD$2/$AF$2)</f>
        <v>0</v>
      </c>
      <c r="AD87" s="371">
        <f>(IF('Parameters &amp; DSA'!$H$1=1,(('Parameters &amp; DSA'!$B$76+'Parameters &amp; DSA'!$B$84+'Parameters &amp; DSA'!$B$88+'Parameters &amp; DSA'!$B$92)*(P87+Q87))/(1+cDC)^$A87,(('Parameters &amp; DSA'!$B$76+'Parameters &amp; DSA'!$B$84)*(P87+Q87))))*($AD$2/$AF$2)</f>
        <v>0</v>
      </c>
      <c r="AE87" s="371">
        <f>(IF('Parameters &amp; DSA'!$H$1=1,(('Parameters &amp; DSA'!$B$76+'Parameters &amp; DSA'!$B$84+'Parameters &amp; DSA'!$B$88+'Parameters &amp; DSA'!$B$92)*(S87+T87))/(1+cDC)^$A87,(('Parameters &amp; DSA'!$B$76+'Parameters &amp; DSA'!$B$84)*(S87+T87))))*($AD$2/$AF$2)</f>
        <v>0</v>
      </c>
      <c r="AF87" s="371">
        <f>(IF('Parameters &amp; DSA'!$H$1=1,(((W87-W86)*cM_Dialysis0)+(W87*cM_Dialysis1))/(1+'Parameters &amp; DSA'!$B$6)^$A87,(((W87-W86)*cM_Dialysis0)+(W87*cM_Dialysis1))))*($AD$2/$AG$2)</f>
        <v>0</v>
      </c>
      <c r="AG87" s="93">
        <f t="shared" si="81"/>
        <v>0</v>
      </c>
      <c r="AI87" s="88">
        <f t="shared" si="57"/>
        <v>0</v>
      </c>
      <c r="AJ87" s="27">
        <f t="shared" si="58"/>
        <v>0</v>
      </c>
      <c r="AK87" s="27">
        <f t="shared" si="59"/>
        <v>0</v>
      </c>
      <c r="AL87" s="27">
        <f t="shared" si="60"/>
        <v>0</v>
      </c>
      <c r="AM87" s="27">
        <f t="shared" si="61"/>
        <v>0</v>
      </c>
      <c r="AN87" s="27">
        <f t="shared" si="62"/>
        <v>0</v>
      </c>
      <c r="AO87" s="27">
        <f t="shared" si="63"/>
        <v>0</v>
      </c>
      <c r="AP87" s="27">
        <f t="shared" si="64"/>
        <v>0</v>
      </c>
      <c r="AQ87" s="27">
        <f t="shared" si="65"/>
        <v>0</v>
      </c>
      <c r="AR87" s="27">
        <f t="shared" si="66"/>
        <v>0</v>
      </c>
      <c r="AS87" s="27">
        <f t="shared" si="82"/>
        <v>0</v>
      </c>
      <c r="AT87" s="89">
        <f t="shared" si="83"/>
        <v>0</v>
      </c>
    </row>
    <row r="88" spans="1:46">
      <c r="A88" s="80">
        <v>84</v>
      </c>
      <c r="C88" s="10">
        <f t="shared" si="84"/>
        <v>126</v>
      </c>
      <c r="D88" s="98" t="str" cm="1">
        <f t="array" ref="D88">_xlfn.IFS(C88&lt;=4,"1-4",C88&lt;=9,"5-9",C88&lt;=14,"10-14",C88&lt;=19,"15-19",C88&lt;=24,"20-24",C88&lt;=29,"25-29",C88&lt;=34,"30-34",C88&lt;=39,"35-39",C88&lt;=44,"40-44",C88&lt;=49,"45-49",C88&lt;=54,"50-54",C88&lt;=54,"50-54",C88&lt;=59,"55-59",C88&lt;=64,"60-64",C88&lt;=69,"65-69",C88&lt;=74,"70-74",C88&lt;=79,"75-79",C88&lt;=84,"80-84",C88&gt;84,"85+")</f>
        <v>85+</v>
      </c>
      <c r="E88" s="83">
        <f>IF(D88="85+",1,VLOOKUP(D88,'Life table 2014'!$AF$3:$AR$21,7,FALSE))</f>
        <v>1</v>
      </c>
      <c r="F88" s="72"/>
      <c r="G88" s="316">
        <f t="shared" si="67"/>
        <v>30660</v>
      </c>
      <c r="H88" s="27">
        <f>'Parameters &amp; DSA'!$B$119*G88^'Parameters &amp; DSA'!$B$120</f>
        <v>3.998138530640146</v>
      </c>
      <c r="I88" s="314">
        <f t="shared" si="85"/>
        <v>4.9851843434200127E-2</v>
      </c>
      <c r="J88" s="72"/>
      <c r="K88" s="140">
        <f t="shared" si="68"/>
        <v>0</v>
      </c>
      <c r="L88" s="141">
        <f t="shared" si="69"/>
        <v>0</v>
      </c>
      <c r="M88" s="141">
        <f t="shared" si="70"/>
        <v>0</v>
      </c>
      <c r="N88" s="27">
        <f t="shared" si="71"/>
        <v>0</v>
      </c>
      <c r="O88" s="27">
        <f t="shared" si="72"/>
        <v>0</v>
      </c>
      <c r="P88" s="27">
        <f t="shared" si="73"/>
        <v>0</v>
      </c>
      <c r="Q88" s="27">
        <f t="shared" si="74"/>
        <v>0</v>
      </c>
      <c r="R88" s="27">
        <f t="shared" si="75"/>
        <v>0</v>
      </c>
      <c r="S88" s="27">
        <f t="shared" si="76"/>
        <v>0</v>
      </c>
      <c r="T88" s="27">
        <f t="shared" si="77"/>
        <v>0</v>
      </c>
      <c r="U88" s="27">
        <f t="shared" si="78"/>
        <v>0</v>
      </c>
      <c r="V88" s="27">
        <f t="shared" si="79"/>
        <v>0</v>
      </c>
      <c r="W88" s="27">
        <f t="shared" si="86"/>
        <v>0</v>
      </c>
      <c r="X88" s="27">
        <f t="shared" si="87"/>
        <v>0</v>
      </c>
      <c r="Y88" s="142">
        <f t="shared" si="80"/>
        <v>1.0000000000000011</v>
      </c>
      <c r="Z88" s="89">
        <f t="shared" si="56"/>
        <v>1.0000000000000011</v>
      </c>
      <c r="AB88" s="92">
        <f>(IF('Parameters &amp; DSA'!$H$1=1,(('Parameters &amp; DSA'!$B$76+'Parameters &amp; DSA'!$B$84+'Parameters &amp; DSA'!$B$88+'Parameters &amp; DSA'!$B$92)*($K88))/(1+cDC)^$A88,(('Parameters &amp; DSA'!$B$76+'Parameters &amp; DSA'!$B$84)*($K88))))*($AD$2/$AF$2)</f>
        <v>0</v>
      </c>
      <c r="AC88" s="371">
        <f>(IF('Parameters &amp; DSA'!$H$1=1,(('Parameters &amp; DSA'!$B$76+'Parameters &amp; DSA'!$B$84+'Parameters &amp; DSA'!$B$88+'Parameters &amp; DSA'!$B$92)*($M88+$N88))/(1+cDC)^$A88,(('Parameters &amp; DSA'!$B$76+'Parameters &amp; DSA'!$B$84)*($M88+$N88))))*($AD$2/$AF$2)</f>
        <v>0</v>
      </c>
      <c r="AD88" s="371">
        <f>(IF('Parameters &amp; DSA'!$H$1=1,(('Parameters &amp; DSA'!$B$76+'Parameters &amp; DSA'!$B$84+'Parameters &amp; DSA'!$B$88+'Parameters &amp; DSA'!$B$92)*(P88+Q88))/(1+cDC)^$A88,(('Parameters &amp; DSA'!$B$76+'Parameters &amp; DSA'!$B$84)*(P88+Q88))))*($AD$2/$AF$2)</f>
        <v>0</v>
      </c>
      <c r="AE88" s="371">
        <f>(IF('Parameters &amp; DSA'!$H$1=1,(('Parameters &amp; DSA'!$B$76+'Parameters &amp; DSA'!$B$84+'Parameters &amp; DSA'!$B$88+'Parameters &amp; DSA'!$B$92)*(S88+T88))/(1+cDC)^$A88,(('Parameters &amp; DSA'!$B$76+'Parameters &amp; DSA'!$B$84)*(S88+T88))))*($AD$2/$AF$2)</f>
        <v>0</v>
      </c>
      <c r="AF88" s="371">
        <f>(IF('Parameters &amp; DSA'!$H$1=1,(((W88-W87)*cM_Dialysis0)+(W88*cM_Dialysis1))/(1+'Parameters &amp; DSA'!$B$6)^$A88,(((W88-W87)*cM_Dialysis0)+(W88*cM_Dialysis1))))*($AD$2/$AG$2)</f>
        <v>0</v>
      </c>
      <c r="AG88" s="93">
        <f t="shared" si="81"/>
        <v>0</v>
      </c>
      <c r="AI88" s="88">
        <f t="shared" si="57"/>
        <v>0</v>
      </c>
      <c r="AJ88" s="27">
        <f t="shared" si="58"/>
        <v>0</v>
      </c>
      <c r="AK88" s="27">
        <f t="shared" si="59"/>
        <v>0</v>
      </c>
      <c r="AL88" s="27">
        <f t="shared" si="60"/>
        <v>0</v>
      </c>
      <c r="AM88" s="27">
        <f t="shared" si="61"/>
        <v>0</v>
      </c>
      <c r="AN88" s="27">
        <f t="shared" si="62"/>
        <v>0</v>
      </c>
      <c r="AO88" s="27">
        <f t="shared" si="63"/>
        <v>0</v>
      </c>
      <c r="AP88" s="27">
        <f t="shared" si="64"/>
        <v>0</v>
      </c>
      <c r="AQ88" s="27">
        <f t="shared" si="65"/>
        <v>0</v>
      </c>
      <c r="AR88" s="27">
        <f t="shared" si="66"/>
        <v>0</v>
      </c>
      <c r="AS88" s="27">
        <f t="shared" si="82"/>
        <v>0</v>
      </c>
      <c r="AT88" s="89">
        <f t="shared" si="83"/>
        <v>0</v>
      </c>
    </row>
    <row r="89" spans="1:46">
      <c r="A89" s="80">
        <v>85</v>
      </c>
      <c r="C89" s="10">
        <f t="shared" si="84"/>
        <v>127</v>
      </c>
      <c r="D89" s="98" t="str" cm="1">
        <f t="array" ref="D89">_xlfn.IFS(C89&lt;=4,"1-4",C89&lt;=9,"5-9",C89&lt;=14,"10-14",C89&lt;=19,"15-19",C89&lt;=24,"20-24",C89&lt;=29,"25-29",C89&lt;=34,"30-34",C89&lt;=39,"35-39",C89&lt;=44,"40-44",C89&lt;=49,"45-49",C89&lt;=54,"50-54",C89&lt;=54,"50-54",C89&lt;=59,"55-59",C89&lt;=64,"60-64",C89&lt;=69,"65-69",C89&lt;=74,"70-74",C89&lt;=79,"75-79",C89&lt;=84,"80-84",C89&gt;84,"85+")</f>
        <v>85+</v>
      </c>
      <c r="E89" s="83">
        <f>IF(D89="85+",1,VLOOKUP(D89,'Life table 2014'!$AF$3:$AR$21,7,FALSE))</f>
        <v>1</v>
      </c>
      <c r="F89" s="72"/>
      <c r="G89" s="316">
        <f t="shared" si="67"/>
        <v>31025</v>
      </c>
      <c r="H89" s="27">
        <f>'Parameters &amp; DSA'!$B$119*G89^'Parameters &amp; DSA'!$B$120</f>
        <v>4.0493214805094873</v>
      </c>
      <c r="I89" s="314">
        <f t="shared" si="85"/>
        <v>4.9895166923929923E-2</v>
      </c>
      <c r="J89" s="72"/>
      <c r="K89" s="140">
        <f t="shared" si="68"/>
        <v>0</v>
      </c>
      <c r="L89" s="141">
        <f t="shared" si="69"/>
        <v>0</v>
      </c>
      <c r="M89" s="141">
        <f t="shared" si="70"/>
        <v>0</v>
      </c>
      <c r="N89" s="27">
        <f t="shared" si="71"/>
        <v>0</v>
      </c>
      <c r="O89" s="27">
        <f t="shared" si="72"/>
        <v>0</v>
      </c>
      <c r="P89" s="27">
        <f t="shared" si="73"/>
        <v>0</v>
      </c>
      <c r="Q89" s="27">
        <f t="shared" si="74"/>
        <v>0</v>
      </c>
      <c r="R89" s="27">
        <f t="shared" si="75"/>
        <v>0</v>
      </c>
      <c r="S89" s="27">
        <f t="shared" si="76"/>
        <v>0</v>
      </c>
      <c r="T89" s="27">
        <f t="shared" si="77"/>
        <v>0</v>
      </c>
      <c r="U89" s="27">
        <f t="shared" si="78"/>
        <v>0</v>
      </c>
      <c r="V89" s="27">
        <f t="shared" si="79"/>
        <v>0</v>
      </c>
      <c r="W89" s="27">
        <f t="shared" si="86"/>
        <v>0</v>
      </c>
      <c r="X89" s="27">
        <f t="shared" si="87"/>
        <v>0</v>
      </c>
      <c r="Y89" s="142">
        <f t="shared" si="80"/>
        <v>1.0000000000000011</v>
      </c>
      <c r="Z89" s="89">
        <f t="shared" si="56"/>
        <v>1.0000000000000011</v>
      </c>
      <c r="AB89" s="92">
        <f>(IF('Parameters &amp; DSA'!$H$1=1,(('Parameters &amp; DSA'!$B$76+'Parameters &amp; DSA'!$B$84+'Parameters &amp; DSA'!$B$88+'Parameters &amp; DSA'!$B$92)*($K89))/(1+cDC)^$A89,(('Parameters &amp; DSA'!$B$76+'Parameters &amp; DSA'!$B$84)*($K89))))*($AD$2/$AF$2)</f>
        <v>0</v>
      </c>
      <c r="AC89" s="371">
        <f>(IF('Parameters &amp; DSA'!$H$1=1,(('Parameters &amp; DSA'!$B$76+'Parameters &amp; DSA'!$B$84+'Parameters &amp; DSA'!$B$88+'Parameters &amp; DSA'!$B$92)*($M89+$N89))/(1+cDC)^$A89,(('Parameters &amp; DSA'!$B$76+'Parameters &amp; DSA'!$B$84)*($M89+$N89))))*($AD$2/$AF$2)</f>
        <v>0</v>
      </c>
      <c r="AD89" s="371">
        <f>(IF('Parameters &amp; DSA'!$H$1=1,(('Parameters &amp; DSA'!$B$76+'Parameters &amp; DSA'!$B$84+'Parameters &amp; DSA'!$B$88+'Parameters &amp; DSA'!$B$92)*(P89+Q89))/(1+cDC)^$A89,(('Parameters &amp; DSA'!$B$76+'Parameters &amp; DSA'!$B$84)*(P89+Q89))))*($AD$2/$AF$2)</f>
        <v>0</v>
      </c>
      <c r="AE89" s="371">
        <f>(IF('Parameters &amp; DSA'!$H$1=1,(('Parameters &amp; DSA'!$B$76+'Parameters &amp; DSA'!$B$84+'Parameters &amp; DSA'!$B$88+'Parameters &amp; DSA'!$B$92)*(S89+T89))/(1+cDC)^$A89,(('Parameters &amp; DSA'!$B$76+'Parameters &amp; DSA'!$B$84)*(S89+T89))))*($AD$2/$AF$2)</f>
        <v>0</v>
      </c>
      <c r="AF89" s="371">
        <f>(IF('Parameters &amp; DSA'!$H$1=1,(((W89-W88)*cM_Dialysis0)+(W89*cM_Dialysis1))/(1+'Parameters &amp; DSA'!$B$6)^$A89,(((W89-W88)*cM_Dialysis0)+(W89*cM_Dialysis1))))*($AD$2/$AG$2)</f>
        <v>0</v>
      </c>
      <c r="AG89" s="93">
        <f t="shared" si="81"/>
        <v>0</v>
      </c>
      <c r="AI89" s="88">
        <f t="shared" si="57"/>
        <v>0</v>
      </c>
      <c r="AJ89" s="27">
        <f t="shared" si="58"/>
        <v>0</v>
      </c>
      <c r="AK89" s="27">
        <f t="shared" si="59"/>
        <v>0</v>
      </c>
      <c r="AL89" s="27">
        <f t="shared" si="60"/>
        <v>0</v>
      </c>
      <c r="AM89" s="27">
        <f t="shared" si="61"/>
        <v>0</v>
      </c>
      <c r="AN89" s="27">
        <f t="shared" si="62"/>
        <v>0</v>
      </c>
      <c r="AO89" s="27">
        <f t="shared" si="63"/>
        <v>0</v>
      </c>
      <c r="AP89" s="27">
        <f t="shared" si="64"/>
        <v>0</v>
      </c>
      <c r="AQ89" s="27">
        <f t="shared" si="65"/>
        <v>0</v>
      </c>
      <c r="AR89" s="27">
        <f t="shared" si="66"/>
        <v>0</v>
      </c>
      <c r="AS89" s="27">
        <f t="shared" si="82"/>
        <v>0</v>
      </c>
      <c r="AT89" s="89">
        <f t="shared" si="83"/>
        <v>0</v>
      </c>
    </row>
    <row r="90" spans="1:46">
      <c r="A90" s="80">
        <v>86</v>
      </c>
      <c r="C90" s="10">
        <f t="shared" si="84"/>
        <v>128</v>
      </c>
      <c r="D90" s="98" t="str" cm="1">
        <f t="array" ref="D90">_xlfn.IFS(C90&lt;=4,"1-4",C90&lt;=9,"5-9",C90&lt;=14,"10-14",C90&lt;=19,"15-19",C90&lt;=24,"20-24",C90&lt;=29,"25-29",C90&lt;=34,"30-34",C90&lt;=39,"35-39",C90&lt;=44,"40-44",C90&lt;=49,"45-49",C90&lt;=54,"50-54",C90&lt;=54,"50-54",C90&lt;=59,"55-59",C90&lt;=64,"60-64",C90&lt;=69,"65-69",C90&lt;=74,"70-74",C90&lt;=79,"75-79",C90&lt;=84,"80-84",C90&gt;84,"85+")</f>
        <v>85+</v>
      </c>
      <c r="E90" s="83">
        <f>IF(D90="85+",1,VLOOKUP(D90,'Life table 2014'!$AF$3:$AR$21,7,FALSE))</f>
        <v>1</v>
      </c>
      <c r="F90" s="72"/>
      <c r="G90" s="316">
        <f t="shared" si="67"/>
        <v>31390</v>
      </c>
      <c r="H90" s="27">
        <f>'Parameters &amp; DSA'!$B$119*G90^'Parameters &amp; DSA'!$B$120</f>
        <v>4.1005495314575944</v>
      </c>
      <c r="I90" s="314">
        <f t="shared" si="85"/>
        <v>4.9938016710549205E-2</v>
      </c>
      <c r="J90" s="72"/>
      <c r="K90" s="140">
        <f t="shared" si="68"/>
        <v>0</v>
      </c>
      <c r="L90" s="141">
        <f t="shared" si="69"/>
        <v>0</v>
      </c>
      <c r="M90" s="141">
        <f t="shared" si="70"/>
        <v>0</v>
      </c>
      <c r="N90" s="27">
        <f t="shared" si="71"/>
        <v>0</v>
      </c>
      <c r="O90" s="27">
        <f t="shared" si="72"/>
        <v>0</v>
      </c>
      <c r="P90" s="27">
        <f t="shared" si="73"/>
        <v>0</v>
      </c>
      <c r="Q90" s="27">
        <f t="shared" si="74"/>
        <v>0</v>
      </c>
      <c r="R90" s="27">
        <f t="shared" si="75"/>
        <v>0</v>
      </c>
      <c r="S90" s="27">
        <f t="shared" si="76"/>
        <v>0</v>
      </c>
      <c r="T90" s="27">
        <f t="shared" si="77"/>
        <v>0</v>
      </c>
      <c r="U90" s="27">
        <f t="shared" si="78"/>
        <v>0</v>
      </c>
      <c r="V90" s="27">
        <f t="shared" si="79"/>
        <v>0</v>
      </c>
      <c r="W90" s="27">
        <f t="shared" si="86"/>
        <v>0</v>
      </c>
      <c r="X90" s="27">
        <f t="shared" si="87"/>
        <v>0</v>
      </c>
      <c r="Y90" s="142">
        <f t="shared" si="80"/>
        <v>1.0000000000000011</v>
      </c>
      <c r="Z90" s="89">
        <f t="shared" si="56"/>
        <v>1.0000000000000011</v>
      </c>
      <c r="AB90" s="92">
        <f>(IF('Parameters &amp; DSA'!$H$1=1,(('Parameters &amp; DSA'!$B$76+'Parameters &amp; DSA'!$B$84+'Parameters &amp; DSA'!$B$88+'Parameters &amp; DSA'!$B$92)*($K90))/(1+cDC)^$A90,(('Parameters &amp; DSA'!$B$76+'Parameters &amp; DSA'!$B$84)*($K90))))*($AD$2/$AF$2)</f>
        <v>0</v>
      </c>
      <c r="AC90" s="371">
        <f>(IF('Parameters &amp; DSA'!$H$1=1,(('Parameters &amp; DSA'!$B$76+'Parameters &amp; DSA'!$B$84+'Parameters &amp; DSA'!$B$88+'Parameters &amp; DSA'!$B$92)*($M90+$N90))/(1+cDC)^$A90,(('Parameters &amp; DSA'!$B$76+'Parameters &amp; DSA'!$B$84)*($M90+$N90))))*($AD$2/$AF$2)</f>
        <v>0</v>
      </c>
      <c r="AD90" s="371">
        <f>(IF('Parameters &amp; DSA'!$H$1=1,(('Parameters &amp; DSA'!$B$76+'Parameters &amp; DSA'!$B$84+'Parameters &amp; DSA'!$B$88+'Parameters &amp; DSA'!$B$92)*(P90+Q90))/(1+cDC)^$A90,(('Parameters &amp; DSA'!$B$76+'Parameters &amp; DSA'!$B$84)*(P90+Q90))))*($AD$2/$AF$2)</f>
        <v>0</v>
      </c>
      <c r="AE90" s="371">
        <f>(IF('Parameters &amp; DSA'!$H$1=1,(('Parameters &amp; DSA'!$B$76+'Parameters &amp; DSA'!$B$84+'Parameters &amp; DSA'!$B$88+'Parameters &amp; DSA'!$B$92)*(S90+T90))/(1+cDC)^$A90,(('Parameters &amp; DSA'!$B$76+'Parameters &amp; DSA'!$B$84)*(S90+T90))))*($AD$2/$AF$2)</f>
        <v>0</v>
      </c>
      <c r="AF90" s="371">
        <f>(IF('Parameters &amp; DSA'!$H$1=1,(((W90-W89)*cM_Dialysis0)+(W90*cM_Dialysis1))/(1+'Parameters &amp; DSA'!$B$6)^$A90,(((W90-W89)*cM_Dialysis0)+(W90*cM_Dialysis1))))*($AD$2/$AG$2)</f>
        <v>0</v>
      </c>
      <c r="AG90" s="93">
        <f t="shared" si="81"/>
        <v>0</v>
      </c>
      <c r="AI90" s="88">
        <f t="shared" si="57"/>
        <v>0</v>
      </c>
      <c r="AJ90" s="27">
        <f t="shared" si="58"/>
        <v>0</v>
      </c>
      <c r="AK90" s="27">
        <f t="shared" si="59"/>
        <v>0</v>
      </c>
      <c r="AL90" s="27">
        <f t="shared" si="60"/>
        <v>0</v>
      </c>
      <c r="AM90" s="27">
        <f t="shared" si="61"/>
        <v>0</v>
      </c>
      <c r="AN90" s="27">
        <f t="shared" si="62"/>
        <v>0</v>
      </c>
      <c r="AO90" s="27">
        <f t="shared" si="63"/>
        <v>0</v>
      </c>
      <c r="AP90" s="27">
        <f t="shared" si="64"/>
        <v>0</v>
      </c>
      <c r="AQ90" s="27">
        <f t="shared" si="65"/>
        <v>0</v>
      </c>
      <c r="AR90" s="27">
        <f t="shared" si="66"/>
        <v>0</v>
      </c>
      <c r="AS90" s="27">
        <f t="shared" si="82"/>
        <v>0</v>
      </c>
      <c r="AT90" s="89">
        <f t="shared" si="83"/>
        <v>0</v>
      </c>
    </row>
    <row r="91" spans="1:46">
      <c r="A91" s="80">
        <v>87</v>
      </c>
      <c r="C91" s="10">
        <f t="shared" si="84"/>
        <v>129</v>
      </c>
      <c r="D91" s="98" t="str" cm="1">
        <f t="array" ref="D91">_xlfn.IFS(C91&lt;=4,"1-4",C91&lt;=9,"5-9",C91&lt;=14,"10-14",C91&lt;=19,"15-19",C91&lt;=24,"20-24",C91&lt;=29,"25-29",C91&lt;=34,"30-34",C91&lt;=39,"35-39",C91&lt;=44,"40-44",C91&lt;=49,"45-49",C91&lt;=54,"50-54",C91&lt;=54,"50-54",C91&lt;=59,"55-59",C91&lt;=64,"60-64",C91&lt;=69,"65-69",C91&lt;=74,"70-74",C91&lt;=79,"75-79",C91&lt;=84,"80-84",C91&gt;84,"85+")</f>
        <v>85+</v>
      </c>
      <c r="E91" s="83">
        <f>IF(D91="85+",1,VLOOKUP(D91,'Life table 2014'!$AF$3:$AR$21,7,FALSE))</f>
        <v>1</v>
      </c>
      <c r="F91" s="72"/>
      <c r="G91" s="316">
        <f t="shared" si="67"/>
        <v>31755</v>
      </c>
      <c r="H91" s="27">
        <f>'Parameters &amp; DSA'!$B$119*G91^'Parameters &amp; DSA'!$B$120</f>
        <v>4.1518221980816685</v>
      </c>
      <c r="I91" s="314">
        <f t="shared" si="85"/>
        <v>4.9980403422581365E-2</v>
      </c>
      <c r="J91" s="72"/>
      <c r="K91" s="140">
        <f t="shared" si="68"/>
        <v>0</v>
      </c>
      <c r="L91" s="141">
        <f t="shared" si="69"/>
        <v>0</v>
      </c>
      <c r="M91" s="141">
        <f t="shared" si="70"/>
        <v>0</v>
      </c>
      <c r="N91" s="27">
        <f t="shared" si="71"/>
        <v>0</v>
      </c>
      <c r="O91" s="27">
        <f t="shared" si="72"/>
        <v>0</v>
      </c>
      <c r="P91" s="27">
        <f t="shared" si="73"/>
        <v>0</v>
      </c>
      <c r="Q91" s="27">
        <f t="shared" si="74"/>
        <v>0</v>
      </c>
      <c r="R91" s="27">
        <f t="shared" si="75"/>
        <v>0</v>
      </c>
      <c r="S91" s="27">
        <f t="shared" si="76"/>
        <v>0</v>
      </c>
      <c r="T91" s="27">
        <f t="shared" si="77"/>
        <v>0</v>
      </c>
      <c r="U91" s="27">
        <f t="shared" si="78"/>
        <v>0</v>
      </c>
      <c r="V91" s="27">
        <f t="shared" si="79"/>
        <v>0</v>
      </c>
      <c r="W91" s="27">
        <f t="shared" si="86"/>
        <v>0</v>
      </c>
      <c r="X91" s="27">
        <f t="shared" si="87"/>
        <v>0</v>
      </c>
      <c r="Y91" s="142">
        <f t="shared" si="80"/>
        <v>1.0000000000000011</v>
      </c>
      <c r="Z91" s="89">
        <f t="shared" si="56"/>
        <v>1.0000000000000011</v>
      </c>
      <c r="AB91" s="92">
        <f>(IF('Parameters &amp; DSA'!$H$1=1,(('Parameters &amp; DSA'!$B$76+'Parameters &amp; DSA'!$B$84+'Parameters &amp; DSA'!$B$88+'Parameters &amp; DSA'!$B$92)*($K91))/(1+cDC)^$A91,(('Parameters &amp; DSA'!$B$76+'Parameters &amp; DSA'!$B$84)*($K91))))*($AD$2/$AF$2)</f>
        <v>0</v>
      </c>
      <c r="AC91" s="371">
        <f>(IF('Parameters &amp; DSA'!$H$1=1,(('Parameters &amp; DSA'!$B$76+'Parameters &amp; DSA'!$B$84+'Parameters &amp; DSA'!$B$88+'Parameters &amp; DSA'!$B$92)*($M91+$N91))/(1+cDC)^$A91,(('Parameters &amp; DSA'!$B$76+'Parameters &amp; DSA'!$B$84)*($M91+$N91))))*($AD$2/$AF$2)</f>
        <v>0</v>
      </c>
      <c r="AD91" s="371">
        <f>(IF('Parameters &amp; DSA'!$H$1=1,(('Parameters &amp; DSA'!$B$76+'Parameters &amp; DSA'!$B$84+'Parameters &amp; DSA'!$B$88+'Parameters &amp; DSA'!$B$92)*(P91+Q91))/(1+cDC)^$A91,(('Parameters &amp; DSA'!$B$76+'Parameters &amp; DSA'!$B$84)*(P91+Q91))))*($AD$2/$AF$2)</f>
        <v>0</v>
      </c>
      <c r="AE91" s="371">
        <f>(IF('Parameters &amp; DSA'!$H$1=1,(('Parameters &amp; DSA'!$B$76+'Parameters &amp; DSA'!$B$84+'Parameters &amp; DSA'!$B$88+'Parameters &amp; DSA'!$B$92)*(S91+T91))/(1+cDC)^$A91,(('Parameters &amp; DSA'!$B$76+'Parameters &amp; DSA'!$B$84)*(S91+T91))))*($AD$2/$AF$2)</f>
        <v>0</v>
      </c>
      <c r="AF91" s="371">
        <f>(IF('Parameters &amp; DSA'!$H$1=1,(((W91-W90)*cM_Dialysis0)+(W91*cM_Dialysis1))/(1+'Parameters &amp; DSA'!$B$6)^$A91,(((W91-W90)*cM_Dialysis0)+(W91*cM_Dialysis1))))*($AD$2/$AG$2)</f>
        <v>0</v>
      </c>
      <c r="AG91" s="93">
        <f t="shared" si="81"/>
        <v>0</v>
      </c>
      <c r="AI91" s="88">
        <f t="shared" si="57"/>
        <v>0</v>
      </c>
      <c r="AJ91" s="27">
        <f t="shared" si="58"/>
        <v>0</v>
      </c>
      <c r="AK91" s="27">
        <f t="shared" si="59"/>
        <v>0</v>
      </c>
      <c r="AL91" s="27">
        <f t="shared" si="60"/>
        <v>0</v>
      </c>
      <c r="AM91" s="27">
        <f t="shared" si="61"/>
        <v>0</v>
      </c>
      <c r="AN91" s="27">
        <f t="shared" si="62"/>
        <v>0</v>
      </c>
      <c r="AO91" s="27">
        <f t="shared" si="63"/>
        <v>0</v>
      </c>
      <c r="AP91" s="27">
        <f t="shared" si="64"/>
        <v>0</v>
      </c>
      <c r="AQ91" s="27">
        <f t="shared" si="65"/>
        <v>0</v>
      </c>
      <c r="AR91" s="27">
        <f t="shared" si="66"/>
        <v>0</v>
      </c>
      <c r="AS91" s="27">
        <f t="shared" si="82"/>
        <v>0</v>
      </c>
      <c r="AT91" s="89">
        <f t="shared" si="83"/>
        <v>0</v>
      </c>
    </row>
    <row r="92" spans="1:46">
      <c r="A92" s="80">
        <v>88</v>
      </c>
      <c r="C92" s="10">
        <f t="shared" si="84"/>
        <v>130</v>
      </c>
      <c r="D92" s="98" t="str" cm="1">
        <f t="array" ref="D92">_xlfn.IFS(C92&lt;=4,"1-4",C92&lt;=9,"5-9",C92&lt;=14,"10-14",C92&lt;=19,"15-19",C92&lt;=24,"20-24",C92&lt;=29,"25-29",C92&lt;=34,"30-34",C92&lt;=39,"35-39",C92&lt;=44,"40-44",C92&lt;=49,"45-49",C92&lt;=54,"50-54",C92&lt;=54,"50-54",C92&lt;=59,"55-59",C92&lt;=64,"60-64",C92&lt;=69,"65-69",C92&lt;=74,"70-74",C92&lt;=79,"75-79",C92&lt;=84,"80-84",C92&gt;84,"85+")</f>
        <v>85+</v>
      </c>
      <c r="E92" s="83">
        <f>IF(D92="85+",1,VLOOKUP(D92,'Life table 2014'!$AF$3:$AR$21,7,FALSE))</f>
        <v>1</v>
      </c>
      <c r="F92" s="72"/>
      <c r="G92" s="316">
        <f t="shared" si="67"/>
        <v>32120</v>
      </c>
      <c r="H92" s="27">
        <f>'Parameters &amp; DSA'!$B$119*G92^'Parameters &amp; DSA'!$B$120</f>
        <v>4.203139005725248</v>
      </c>
      <c r="I92" s="314">
        <f t="shared" si="85"/>
        <v>5.0022337330614786E-2</v>
      </c>
      <c r="J92" s="72"/>
      <c r="K92" s="140">
        <f t="shared" si="68"/>
        <v>0</v>
      </c>
      <c r="L92" s="141">
        <f t="shared" si="69"/>
        <v>0</v>
      </c>
      <c r="M92" s="141">
        <f t="shared" si="70"/>
        <v>0</v>
      </c>
      <c r="N92" s="27">
        <f t="shared" si="71"/>
        <v>0</v>
      </c>
      <c r="O92" s="27">
        <f t="shared" si="72"/>
        <v>0</v>
      </c>
      <c r="P92" s="27">
        <f t="shared" si="73"/>
        <v>0</v>
      </c>
      <c r="Q92" s="27">
        <f t="shared" si="74"/>
        <v>0</v>
      </c>
      <c r="R92" s="27">
        <f t="shared" si="75"/>
        <v>0</v>
      </c>
      <c r="S92" s="27">
        <f t="shared" si="76"/>
        <v>0</v>
      </c>
      <c r="T92" s="27">
        <f t="shared" si="77"/>
        <v>0</v>
      </c>
      <c r="U92" s="27">
        <f t="shared" si="78"/>
        <v>0</v>
      </c>
      <c r="V92" s="27">
        <f t="shared" si="79"/>
        <v>0</v>
      </c>
      <c r="W92" s="27">
        <f t="shared" si="86"/>
        <v>0</v>
      </c>
      <c r="X92" s="27">
        <f t="shared" si="87"/>
        <v>0</v>
      </c>
      <c r="Y92" s="142">
        <f t="shared" si="80"/>
        <v>1.0000000000000011</v>
      </c>
      <c r="Z92" s="89">
        <f t="shared" si="56"/>
        <v>1.0000000000000011</v>
      </c>
      <c r="AB92" s="92">
        <f>(IF('Parameters &amp; DSA'!$H$1=1,(('Parameters &amp; DSA'!$B$76+'Parameters &amp; DSA'!$B$84+'Parameters &amp; DSA'!$B$88+'Parameters &amp; DSA'!$B$92)*($K92))/(1+cDC)^$A92,(('Parameters &amp; DSA'!$B$76+'Parameters &amp; DSA'!$B$84)*($K92))))*($AD$2/$AF$2)</f>
        <v>0</v>
      </c>
      <c r="AC92" s="371">
        <f>(IF('Parameters &amp; DSA'!$H$1=1,(('Parameters &amp; DSA'!$B$76+'Parameters &amp; DSA'!$B$84+'Parameters &amp; DSA'!$B$88+'Parameters &amp; DSA'!$B$92)*($M92+$N92))/(1+cDC)^$A92,(('Parameters &amp; DSA'!$B$76+'Parameters &amp; DSA'!$B$84)*($M92+$N92))))*($AD$2/$AF$2)</f>
        <v>0</v>
      </c>
      <c r="AD92" s="371">
        <f>(IF('Parameters &amp; DSA'!$H$1=1,(('Parameters &amp; DSA'!$B$76+'Parameters &amp; DSA'!$B$84+'Parameters &amp; DSA'!$B$88+'Parameters &amp; DSA'!$B$92)*(P92+Q92))/(1+cDC)^$A92,(('Parameters &amp; DSA'!$B$76+'Parameters &amp; DSA'!$B$84)*(P92+Q92))))*($AD$2/$AF$2)</f>
        <v>0</v>
      </c>
      <c r="AE92" s="371">
        <f>(IF('Parameters &amp; DSA'!$H$1=1,(('Parameters &amp; DSA'!$B$76+'Parameters &amp; DSA'!$B$84+'Parameters &amp; DSA'!$B$88+'Parameters &amp; DSA'!$B$92)*(S92+T92))/(1+cDC)^$A92,(('Parameters &amp; DSA'!$B$76+'Parameters &amp; DSA'!$B$84)*(S92+T92))))*($AD$2/$AF$2)</f>
        <v>0</v>
      </c>
      <c r="AF92" s="371">
        <f>(IF('Parameters &amp; DSA'!$H$1=1,(((W92-W91)*cM_Dialysis0)+(W92*cM_Dialysis1))/(1+'Parameters &amp; DSA'!$B$6)^$A92,(((W92-W91)*cM_Dialysis0)+(W92*cM_Dialysis1))))*($AD$2/$AG$2)</f>
        <v>0</v>
      </c>
      <c r="AG92" s="93">
        <f t="shared" si="81"/>
        <v>0</v>
      </c>
      <c r="AI92" s="88">
        <f t="shared" si="57"/>
        <v>0</v>
      </c>
      <c r="AJ92" s="27">
        <f t="shared" si="58"/>
        <v>0</v>
      </c>
      <c r="AK92" s="27">
        <f t="shared" si="59"/>
        <v>0</v>
      </c>
      <c r="AL92" s="27">
        <f t="shared" si="60"/>
        <v>0</v>
      </c>
      <c r="AM92" s="27">
        <f t="shared" si="61"/>
        <v>0</v>
      </c>
      <c r="AN92" s="27">
        <f t="shared" si="62"/>
        <v>0</v>
      </c>
      <c r="AO92" s="27">
        <f t="shared" si="63"/>
        <v>0</v>
      </c>
      <c r="AP92" s="27">
        <f t="shared" si="64"/>
        <v>0</v>
      </c>
      <c r="AQ92" s="27">
        <f t="shared" si="65"/>
        <v>0</v>
      </c>
      <c r="AR92" s="27">
        <f t="shared" si="66"/>
        <v>0</v>
      </c>
      <c r="AS92" s="27">
        <f t="shared" si="82"/>
        <v>0</v>
      </c>
      <c r="AT92" s="89">
        <f t="shared" si="83"/>
        <v>0</v>
      </c>
    </row>
    <row r="93" spans="1:46">
      <c r="A93" s="80">
        <v>89</v>
      </c>
      <c r="C93" s="10">
        <f t="shared" si="84"/>
        <v>131</v>
      </c>
      <c r="D93" s="98" t="str" cm="1">
        <f t="array" ref="D93">_xlfn.IFS(C93&lt;=4,"1-4",C93&lt;=9,"5-9",C93&lt;=14,"10-14",C93&lt;=19,"15-19",C93&lt;=24,"20-24",C93&lt;=29,"25-29",C93&lt;=34,"30-34",C93&lt;=39,"35-39",C93&lt;=44,"40-44",C93&lt;=49,"45-49",C93&lt;=54,"50-54",C93&lt;=54,"50-54",C93&lt;=59,"55-59",C93&lt;=64,"60-64",C93&lt;=69,"65-69",C93&lt;=74,"70-74",C93&lt;=79,"75-79",C93&lt;=84,"80-84",C93&gt;84,"85+")</f>
        <v>85+</v>
      </c>
      <c r="E93" s="83">
        <f>IF(D93="85+",1,VLOOKUP(D93,'Life table 2014'!$AF$3:$AR$21,7,FALSE))</f>
        <v>1</v>
      </c>
      <c r="F93" s="72"/>
      <c r="G93" s="316">
        <f t="shared" si="67"/>
        <v>32485</v>
      </c>
      <c r="H93" s="27">
        <f>'Parameters &amp; DSA'!$B$119*G93^'Parameters &amp; DSA'!$B$120</f>
        <v>4.2544994901208497</v>
      </c>
      <c r="I93" s="314">
        <f t="shared" si="85"/>
        <v>5.006382836331047E-2</v>
      </c>
      <c r="J93" s="72"/>
      <c r="K93" s="140">
        <f t="shared" si="68"/>
        <v>0</v>
      </c>
      <c r="L93" s="141">
        <f t="shared" si="69"/>
        <v>0</v>
      </c>
      <c r="M93" s="141">
        <f t="shared" si="70"/>
        <v>0</v>
      </c>
      <c r="N93" s="27">
        <f t="shared" si="71"/>
        <v>0</v>
      </c>
      <c r="O93" s="27">
        <f t="shared" si="72"/>
        <v>0</v>
      </c>
      <c r="P93" s="27">
        <f t="shared" si="73"/>
        <v>0</v>
      </c>
      <c r="Q93" s="27">
        <f t="shared" si="74"/>
        <v>0</v>
      </c>
      <c r="R93" s="27">
        <f t="shared" si="75"/>
        <v>0</v>
      </c>
      <c r="S93" s="27">
        <f t="shared" si="76"/>
        <v>0</v>
      </c>
      <c r="T93" s="27">
        <f t="shared" si="77"/>
        <v>0</v>
      </c>
      <c r="U93" s="27">
        <f t="shared" si="78"/>
        <v>0</v>
      </c>
      <c r="V93" s="27">
        <f t="shared" si="79"/>
        <v>0</v>
      </c>
      <c r="W93" s="27">
        <f t="shared" si="86"/>
        <v>0</v>
      </c>
      <c r="X93" s="27">
        <f t="shared" si="87"/>
        <v>0</v>
      </c>
      <c r="Y93" s="142">
        <f t="shared" si="80"/>
        <v>1.0000000000000011</v>
      </c>
      <c r="Z93" s="89">
        <f t="shared" si="56"/>
        <v>1.0000000000000011</v>
      </c>
      <c r="AB93" s="92">
        <f>(IF('Parameters &amp; DSA'!$H$1=1,(('Parameters &amp; DSA'!$B$76+'Parameters &amp; DSA'!$B$84+'Parameters &amp; DSA'!$B$88+'Parameters &amp; DSA'!$B$92)*($K93))/(1+cDC)^$A93,(('Parameters &amp; DSA'!$B$76+'Parameters &amp; DSA'!$B$84)*($K93))))*($AD$2/$AF$2)</f>
        <v>0</v>
      </c>
      <c r="AC93" s="371">
        <f>(IF('Parameters &amp; DSA'!$H$1=1,(('Parameters &amp; DSA'!$B$76+'Parameters &amp; DSA'!$B$84+'Parameters &amp; DSA'!$B$88+'Parameters &amp; DSA'!$B$92)*($M93+$N93))/(1+cDC)^$A93,(('Parameters &amp; DSA'!$B$76+'Parameters &amp; DSA'!$B$84)*($M93+$N93))))*($AD$2/$AF$2)</f>
        <v>0</v>
      </c>
      <c r="AD93" s="371">
        <f>(IF('Parameters &amp; DSA'!$H$1=1,(('Parameters &amp; DSA'!$B$76+'Parameters &amp; DSA'!$B$84+'Parameters &amp; DSA'!$B$88+'Parameters &amp; DSA'!$B$92)*(P93+Q93))/(1+cDC)^$A93,(('Parameters &amp; DSA'!$B$76+'Parameters &amp; DSA'!$B$84)*(P93+Q93))))*($AD$2/$AF$2)</f>
        <v>0</v>
      </c>
      <c r="AE93" s="371">
        <f>(IF('Parameters &amp; DSA'!$H$1=1,(('Parameters &amp; DSA'!$B$76+'Parameters &amp; DSA'!$B$84+'Parameters &amp; DSA'!$B$88+'Parameters &amp; DSA'!$B$92)*(S93+T93))/(1+cDC)^$A93,(('Parameters &amp; DSA'!$B$76+'Parameters &amp; DSA'!$B$84)*(S93+T93))))*($AD$2/$AF$2)</f>
        <v>0</v>
      </c>
      <c r="AF93" s="371">
        <f>(IF('Parameters &amp; DSA'!$H$1=1,(((W93-W92)*cM_Dialysis0)+(W93*cM_Dialysis1))/(1+'Parameters &amp; DSA'!$B$6)^$A93,(((W93-W92)*cM_Dialysis0)+(W93*cM_Dialysis1))))*($AD$2/$AG$2)</f>
        <v>0</v>
      </c>
      <c r="AG93" s="93">
        <f t="shared" si="81"/>
        <v>0</v>
      </c>
      <c r="AI93" s="88">
        <f t="shared" si="57"/>
        <v>0</v>
      </c>
      <c r="AJ93" s="27">
        <f t="shared" si="58"/>
        <v>0</v>
      </c>
      <c r="AK93" s="27">
        <f t="shared" si="59"/>
        <v>0</v>
      </c>
      <c r="AL93" s="27">
        <f t="shared" si="60"/>
        <v>0</v>
      </c>
      <c r="AM93" s="27">
        <f t="shared" si="61"/>
        <v>0</v>
      </c>
      <c r="AN93" s="27">
        <f t="shared" si="62"/>
        <v>0</v>
      </c>
      <c r="AO93" s="27">
        <f t="shared" si="63"/>
        <v>0</v>
      </c>
      <c r="AP93" s="27">
        <f t="shared" si="64"/>
        <v>0</v>
      </c>
      <c r="AQ93" s="27">
        <f t="shared" si="65"/>
        <v>0</v>
      </c>
      <c r="AR93" s="27">
        <f t="shared" si="66"/>
        <v>0</v>
      </c>
      <c r="AS93" s="27">
        <f t="shared" si="82"/>
        <v>0</v>
      </c>
      <c r="AT93" s="89">
        <f t="shared" si="83"/>
        <v>0</v>
      </c>
    </row>
    <row r="94" spans="1:46">
      <c r="A94" s="80">
        <v>90</v>
      </c>
      <c r="C94" s="10">
        <f t="shared" si="84"/>
        <v>132</v>
      </c>
      <c r="D94" s="98" t="str" cm="1">
        <f t="array" ref="D94">_xlfn.IFS(C94&lt;=4,"1-4",C94&lt;=9,"5-9",C94&lt;=14,"10-14",C94&lt;=19,"15-19",C94&lt;=24,"20-24",C94&lt;=29,"25-29",C94&lt;=34,"30-34",C94&lt;=39,"35-39",C94&lt;=44,"40-44",C94&lt;=49,"45-49",C94&lt;=54,"50-54",C94&lt;=54,"50-54",C94&lt;=59,"55-59",C94&lt;=64,"60-64",C94&lt;=69,"65-69",C94&lt;=74,"70-74",C94&lt;=79,"75-79",C94&lt;=84,"80-84",C94&gt;84,"85+")</f>
        <v>85+</v>
      </c>
      <c r="E94" s="83">
        <f>IF(D94="85+",1,VLOOKUP(D94,'Life table 2014'!$AF$3:$AR$21,7,FALSE))</f>
        <v>1</v>
      </c>
      <c r="F94" s="72"/>
      <c r="G94" s="316">
        <f t="shared" si="67"/>
        <v>32850</v>
      </c>
      <c r="H94" s="27">
        <f>'Parameters &amp; DSA'!$B$119*G94^'Parameters &amp; DSA'!$B$120</f>
        <v>4.305903197048246</v>
      </c>
      <c r="I94" s="314">
        <f t="shared" si="85"/>
        <v>5.0104886122375292E-2</v>
      </c>
      <c r="J94" s="72"/>
      <c r="K94" s="140">
        <f t="shared" si="68"/>
        <v>0</v>
      </c>
      <c r="L94" s="141">
        <f t="shared" si="69"/>
        <v>0</v>
      </c>
      <c r="M94" s="141">
        <f t="shared" si="70"/>
        <v>0</v>
      </c>
      <c r="N94" s="27">
        <f t="shared" si="71"/>
        <v>0</v>
      </c>
      <c r="O94" s="27">
        <f t="shared" si="72"/>
        <v>0</v>
      </c>
      <c r="P94" s="27">
        <f t="shared" si="73"/>
        <v>0</v>
      </c>
      <c r="Q94" s="27">
        <f t="shared" si="74"/>
        <v>0</v>
      </c>
      <c r="R94" s="27">
        <f t="shared" si="75"/>
        <v>0</v>
      </c>
      <c r="S94" s="27">
        <f t="shared" si="76"/>
        <v>0</v>
      </c>
      <c r="T94" s="27">
        <f t="shared" si="77"/>
        <v>0</v>
      </c>
      <c r="U94" s="27">
        <f t="shared" si="78"/>
        <v>0</v>
      </c>
      <c r="V94" s="27">
        <f t="shared" si="79"/>
        <v>0</v>
      </c>
      <c r="W94" s="27">
        <f t="shared" si="86"/>
        <v>0</v>
      </c>
      <c r="X94" s="27">
        <f t="shared" si="87"/>
        <v>0</v>
      </c>
      <c r="Y94" s="142">
        <f t="shared" si="80"/>
        <v>1.0000000000000011</v>
      </c>
      <c r="Z94" s="89">
        <f t="shared" si="56"/>
        <v>1.0000000000000011</v>
      </c>
      <c r="AB94" s="92">
        <f>(IF('Parameters &amp; DSA'!$H$1=1,(('Parameters &amp; DSA'!$B$76+'Parameters &amp; DSA'!$B$84+'Parameters &amp; DSA'!$B$88+'Parameters &amp; DSA'!$B$92)*($K94))/(1+cDC)^$A94,(('Parameters &amp; DSA'!$B$76+'Parameters &amp; DSA'!$B$84)*($K94))))*($AD$2/$AF$2)</f>
        <v>0</v>
      </c>
      <c r="AC94" s="371">
        <f>(IF('Parameters &amp; DSA'!$H$1=1,(('Parameters &amp; DSA'!$B$76+'Parameters &amp; DSA'!$B$84+'Parameters &amp; DSA'!$B$88+'Parameters &amp; DSA'!$B$92)*($M94+$N94))/(1+cDC)^$A94,(('Parameters &amp; DSA'!$B$76+'Parameters &amp; DSA'!$B$84)*($M94+$N94))))*($AD$2/$AF$2)</f>
        <v>0</v>
      </c>
      <c r="AD94" s="371">
        <f>(IF('Parameters &amp; DSA'!$H$1=1,(('Parameters &amp; DSA'!$B$76+'Parameters &amp; DSA'!$B$84+'Parameters &amp; DSA'!$B$88+'Parameters &amp; DSA'!$B$92)*(P94+Q94))/(1+cDC)^$A94,(('Parameters &amp; DSA'!$B$76+'Parameters &amp; DSA'!$B$84)*(P94+Q94))))*($AD$2/$AF$2)</f>
        <v>0</v>
      </c>
      <c r="AE94" s="371">
        <f>(IF('Parameters &amp; DSA'!$H$1=1,(('Parameters &amp; DSA'!$B$76+'Parameters &amp; DSA'!$B$84+'Parameters &amp; DSA'!$B$88+'Parameters &amp; DSA'!$B$92)*(S94+T94))/(1+cDC)^$A94,(('Parameters &amp; DSA'!$B$76+'Parameters &amp; DSA'!$B$84)*(S94+T94))))*($AD$2/$AF$2)</f>
        <v>0</v>
      </c>
      <c r="AF94" s="371">
        <f>(IF('Parameters &amp; DSA'!$H$1=1,(((W94-W93)*cM_Dialysis0)+(W94*cM_Dialysis1))/(1+'Parameters &amp; DSA'!$B$6)^$A94,(((W94-W93)*cM_Dialysis0)+(W94*cM_Dialysis1))))*($AD$2/$AG$2)</f>
        <v>0</v>
      </c>
      <c r="AG94" s="93">
        <f t="shared" si="81"/>
        <v>0</v>
      </c>
      <c r="AI94" s="88">
        <f t="shared" si="57"/>
        <v>0</v>
      </c>
      <c r="AJ94" s="27">
        <f t="shared" si="58"/>
        <v>0</v>
      </c>
      <c r="AK94" s="27">
        <f t="shared" si="59"/>
        <v>0</v>
      </c>
      <c r="AL94" s="27">
        <f t="shared" si="60"/>
        <v>0</v>
      </c>
      <c r="AM94" s="27">
        <f t="shared" si="61"/>
        <v>0</v>
      </c>
      <c r="AN94" s="27">
        <f t="shared" si="62"/>
        <v>0</v>
      </c>
      <c r="AO94" s="27">
        <f t="shared" si="63"/>
        <v>0</v>
      </c>
      <c r="AP94" s="27">
        <f t="shared" si="64"/>
        <v>0</v>
      </c>
      <c r="AQ94" s="27">
        <f t="shared" si="65"/>
        <v>0</v>
      </c>
      <c r="AR94" s="27">
        <f t="shared" si="66"/>
        <v>0</v>
      </c>
      <c r="AS94" s="27">
        <f t="shared" si="82"/>
        <v>0</v>
      </c>
      <c r="AT94" s="89">
        <f t="shared" si="83"/>
        <v>0</v>
      </c>
    </row>
    <row r="95" spans="1:46">
      <c r="A95" s="80">
        <v>91</v>
      </c>
      <c r="C95" s="10">
        <f t="shared" si="84"/>
        <v>133</v>
      </c>
      <c r="D95" s="98" t="str" cm="1">
        <f t="array" ref="D95">_xlfn.IFS(C95&lt;=4,"1-4",C95&lt;=9,"5-9",C95&lt;=14,"10-14",C95&lt;=19,"15-19",C95&lt;=24,"20-24",C95&lt;=29,"25-29",C95&lt;=34,"30-34",C95&lt;=39,"35-39",C95&lt;=44,"40-44",C95&lt;=49,"45-49",C95&lt;=54,"50-54",C95&lt;=54,"50-54",C95&lt;=59,"55-59",C95&lt;=64,"60-64",C95&lt;=69,"65-69",C95&lt;=74,"70-74",C95&lt;=79,"75-79",C95&lt;=84,"80-84",C95&gt;84,"85+")</f>
        <v>85+</v>
      </c>
      <c r="E95" s="83">
        <f>IF(D95="85+",1,VLOOKUP(D95,'Life table 2014'!$AF$3:$AR$21,7,FALSE))</f>
        <v>1</v>
      </c>
      <c r="F95" s="72"/>
      <c r="G95" s="316">
        <f t="shared" si="67"/>
        <v>33215</v>
      </c>
      <c r="H95" s="27">
        <f>'Parameters &amp; DSA'!$B$119*G95^'Parameters &amp; DSA'!$B$120</f>
        <v>4.3573496820078708</v>
      </c>
      <c r="I95" s="314">
        <f t="shared" si="85"/>
        <v>5.0145519897047852E-2</v>
      </c>
      <c r="J95" s="72"/>
      <c r="K95" s="140">
        <f t="shared" si="68"/>
        <v>0</v>
      </c>
      <c r="L95" s="141">
        <f t="shared" si="69"/>
        <v>0</v>
      </c>
      <c r="M95" s="141">
        <f t="shared" si="70"/>
        <v>0</v>
      </c>
      <c r="N95" s="27">
        <f t="shared" si="71"/>
        <v>0</v>
      </c>
      <c r="O95" s="27">
        <f t="shared" si="72"/>
        <v>0</v>
      </c>
      <c r="P95" s="27">
        <f t="shared" si="73"/>
        <v>0</v>
      </c>
      <c r="Q95" s="27">
        <f t="shared" si="74"/>
        <v>0</v>
      </c>
      <c r="R95" s="27">
        <f t="shared" si="75"/>
        <v>0</v>
      </c>
      <c r="S95" s="27">
        <f t="shared" si="76"/>
        <v>0</v>
      </c>
      <c r="T95" s="27">
        <f t="shared" si="77"/>
        <v>0</v>
      </c>
      <c r="U95" s="27">
        <f t="shared" si="78"/>
        <v>0</v>
      </c>
      <c r="V95" s="27">
        <f t="shared" si="79"/>
        <v>0</v>
      </c>
      <c r="W95" s="27">
        <f t="shared" si="86"/>
        <v>0</v>
      </c>
      <c r="X95" s="27">
        <f t="shared" si="87"/>
        <v>0</v>
      </c>
      <c r="Y95" s="142">
        <f t="shared" si="80"/>
        <v>1.0000000000000011</v>
      </c>
      <c r="Z95" s="89">
        <f t="shared" si="56"/>
        <v>1.0000000000000011</v>
      </c>
      <c r="AB95" s="92">
        <f>(IF('Parameters &amp; DSA'!$H$1=1,(('Parameters &amp; DSA'!$B$76+'Parameters &amp; DSA'!$B$84+'Parameters &amp; DSA'!$B$88+'Parameters &amp; DSA'!$B$92)*($K95))/(1+cDC)^$A95,(('Parameters &amp; DSA'!$B$76+'Parameters &amp; DSA'!$B$84)*($K95))))*($AD$2/$AF$2)</f>
        <v>0</v>
      </c>
      <c r="AC95" s="371">
        <f>(IF('Parameters &amp; DSA'!$H$1=1,(('Parameters &amp; DSA'!$B$76+'Parameters &amp; DSA'!$B$84+'Parameters &amp; DSA'!$B$88+'Parameters &amp; DSA'!$B$92)*($M95+$N95))/(1+cDC)^$A95,(('Parameters &amp; DSA'!$B$76+'Parameters &amp; DSA'!$B$84)*($M95+$N95))))*($AD$2/$AF$2)</f>
        <v>0</v>
      </c>
      <c r="AD95" s="371">
        <f>(IF('Parameters &amp; DSA'!$H$1=1,(('Parameters &amp; DSA'!$B$76+'Parameters &amp; DSA'!$B$84+'Parameters &amp; DSA'!$B$88+'Parameters &amp; DSA'!$B$92)*(P95+Q95))/(1+cDC)^$A95,(('Parameters &amp; DSA'!$B$76+'Parameters &amp; DSA'!$B$84)*(P95+Q95))))*($AD$2/$AF$2)</f>
        <v>0</v>
      </c>
      <c r="AE95" s="371">
        <f>(IF('Parameters &amp; DSA'!$H$1=1,(('Parameters &amp; DSA'!$B$76+'Parameters &amp; DSA'!$B$84+'Parameters &amp; DSA'!$B$88+'Parameters &amp; DSA'!$B$92)*(S95+T95))/(1+cDC)^$A95,(('Parameters &amp; DSA'!$B$76+'Parameters &amp; DSA'!$B$84)*(S95+T95))))*($AD$2/$AF$2)</f>
        <v>0</v>
      </c>
      <c r="AF95" s="371">
        <f>(IF('Parameters &amp; DSA'!$H$1=1,(((W95-W94)*cM_Dialysis0)+(W95*cM_Dialysis1))/(1+'Parameters &amp; DSA'!$B$6)^$A95,(((W95-W94)*cM_Dialysis0)+(W95*cM_Dialysis1))))*($AD$2/$AG$2)</f>
        <v>0</v>
      </c>
      <c r="AG95" s="93">
        <f t="shared" si="81"/>
        <v>0</v>
      </c>
      <c r="AI95" s="88">
        <f t="shared" si="57"/>
        <v>0</v>
      </c>
      <c r="AJ95" s="27">
        <f t="shared" si="58"/>
        <v>0</v>
      </c>
      <c r="AK95" s="27">
        <f t="shared" si="59"/>
        <v>0</v>
      </c>
      <c r="AL95" s="27">
        <f t="shared" si="60"/>
        <v>0</v>
      </c>
      <c r="AM95" s="27">
        <f t="shared" si="61"/>
        <v>0</v>
      </c>
      <c r="AN95" s="27">
        <f t="shared" si="62"/>
        <v>0</v>
      </c>
      <c r="AO95" s="27">
        <f t="shared" si="63"/>
        <v>0</v>
      </c>
      <c r="AP95" s="27">
        <f t="shared" si="64"/>
        <v>0</v>
      </c>
      <c r="AQ95" s="27">
        <f t="shared" si="65"/>
        <v>0</v>
      </c>
      <c r="AR95" s="27">
        <f t="shared" si="66"/>
        <v>0</v>
      </c>
      <c r="AS95" s="27">
        <f t="shared" si="82"/>
        <v>0</v>
      </c>
      <c r="AT95" s="89">
        <f t="shared" si="83"/>
        <v>0</v>
      </c>
    </row>
    <row r="96" spans="1:46">
      <c r="A96" s="80">
        <v>92</v>
      </c>
      <c r="C96" s="10">
        <f t="shared" si="84"/>
        <v>134</v>
      </c>
      <c r="D96" s="98" t="str" cm="1">
        <f t="array" ref="D96">_xlfn.IFS(C96&lt;=4,"1-4",C96&lt;=9,"5-9",C96&lt;=14,"10-14",C96&lt;=19,"15-19",C96&lt;=24,"20-24",C96&lt;=29,"25-29",C96&lt;=34,"30-34",C96&lt;=39,"35-39",C96&lt;=44,"40-44",C96&lt;=49,"45-49",C96&lt;=54,"50-54",C96&lt;=54,"50-54",C96&lt;=59,"55-59",C96&lt;=64,"60-64",C96&lt;=69,"65-69",C96&lt;=74,"70-74",C96&lt;=79,"75-79",C96&lt;=84,"80-84",C96&gt;84,"85+")</f>
        <v>85+</v>
      </c>
      <c r="E96" s="83">
        <f>IF(D96="85+",1,VLOOKUP(D96,'Life table 2014'!$AF$3:$AR$21,7,FALSE))</f>
        <v>1</v>
      </c>
      <c r="F96" s="72"/>
      <c r="G96" s="316">
        <f t="shared" si="67"/>
        <v>33580</v>
      </c>
      <c r="H96" s="27">
        <f>'Parameters &amp; DSA'!$B$119*G96^'Parameters &amp; DSA'!$B$120</f>
        <v>4.4088385099081071</v>
      </c>
      <c r="I96" s="314">
        <f t="shared" si="85"/>
        <v>5.0185738677391734E-2</v>
      </c>
      <c r="J96" s="72"/>
      <c r="K96" s="140">
        <f t="shared" si="68"/>
        <v>0</v>
      </c>
      <c r="L96" s="141">
        <f t="shared" si="69"/>
        <v>0</v>
      </c>
      <c r="M96" s="141">
        <f t="shared" si="70"/>
        <v>0</v>
      </c>
      <c r="N96" s="27">
        <f t="shared" si="71"/>
        <v>0</v>
      </c>
      <c r="O96" s="27">
        <f t="shared" si="72"/>
        <v>0</v>
      </c>
      <c r="P96" s="27">
        <f t="shared" si="73"/>
        <v>0</v>
      </c>
      <c r="Q96" s="27">
        <f t="shared" si="74"/>
        <v>0</v>
      </c>
      <c r="R96" s="27">
        <f t="shared" si="75"/>
        <v>0</v>
      </c>
      <c r="S96" s="27">
        <f t="shared" si="76"/>
        <v>0</v>
      </c>
      <c r="T96" s="27">
        <f t="shared" si="77"/>
        <v>0</v>
      </c>
      <c r="U96" s="27">
        <f t="shared" si="78"/>
        <v>0</v>
      </c>
      <c r="V96" s="27">
        <f t="shared" si="79"/>
        <v>0</v>
      </c>
      <c r="W96" s="27">
        <f t="shared" si="86"/>
        <v>0</v>
      </c>
      <c r="X96" s="27">
        <f t="shared" si="87"/>
        <v>0</v>
      </c>
      <c r="Y96" s="142">
        <f t="shared" si="80"/>
        <v>1.0000000000000011</v>
      </c>
      <c r="Z96" s="89">
        <f t="shared" si="56"/>
        <v>1.0000000000000011</v>
      </c>
      <c r="AB96" s="92">
        <f>(IF('Parameters &amp; DSA'!$H$1=1,(('Parameters &amp; DSA'!$B$76+'Parameters &amp; DSA'!$B$84+'Parameters &amp; DSA'!$B$88+'Parameters &amp; DSA'!$B$92)*($K96))/(1+cDC)^$A96,(('Parameters &amp; DSA'!$B$76+'Parameters &amp; DSA'!$B$84)*($K96))))*($AD$2/$AF$2)</f>
        <v>0</v>
      </c>
      <c r="AC96" s="371">
        <f>(IF('Parameters &amp; DSA'!$H$1=1,(('Parameters &amp; DSA'!$B$76+'Parameters &amp; DSA'!$B$84+'Parameters &amp; DSA'!$B$88+'Parameters &amp; DSA'!$B$92)*($M96+$N96))/(1+cDC)^$A96,(('Parameters &amp; DSA'!$B$76+'Parameters &amp; DSA'!$B$84)*($M96+$N96))))*($AD$2/$AF$2)</f>
        <v>0</v>
      </c>
      <c r="AD96" s="371">
        <f>(IF('Parameters &amp; DSA'!$H$1=1,(('Parameters &amp; DSA'!$B$76+'Parameters &amp; DSA'!$B$84+'Parameters &amp; DSA'!$B$88+'Parameters &amp; DSA'!$B$92)*(P96+Q96))/(1+cDC)^$A96,(('Parameters &amp; DSA'!$B$76+'Parameters &amp; DSA'!$B$84)*(P96+Q96))))*($AD$2/$AF$2)</f>
        <v>0</v>
      </c>
      <c r="AE96" s="371">
        <f>(IF('Parameters &amp; DSA'!$H$1=1,(('Parameters &amp; DSA'!$B$76+'Parameters &amp; DSA'!$B$84+'Parameters &amp; DSA'!$B$88+'Parameters &amp; DSA'!$B$92)*(S96+T96))/(1+cDC)^$A96,(('Parameters &amp; DSA'!$B$76+'Parameters &amp; DSA'!$B$84)*(S96+T96))))*($AD$2/$AF$2)</f>
        <v>0</v>
      </c>
      <c r="AF96" s="371">
        <f>(IF('Parameters &amp; DSA'!$H$1=1,(((W96-W95)*cM_Dialysis0)+(W96*cM_Dialysis1))/(1+'Parameters &amp; DSA'!$B$6)^$A96,(((W96-W95)*cM_Dialysis0)+(W96*cM_Dialysis1))))*($AD$2/$AG$2)</f>
        <v>0</v>
      </c>
      <c r="AG96" s="93">
        <f t="shared" si="81"/>
        <v>0</v>
      </c>
      <c r="AI96" s="88">
        <f t="shared" si="57"/>
        <v>0</v>
      </c>
      <c r="AJ96" s="27">
        <f t="shared" si="58"/>
        <v>0</v>
      </c>
      <c r="AK96" s="27">
        <f t="shared" si="59"/>
        <v>0</v>
      </c>
      <c r="AL96" s="27">
        <f t="shared" si="60"/>
        <v>0</v>
      </c>
      <c r="AM96" s="27">
        <f t="shared" si="61"/>
        <v>0</v>
      </c>
      <c r="AN96" s="27">
        <f t="shared" si="62"/>
        <v>0</v>
      </c>
      <c r="AO96" s="27">
        <f t="shared" si="63"/>
        <v>0</v>
      </c>
      <c r="AP96" s="27">
        <f t="shared" si="64"/>
        <v>0</v>
      </c>
      <c r="AQ96" s="27">
        <f t="shared" si="65"/>
        <v>0</v>
      </c>
      <c r="AR96" s="27">
        <f t="shared" si="66"/>
        <v>0</v>
      </c>
      <c r="AS96" s="27">
        <f t="shared" si="82"/>
        <v>0</v>
      </c>
      <c r="AT96" s="89">
        <f t="shared" si="83"/>
        <v>0</v>
      </c>
    </row>
    <row r="97" spans="1:46">
      <c r="A97" s="80">
        <v>93</v>
      </c>
      <c r="C97" s="10">
        <f t="shared" si="84"/>
        <v>135</v>
      </c>
      <c r="D97" s="98" t="str" cm="1">
        <f t="array" ref="D97">_xlfn.IFS(C97&lt;=4,"1-4",C97&lt;=9,"5-9",C97&lt;=14,"10-14",C97&lt;=19,"15-19",C97&lt;=24,"20-24",C97&lt;=29,"25-29",C97&lt;=34,"30-34",C97&lt;=39,"35-39",C97&lt;=44,"40-44",C97&lt;=49,"45-49",C97&lt;=54,"50-54",C97&lt;=54,"50-54",C97&lt;=59,"55-59",C97&lt;=64,"60-64",C97&lt;=69,"65-69",C97&lt;=74,"70-74",C97&lt;=79,"75-79",C97&lt;=84,"80-84",C97&gt;84,"85+")</f>
        <v>85+</v>
      </c>
      <c r="E97" s="83">
        <f>IF(D97="85+",1,VLOOKUP(D97,'Life table 2014'!$AF$3:$AR$21,7,FALSE))</f>
        <v>1</v>
      </c>
      <c r="F97" s="72"/>
      <c r="G97" s="316">
        <f t="shared" si="67"/>
        <v>33945</v>
      </c>
      <c r="H97" s="27">
        <f>'Parameters &amp; DSA'!$B$119*G97^'Parameters &amp; DSA'!$B$120</f>
        <v>4.4603692547660705</v>
      </c>
      <c r="I97" s="314">
        <f t="shared" si="85"/>
        <v>5.0225551167217053E-2</v>
      </c>
      <c r="J97" s="72"/>
      <c r="K97" s="140">
        <f t="shared" si="68"/>
        <v>0</v>
      </c>
      <c r="L97" s="141">
        <f t="shared" si="69"/>
        <v>0</v>
      </c>
      <c r="M97" s="141">
        <f t="shared" si="70"/>
        <v>0</v>
      </c>
      <c r="N97" s="27">
        <f t="shared" si="71"/>
        <v>0</v>
      </c>
      <c r="O97" s="27">
        <f t="shared" si="72"/>
        <v>0</v>
      </c>
      <c r="P97" s="27">
        <f t="shared" si="73"/>
        <v>0</v>
      </c>
      <c r="Q97" s="27">
        <f t="shared" si="74"/>
        <v>0</v>
      </c>
      <c r="R97" s="27">
        <f t="shared" si="75"/>
        <v>0</v>
      </c>
      <c r="S97" s="27">
        <f t="shared" si="76"/>
        <v>0</v>
      </c>
      <c r="T97" s="27">
        <f t="shared" si="77"/>
        <v>0</v>
      </c>
      <c r="U97" s="27">
        <f t="shared" si="78"/>
        <v>0</v>
      </c>
      <c r="V97" s="27">
        <f t="shared" si="79"/>
        <v>0</v>
      </c>
      <c r="W97" s="27">
        <f t="shared" si="86"/>
        <v>0</v>
      </c>
      <c r="X97" s="27">
        <f t="shared" si="87"/>
        <v>0</v>
      </c>
      <c r="Y97" s="142">
        <f t="shared" si="80"/>
        <v>1.0000000000000011</v>
      </c>
      <c r="Z97" s="89">
        <f t="shared" si="56"/>
        <v>1.0000000000000011</v>
      </c>
      <c r="AB97" s="92">
        <f>(IF('Parameters &amp; DSA'!$H$1=1,(('Parameters &amp; DSA'!$B$76+'Parameters &amp; DSA'!$B$84+'Parameters &amp; DSA'!$B$88+'Parameters &amp; DSA'!$B$92)*($K97))/(1+cDC)^$A97,(('Parameters &amp; DSA'!$B$76+'Parameters &amp; DSA'!$B$84)*($K97))))*($AD$2/$AF$2)</f>
        <v>0</v>
      </c>
      <c r="AC97" s="371">
        <f>(IF('Parameters &amp; DSA'!$H$1=1,(('Parameters &amp; DSA'!$B$76+'Parameters &amp; DSA'!$B$84+'Parameters &amp; DSA'!$B$88+'Parameters &amp; DSA'!$B$92)*($M97+$N97))/(1+cDC)^$A97,(('Parameters &amp; DSA'!$B$76+'Parameters &amp; DSA'!$B$84)*($M97+$N97))))*($AD$2/$AF$2)</f>
        <v>0</v>
      </c>
      <c r="AD97" s="371">
        <f>(IF('Parameters &amp; DSA'!$H$1=1,(('Parameters &amp; DSA'!$B$76+'Parameters &amp; DSA'!$B$84+'Parameters &amp; DSA'!$B$88+'Parameters &amp; DSA'!$B$92)*(P97+Q97))/(1+cDC)^$A97,(('Parameters &amp; DSA'!$B$76+'Parameters &amp; DSA'!$B$84)*(P97+Q97))))*($AD$2/$AF$2)</f>
        <v>0</v>
      </c>
      <c r="AE97" s="371">
        <f>(IF('Parameters &amp; DSA'!$H$1=1,(('Parameters &amp; DSA'!$B$76+'Parameters &amp; DSA'!$B$84+'Parameters &amp; DSA'!$B$88+'Parameters &amp; DSA'!$B$92)*(S97+T97))/(1+cDC)^$A97,(('Parameters &amp; DSA'!$B$76+'Parameters &amp; DSA'!$B$84)*(S97+T97))))*($AD$2/$AF$2)</f>
        <v>0</v>
      </c>
      <c r="AF97" s="371">
        <f>(IF('Parameters &amp; DSA'!$H$1=1,(((W97-W96)*cM_Dialysis0)+(W97*cM_Dialysis1))/(1+'Parameters &amp; DSA'!$B$6)^$A97,(((W97-W96)*cM_Dialysis0)+(W97*cM_Dialysis1))))*($AD$2/$AG$2)</f>
        <v>0</v>
      </c>
      <c r="AG97" s="93">
        <f t="shared" si="81"/>
        <v>0</v>
      </c>
      <c r="AI97" s="88">
        <f t="shared" si="57"/>
        <v>0</v>
      </c>
      <c r="AJ97" s="27">
        <f t="shared" si="58"/>
        <v>0</v>
      </c>
      <c r="AK97" s="27">
        <f t="shared" si="59"/>
        <v>0</v>
      </c>
      <c r="AL97" s="27">
        <f t="shared" si="60"/>
        <v>0</v>
      </c>
      <c r="AM97" s="27">
        <f t="shared" si="61"/>
        <v>0</v>
      </c>
      <c r="AN97" s="27">
        <f t="shared" si="62"/>
        <v>0</v>
      </c>
      <c r="AO97" s="27">
        <f t="shared" si="63"/>
        <v>0</v>
      </c>
      <c r="AP97" s="27">
        <f t="shared" si="64"/>
        <v>0</v>
      </c>
      <c r="AQ97" s="27">
        <f t="shared" si="65"/>
        <v>0</v>
      </c>
      <c r="AR97" s="27">
        <f t="shared" si="66"/>
        <v>0</v>
      </c>
      <c r="AS97" s="27">
        <f t="shared" si="82"/>
        <v>0</v>
      </c>
      <c r="AT97" s="89">
        <f t="shared" si="83"/>
        <v>0</v>
      </c>
    </row>
    <row r="98" spans="1:46">
      <c r="A98" s="80">
        <v>94</v>
      </c>
      <c r="C98" s="10">
        <f t="shared" si="84"/>
        <v>136</v>
      </c>
      <c r="D98" s="98" t="str" cm="1">
        <f t="array" ref="D98">_xlfn.IFS(C98&lt;=4,"1-4",C98&lt;=9,"5-9",C98&lt;=14,"10-14",C98&lt;=19,"15-19",C98&lt;=24,"20-24",C98&lt;=29,"25-29",C98&lt;=34,"30-34",C98&lt;=39,"35-39",C98&lt;=44,"40-44",C98&lt;=49,"45-49",C98&lt;=54,"50-54",C98&lt;=54,"50-54",C98&lt;=59,"55-59",C98&lt;=64,"60-64",C98&lt;=69,"65-69",C98&lt;=74,"70-74",C98&lt;=79,"75-79",C98&lt;=84,"80-84",C98&gt;84,"85+")</f>
        <v>85+</v>
      </c>
      <c r="E98" s="83">
        <f>IF(D98="85+",1,VLOOKUP(D98,'Life table 2014'!$AF$3:$AR$21,7,FALSE))</f>
        <v>1</v>
      </c>
      <c r="F98" s="72"/>
      <c r="G98" s="316">
        <f t="shared" si="67"/>
        <v>34310</v>
      </c>
      <c r="H98" s="27">
        <f>'Parameters &amp; DSA'!$B$119*G98^'Parameters &amp; DSA'!$B$120</f>
        <v>4.5119414994209519</v>
      </c>
      <c r="I98" s="314">
        <f t="shared" si="85"/>
        <v>5.0264965796106398E-2</v>
      </c>
      <c r="J98" s="72"/>
      <c r="K98" s="140">
        <f t="shared" si="68"/>
        <v>0</v>
      </c>
      <c r="L98" s="141">
        <f t="shared" si="69"/>
        <v>0</v>
      </c>
      <c r="M98" s="141">
        <f t="shared" si="70"/>
        <v>0</v>
      </c>
      <c r="N98" s="27">
        <f t="shared" si="71"/>
        <v>0</v>
      </c>
      <c r="O98" s="27">
        <f t="shared" si="72"/>
        <v>0</v>
      </c>
      <c r="P98" s="27">
        <f t="shared" si="73"/>
        <v>0</v>
      </c>
      <c r="Q98" s="27">
        <f t="shared" si="74"/>
        <v>0</v>
      </c>
      <c r="R98" s="27">
        <f t="shared" si="75"/>
        <v>0</v>
      </c>
      <c r="S98" s="27">
        <f t="shared" si="76"/>
        <v>0</v>
      </c>
      <c r="T98" s="27">
        <f t="shared" si="77"/>
        <v>0</v>
      </c>
      <c r="U98" s="27">
        <f t="shared" si="78"/>
        <v>0</v>
      </c>
      <c r="V98" s="27">
        <f t="shared" si="79"/>
        <v>0</v>
      </c>
      <c r="W98" s="27">
        <f t="shared" si="86"/>
        <v>0</v>
      </c>
      <c r="X98" s="27">
        <f t="shared" si="87"/>
        <v>0</v>
      </c>
      <c r="Y98" s="142">
        <f t="shared" si="80"/>
        <v>1.0000000000000011</v>
      </c>
      <c r="Z98" s="89">
        <f t="shared" si="56"/>
        <v>1.0000000000000011</v>
      </c>
      <c r="AB98" s="92">
        <f>(IF('Parameters &amp; DSA'!$H$1=1,(('Parameters &amp; DSA'!$B$76+'Parameters &amp; DSA'!$B$84+'Parameters &amp; DSA'!$B$88+'Parameters &amp; DSA'!$B$92)*($K98))/(1+cDC)^$A98,(('Parameters &amp; DSA'!$B$76+'Parameters &amp; DSA'!$B$84)*($K98))))*($AD$2/$AF$2)</f>
        <v>0</v>
      </c>
      <c r="AC98" s="371">
        <f>(IF('Parameters &amp; DSA'!$H$1=1,(('Parameters &amp; DSA'!$B$76+'Parameters &amp; DSA'!$B$84+'Parameters &amp; DSA'!$B$88+'Parameters &amp; DSA'!$B$92)*($M98+$N98))/(1+cDC)^$A98,(('Parameters &amp; DSA'!$B$76+'Parameters &amp; DSA'!$B$84)*($M98+$N98))))*($AD$2/$AF$2)</f>
        <v>0</v>
      </c>
      <c r="AD98" s="371">
        <f>(IF('Parameters &amp; DSA'!$H$1=1,(('Parameters &amp; DSA'!$B$76+'Parameters &amp; DSA'!$B$84+'Parameters &amp; DSA'!$B$88+'Parameters &amp; DSA'!$B$92)*(P98+Q98))/(1+cDC)^$A98,(('Parameters &amp; DSA'!$B$76+'Parameters &amp; DSA'!$B$84)*(P98+Q98))))*($AD$2/$AF$2)</f>
        <v>0</v>
      </c>
      <c r="AE98" s="371">
        <f>(IF('Parameters &amp; DSA'!$H$1=1,(('Parameters &amp; DSA'!$B$76+'Parameters &amp; DSA'!$B$84+'Parameters &amp; DSA'!$B$88+'Parameters &amp; DSA'!$B$92)*(S98+T98))/(1+cDC)^$A98,(('Parameters &amp; DSA'!$B$76+'Parameters &amp; DSA'!$B$84)*(S98+T98))))*($AD$2/$AF$2)</f>
        <v>0</v>
      </c>
      <c r="AF98" s="371">
        <f>(IF('Parameters &amp; DSA'!$H$1=1,(((W98-W97)*cM_Dialysis0)+(W98*cM_Dialysis1))/(1+'Parameters &amp; DSA'!$B$6)^$A98,(((W98-W97)*cM_Dialysis0)+(W98*cM_Dialysis1))))*($AD$2/$AG$2)</f>
        <v>0</v>
      </c>
      <c r="AG98" s="93">
        <f t="shared" si="81"/>
        <v>0</v>
      </c>
      <c r="AI98" s="88">
        <f t="shared" si="57"/>
        <v>0</v>
      </c>
      <c r="AJ98" s="27">
        <f t="shared" si="58"/>
        <v>0</v>
      </c>
      <c r="AK98" s="27">
        <f t="shared" si="59"/>
        <v>0</v>
      </c>
      <c r="AL98" s="27">
        <f t="shared" si="60"/>
        <v>0</v>
      </c>
      <c r="AM98" s="27">
        <f t="shared" si="61"/>
        <v>0</v>
      </c>
      <c r="AN98" s="27">
        <f t="shared" si="62"/>
        <v>0</v>
      </c>
      <c r="AO98" s="27">
        <f t="shared" si="63"/>
        <v>0</v>
      </c>
      <c r="AP98" s="27">
        <f t="shared" si="64"/>
        <v>0</v>
      </c>
      <c r="AQ98" s="27">
        <f t="shared" si="65"/>
        <v>0</v>
      </c>
      <c r="AR98" s="27">
        <f t="shared" si="66"/>
        <v>0</v>
      </c>
      <c r="AS98" s="27">
        <f t="shared" si="82"/>
        <v>0</v>
      </c>
      <c r="AT98" s="89">
        <f t="shared" si="83"/>
        <v>0</v>
      </c>
    </row>
    <row r="99" spans="1:46">
      <c r="A99" s="80">
        <v>95</v>
      </c>
      <c r="C99" s="10">
        <f t="shared" si="84"/>
        <v>137</v>
      </c>
      <c r="D99" s="98" t="str" cm="1">
        <f t="array" ref="D99">_xlfn.IFS(C99&lt;=4,"1-4",C99&lt;=9,"5-9",C99&lt;=14,"10-14",C99&lt;=19,"15-19",C99&lt;=24,"20-24",C99&lt;=29,"25-29",C99&lt;=34,"30-34",C99&lt;=39,"35-39",C99&lt;=44,"40-44",C99&lt;=49,"45-49",C99&lt;=54,"50-54",C99&lt;=54,"50-54",C99&lt;=59,"55-59",C99&lt;=64,"60-64",C99&lt;=69,"65-69",C99&lt;=74,"70-74",C99&lt;=79,"75-79",C99&lt;=84,"80-84",C99&gt;84,"85+")</f>
        <v>85+</v>
      </c>
      <c r="E99" s="83">
        <f>IF(D99="85+",1,VLOOKUP(D99,'Life table 2014'!$AF$3:$AR$21,7,FALSE))</f>
        <v>1</v>
      </c>
      <c r="F99" s="72"/>
      <c r="G99" s="316">
        <f t="shared" si="67"/>
        <v>34675</v>
      </c>
      <c r="H99" s="27">
        <f>'Parameters &amp; DSA'!$B$119*G99^'Parameters &amp; DSA'!$B$120</f>
        <v>4.563554835259346</v>
      </c>
      <c r="I99" s="314">
        <f t="shared" si="85"/>
        <v>5.0303990730889425E-2</v>
      </c>
      <c r="J99" s="72"/>
      <c r="K99" s="140">
        <f t="shared" si="68"/>
        <v>0</v>
      </c>
      <c r="L99" s="141">
        <f t="shared" si="69"/>
        <v>0</v>
      </c>
      <c r="M99" s="141">
        <f t="shared" si="70"/>
        <v>0</v>
      </c>
      <c r="N99" s="27">
        <f t="shared" si="71"/>
        <v>0</v>
      </c>
      <c r="O99" s="27">
        <f t="shared" si="72"/>
        <v>0</v>
      </c>
      <c r="P99" s="27">
        <f t="shared" si="73"/>
        <v>0</v>
      </c>
      <c r="Q99" s="27">
        <f t="shared" si="74"/>
        <v>0</v>
      </c>
      <c r="R99" s="27">
        <f t="shared" si="75"/>
        <v>0</v>
      </c>
      <c r="S99" s="27">
        <f t="shared" si="76"/>
        <v>0</v>
      </c>
      <c r="T99" s="27">
        <f t="shared" si="77"/>
        <v>0</v>
      </c>
      <c r="U99" s="27">
        <f t="shared" si="78"/>
        <v>0</v>
      </c>
      <c r="V99" s="27">
        <f t="shared" si="79"/>
        <v>0</v>
      </c>
      <c r="W99" s="27">
        <f t="shared" si="86"/>
        <v>0</v>
      </c>
      <c r="X99" s="27">
        <f t="shared" si="87"/>
        <v>0</v>
      </c>
      <c r="Y99" s="142">
        <f t="shared" si="80"/>
        <v>1.0000000000000011</v>
      </c>
      <c r="Z99" s="89">
        <f t="shared" si="56"/>
        <v>1.0000000000000011</v>
      </c>
      <c r="AB99" s="92">
        <f>(IF('Parameters &amp; DSA'!$H$1=1,(('Parameters &amp; DSA'!$B$76+'Parameters &amp; DSA'!$B$84+'Parameters &amp; DSA'!$B$88+'Parameters &amp; DSA'!$B$92)*($K99))/(1+cDC)^$A99,(('Parameters &amp; DSA'!$B$76+'Parameters &amp; DSA'!$B$84)*($K99))))*($AD$2/$AF$2)</f>
        <v>0</v>
      </c>
      <c r="AC99" s="371">
        <f>(IF('Parameters &amp; DSA'!$H$1=1,(('Parameters &amp; DSA'!$B$76+'Parameters &amp; DSA'!$B$84+'Parameters &amp; DSA'!$B$88+'Parameters &amp; DSA'!$B$92)*($M99+$N99))/(1+cDC)^$A99,(('Parameters &amp; DSA'!$B$76+'Parameters &amp; DSA'!$B$84)*($M99+$N99))))*($AD$2/$AF$2)</f>
        <v>0</v>
      </c>
      <c r="AD99" s="371">
        <f>(IF('Parameters &amp; DSA'!$H$1=1,(('Parameters &amp; DSA'!$B$76+'Parameters &amp; DSA'!$B$84+'Parameters &amp; DSA'!$B$88+'Parameters &amp; DSA'!$B$92)*(P99+Q99))/(1+cDC)^$A99,(('Parameters &amp; DSA'!$B$76+'Parameters &amp; DSA'!$B$84)*(P99+Q99))))*($AD$2/$AF$2)</f>
        <v>0</v>
      </c>
      <c r="AE99" s="371">
        <f>(IF('Parameters &amp; DSA'!$H$1=1,(('Parameters &amp; DSA'!$B$76+'Parameters &amp; DSA'!$B$84+'Parameters &amp; DSA'!$B$88+'Parameters &amp; DSA'!$B$92)*(S99+T99))/(1+cDC)^$A99,(('Parameters &amp; DSA'!$B$76+'Parameters &amp; DSA'!$B$84)*(S99+T99))))*($AD$2/$AF$2)</f>
        <v>0</v>
      </c>
      <c r="AF99" s="371">
        <f>(IF('Parameters &amp; DSA'!$H$1=1,(((W99-W98)*cM_Dialysis0)+(W99*cM_Dialysis1))/(1+'Parameters &amp; DSA'!$B$6)^$A99,(((W99-W98)*cM_Dialysis0)+(W99*cM_Dialysis1))))*($AD$2/$AG$2)</f>
        <v>0</v>
      </c>
      <c r="AG99" s="93">
        <f t="shared" si="81"/>
        <v>0</v>
      </c>
      <c r="AI99" s="88">
        <f t="shared" si="57"/>
        <v>0</v>
      </c>
      <c r="AJ99" s="27">
        <f t="shared" si="58"/>
        <v>0</v>
      </c>
      <c r="AK99" s="27">
        <f t="shared" si="59"/>
        <v>0</v>
      </c>
      <c r="AL99" s="27">
        <f t="shared" si="60"/>
        <v>0</v>
      </c>
      <c r="AM99" s="27">
        <f t="shared" si="61"/>
        <v>0</v>
      </c>
      <c r="AN99" s="27">
        <f t="shared" si="62"/>
        <v>0</v>
      </c>
      <c r="AO99" s="27">
        <f t="shared" si="63"/>
        <v>0</v>
      </c>
      <c r="AP99" s="27">
        <f t="shared" si="64"/>
        <v>0</v>
      </c>
      <c r="AQ99" s="27">
        <f t="shared" si="65"/>
        <v>0</v>
      </c>
      <c r="AR99" s="27">
        <f t="shared" si="66"/>
        <v>0</v>
      </c>
      <c r="AS99" s="27">
        <f t="shared" si="82"/>
        <v>0</v>
      </c>
      <c r="AT99" s="89">
        <f t="shared" si="83"/>
        <v>0</v>
      </c>
    </row>
    <row r="100" spans="1:46">
      <c r="A100" s="80">
        <v>96</v>
      </c>
      <c r="C100" s="10">
        <f t="shared" si="84"/>
        <v>138</v>
      </c>
      <c r="D100" s="98" t="str" cm="1">
        <f t="array" ref="D100">_xlfn.IFS(C100&lt;=4,"1-4",C100&lt;=9,"5-9",C100&lt;=14,"10-14",C100&lt;=19,"15-19",C100&lt;=24,"20-24",C100&lt;=29,"25-29",C100&lt;=34,"30-34",C100&lt;=39,"35-39",C100&lt;=44,"40-44",C100&lt;=49,"45-49",C100&lt;=54,"50-54",C100&lt;=54,"50-54",C100&lt;=59,"55-59",C100&lt;=64,"60-64",C100&lt;=69,"65-69",C100&lt;=74,"70-74",C100&lt;=79,"75-79",C100&lt;=84,"80-84",C100&gt;84,"85+")</f>
        <v>85+</v>
      </c>
      <c r="E100" s="83">
        <f>IF(D100="85+",1,VLOOKUP(D100,'Life table 2014'!$AF$3:$AR$21,7,FALSE))</f>
        <v>1</v>
      </c>
      <c r="F100" s="72"/>
      <c r="G100" s="316">
        <f t="shared" si="67"/>
        <v>35040</v>
      </c>
      <c r="H100" s="27">
        <f>'Parameters &amp; DSA'!$B$119*G100^'Parameters &amp; DSA'!$B$120</f>
        <v>4.6152088619519844</v>
      </c>
      <c r="I100" s="314">
        <f t="shared" si="85"/>
        <v>5.0342633886562127E-2</v>
      </c>
      <c r="J100" s="72"/>
      <c r="K100" s="140">
        <f t="shared" si="68"/>
        <v>0</v>
      </c>
      <c r="L100" s="141">
        <f t="shared" si="69"/>
        <v>0</v>
      </c>
      <c r="M100" s="141">
        <f t="shared" si="70"/>
        <v>0</v>
      </c>
      <c r="N100" s="27">
        <f t="shared" si="71"/>
        <v>0</v>
      </c>
      <c r="O100" s="27">
        <f t="shared" si="72"/>
        <v>0</v>
      </c>
      <c r="P100" s="27">
        <f t="shared" si="73"/>
        <v>0</v>
      </c>
      <c r="Q100" s="27">
        <f t="shared" si="74"/>
        <v>0</v>
      </c>
      <c r="R100" s="27">
        <f t="shared" si="75"/>
        <v>0</v>
      </c>
      <c r="S100" s="27">
        <f t="shared" si="76"/>
        <v>0</v>
      </c>
      <c r="T100" s="27">
        <f t="shared" si="77"/>
        <v>0</v>
      </c>
      <c r="U100" s="27">
        <f t="shared" si="78"/>
        <v>0</v>
      </c>
      <c r="V100" s="27">
        <f t="shared" si="79"/>
        <v>0</v>
      </c>
      <c r="W100" s="27">
        <f t="shared" si="86"/>
        <v>0</v>
      </c>
      <c r="X100" s="27">
        <f t="shared" si="87"/>
        <v>0</v>
      </c>
      <c r="Y100" s="142">
        <f t="shared" si="80"/>
        <v>1.0000000000000011</v>
      </c>
      <c r="Z100" s="89">
        <f>SUM(K100:Y100)</f>
        <v>1.0000000000000011</v>
      </c>
      <c r="AB100" s="92">
        <f>(IF('Parameters &amp; DSA'!$H$1=1,(('Parameters &amp; DSA'!$B$76+'Parameters &amp; DSA'!$B$84+'Parameters &amp; DSA'!$B$88+'Parameters &amp; DSA'!$B$92)*($K100))/(1+cDC)^$A100,(('Parameters &amp; DSA'!$B$76+'Parameters &amp; DSA'!$B$84)*($K100))))*($AD$2/$AF$2)</f>
        <v>0</v>
      </c>
      <c r="AC100" s="371">
        <f>(IF('Parameters &amp; DSA'!$H$1=1,(('Parameters &amp; DSA'!$B$76+'Parameters &amp; DSA'!$B$84+'Parameters &amp; DSA'!$B$88+'Parameters &amp; DSA'!$B$92)*($M100+$N100))/(1+cDC)^$A100,(('Parameters &amp; DSA'!$B$76+'Parameters &amp; DSA'!$B$84)*($M100+$N100))))*($AD$2/$AF$2)</f>
        <v>0</v>
      </c>
      <c r="AD100" s="371">
        <f>(IF('Parameters &amp; DSA'!$H$1=1,(('Parameters &amp; DSA'!$B$76+'Parameters &amp; DSA'!$B$84+'Parameters &amp; DSA'!$B$88+'Parameters &amp; DSA'!$B$92)*(P100+Q100))/(1+cDC)^$A100,(('Parameters &amp; DSA'!$B$76+'Parameters &amp; DSA'!$B$84)*(P100+Q100))))*($AD$2/$AF$2)</f>
        <v>0</v>
      </c>
      <c r="AE100" s="371">
        <f>(IF('Parameters &amp; DSA'!$H$1=1,(('Parameters &amp; DSA'!$B$76+'Parameters &amp; DSA'!$B$84+'Parameters &amp; DSA'!$B$88+'Parameters &amp; DSA'!$B$92)*(S100+T100))/(1+cDC)^$A100,(('Parameters &amp; DSA'!$B$76+'Parameters &amp; DSA'!$B$84)*(S100+T100))))*($AD$2/$AF$2)</f>
        <v>0</v>
      </c>
      <c r="AF100" s="371">
        <f>(IF('Parameters &amp; DSA'!$H$1=1,(((W100-W99)*cM_Dialysis0)+(W100*cM_Dialysis1))/(1+'Parameters &amp; DSA'!$B$6)^$A100,(((W100-W99)*cM_Dialysis0)+(W100*cM_Dialysis1))))*($AD$2/$AG$2)</f>
        <v>0</v>
      </c>
      <c r="AG100" s="93">
        <f t="shared" si="81"/>
        <v>0</v>
      </c>
      <c r="AI100" s="88">
        <f t="shared" si="57"/>
        <v>0</v>
      </c>
      <c r="AJ100" s="27">
        <f>AI100*u3aCT</f>
        <v>0</v>
      </c>
      <c r="AK100" s="27">
        <f t="shared" si="59"/>
        <v>0</v>
      </c>
      <c r="AL100" s="27">
        <f>AK100*u3bCT</f>
        <v>0</v>
      </c>
      <c r="AM100" s="27">
        <f t="shared" si="61"/>
        <v>0</v>
      </c>
      <c r="AN100" s="27">
        <f>AM100*u4CT</f>
        <v>0</v>
      </c>
      <c r="AO100" s="27">
        <f t="shared" si="63"/>
        <v>0</v>
      </c>
      <c r="AP100" s="27">
        <f>AO100*u5CT</f>
        <v>0</v>
      </c>
      <c r="AQ100" s="27">
        <f t="shared" si="65"/>
        <v>0</v>
      </c>
      <c r="AR100" s="27">
        <f>AQ100*uDialysisCT</f>
        <v>0</v>
      </c>
      <c r="AS100" s="27">
        <f t="shared" si="82"/>
        <v>0</v>
      </c>
      <c r="AT100" s="89">
        <f t="shared" si="83"/>
        <v>0</v>
      </c>
    </row>
    <row r="101" spans="1:46">
      <c r="A101" s="80">
        <v>97</v>
      </c>
      <c r="C101" s="10">
        <f t="shared" si="84"/>
        <v>139</v>
      </c>
      <c r="D101" s="98" t="str" cm="1">
        <f t="array" ref="D101">_xlfn.IFS(C101&lt;=4,"1-4",C101&lt;=9,"5-9",C101&lt;=14,"10-14",C101&lt;=19,"15-19",C101&lt;=24,"20-24",C101&lt;=29,"25-29",C101&lt;=34,"30-34",C101&lt;=39,"35-39",C101&lt;=44,"40-44",C101&lt;=49,"45-49",C101&lt;=54,"50-54",C101&lt;=54,"50-54",C101&lt;=59,"55-59",C101&lt;=64,"60-64",C101&lt;=69,"65-69",C101&lt;=74,"70-74",C101&lt;=79,"75-79",C101&lt;=84,"80-84",C101&gt;84,"85+")</f>
        <v>85+</v>
      </c>
      <c r="E101" s="83">
        <f>IF(D101="85+",1,VLOOKUP(D101,'Life table 2014'!$AF$3:$AR$21,7,FALSE))</f>
        <v>1</v>
      </c>
      <c r="F101" s="72"/>
      <c r="G101" s="316">
        <f t="shared" si="67"/>
        <v>35405</v>
      </c>
      <c r="H101" s="27">
        <f>'Parameters &amp; DSA'!$B$119*G101^'Parameters &amp; DSA'!$B$120</f>
        <v>4.6669031872011342</v>
      </c>
      <c r="I101" s="314">
        <f t="shared" si="85"/>
        <v>5.0380902936497884E-2</v>
      </c>
      <c r="J101" s="72"/>
      <c r="K101" s="140">
        <f t="shared" si="68"/>
        <v>0</v>
      </c>
      <c r="L101" s="141">
        <f t="shared" si="69"/>
        <v>0</v>
      </c>
      <c r="M101" s="141">
        <f t="shared" si="70"/>
        <v>0</v>
      </c>
      <c r="N101" s="27">
        <f t="shared" si="71"/>
        <v>0</v>
      </c>
      <c r="O101" s="27">
        <f t="shared" si="72"/>
        <v>0</v>
      </c>
      <c r="P101" s="27">
        <f t="shared" si="73"/>
        <v>0</v>
      </c>
      <c r="Q101" s="27">
        <f t="shared" si="74"/>
        <v>0</v>
      </c>
      <c r="R101" s="27">
        <f t="shared" si="75"/>
        <v>0</v>
      </c>
      <c r="S101" s="27">
        <f t="shared" si="76"/>
        <v>0</v>
      </c>
      <c r="T101" s="27">
        <f t="shared" si="77"/>
        <v>0</v>
      </c>
      <c r="U101" s="27">
        <f t="shared" si="78"/>
        <v>0</v>
      </c>
      <c r="V101" s="27">
        <f t="shared" si="79"/>
        <v>0</v>
      </c>
      <c r="W101" s="27">
        <f t="shared" si="86"/>
        <v>0</v>
      </c>
      <c r="X101" s="27">
        <f t="shared" si="87"/>
        <v>0</v>
      </c>
      <c r="Y101" s="142">
        <f t="shared" si="80"/>
        <v>1.0000000000000011</v>
      </c>
      <c r="Z101" s="89">
        <f>SUM(K101:Y101)</f>
        <v>1.0000000000000011</v>
      </c>
      <c r="AB101" s="92">
        <f>(IF('Parameters &amp; DSA'!$H$1=1,(('Parameters &amp; DSA'!$B$76+'Parameters &amp; DSA'!$B$84+'Parameters &amp; DSA'!$B$88+'Parameters &amp; DSA'!$B$92)*($K101))/(1+cDC)^$A101,(('Parameters &amp; DSA'!$B$76+'Parameters &amp; DSA'!$B$84)*($K101))))*($AD$2/$AF$2)</f>
        <v>0</v>
      </c>
      <c r="AC101" s="371">
        <f>(IF('Parameters &amp; DSA'!$H$1=1,(('Parameters &amp; DSA'!$B$76+'Parameters &amp; DSA'!$B$84+'Parameters &amp; DSA'!$B$88+'Parameters &amp; DSA'!$B$92)*($M101+$N101))/(1+cDC)^$A101,(('Parameters &amp; DSA'!$B$76+'Parameters &amp; DSA'!$B$84)*($M101+$N101))))*($AD$2/$AF$2)</f>
        <v>0</v>
      </c>
      <c r="AD101" s="371">
        <f>(IF('Parameters &amp; DSA'!$H$1=1,(('Parameters &amp; DSA'!$B$76+'Parameters &amp; DSA'!$B$84+'Parameters &amp; DSA'!$B$88+'Parameters &amp; DSA'!$B$92)*(P101+Q101))/(1+cDC)^$A101,(('Parameters &amp; DSA'!$B$76+'Parameters &amp; DSA'!$B$84)*(P101+Q101))))*($AD$2/$AF$2)</f>
        <v>0</v>
      </c>
      <c r="AE101" s="371">
        <f>(IF('Parameters &amp; DSA'!$H$1=1,(('Parameters &amp; DSA'!$B$76+'Parameters &amp; DSA'!$B$84+'Parameters &amp; DSA'!$B$88+'Parameters &amp; DSA'!$B$92)*(S101+T101))/(1+cDC)^$A101,(('Parameters &amp; DSA'!$B$76+'Parameters &amp; DSA'!$B$84)*(S101+T101))))*($AD$2/$AF$2)</f>
        <v>0</v>
      </c>
      <c r="AF101" s="371">
        <f>(IF('Parameters &amp; DSA'!$H$1=1,(((W101-W100)*cM_Dialysis0)+(W101*cM_Dialysis1))/(1+'Parameters &amp; DSA'!$B$6)^$A101,(((W101-W100)*cM_Dialysis0)+(W101*cM_Dialysis1))))*($AD$2/$AG$2)</f>
        <v>0</v>
      </c>
      <c r="AG101" s="93">
        <f t="shared" si="81"/>
        <v>0</v>
      </c>
      <c r="AI101" s="88">
        <f t="shared" si="57"/>
        <v>0</v>
      </c>
      <c r="AJ101" s="27">
        <f>AI101*u3aCT</f>
        <v>0</v>
      </c>
      <c r="AK101" s="27">
        <f t="shared" si="59"/>
        <v>0</v>
      </c>
      <c r="AL101" s="27">
        <f>AK101*u3bCT</f>
        <v>0</v>
      </c>
      <c r="AM101" s="27">
        <f t="shared" si="61"/>
        <v>0</v>
      </c>
      <c r="AN101" s="27">
        <f>AM101*u4CT</f>
        <v>0</v>
      </c>
      <c r="AO101" s="27">
        <f t="shared" si="63"/>
        <v>0</v>
      </c>
      <c r="AP101" s="27">
        <f>AO101*u5CT</f>
        <v>0</v>
      </c>
      <c r="AQ101" s="27">
        <f t="shared" si="65"/>
        <v>0</v>
      </c>
      <c r="AR101" s="27">
        <f>AQ101*uDialysisCT</f>
        <v>0</v>
      </c>
      <c r="AS101" s="27">
        <f t="shared" si="82"/>
        <v>0</v>
      </c>
      <c r="AT101" s="89">
        <f t="shared" si="83"/>
        <v>0</v>
      </c>
    </row>
    <row r="102" spans="1:46">
      <c r="A102" s="80">
        <v>98</v>
      </c>
      <c r="C102" s="10">
        <f t="shared" si="84"/>
        <v>140</v>
      </c>
      <c r="D102" s="98" t="str" cm="1">
        <f t="array" ref="D102">_xlfn.IFS(C102&lt;=4,"1-4",C102&lt;=9,"5-9",C102&lt;=14,"10-14",C102&lt;=19,"15-19",C102&lt;=24,"20-24",C102&lt;=29,"25-29",C102&lt;=34,"30-34",C102&lt;=39,"35-39",C102&lt;=44,"40-44",C102&lt;=49,"45-49",C102&lt;=54,"50-54",C102&lt;=54,"50-54",C102&lt;=59,"55-59",C102&lt;=64,"60-64",C102&lt;=69,"65-69",C102&lt;=74,"70-74",C102&lt;=79,"75-79",C102&lt;=84,"80-84",C102&gt;84,"85+")</f>
        <v>85+</v>
      </c>
      <c r="E102" s="83">
        <f>IF(D102="85+",1,VLOOKUP(D102,'Life table 2014'!$AF$3:$AR$21,7,FALSE))</f>
        <v>1</v>
      </c>
      <c r="F102" s="72"/>
      <c r="G102" s="316">
        <f t="shared" si="67"/>
        <v>35770</v>
      </c>
      <c r="H102" s="27">
        <f>'Parameters &amp; DSA'!$B$119*G102^'Parameters &amp; DSA'!$B$120</f>
        <v>4.7186374264983657</v>
      </c>
      <c r="I102" s="314">
        <f t="shared" si="85"/>
        <v>5.0418805322373639E-2</v>
      </c>
      <c r="J102" s="72"/>
      <c r="K102" s="140">
        <f t="shared" si="68"/>
        <v>0</v>
      </c>
      <c r="L102" s="141">
        <f t="shared" si="69"/>
        <v>0</v>
      </c>
      <c r="M102" s="141">
        <f t="shared" si="70"/>
        <v>0</v>
      </c>
      <c r="N102" s="27">
        <f t="shared" si="71"/>
        <v>0</v>
      </c>
      <c r="O102" s="27">
        <f t="shared" si="72"/>
        <v>0</v>
      </c>
      <c r="P102" s="27">
        <f t="shared" si="73"/>
        <v>0</v>
      </c>
      <c r="Q102" s="27">
        <f t="shared" si="74"/>
        <v>0</v>
      </c>
      <c r="R102" s="27">
        <f t="shared" si="75"/>
        <v>0</v>
      </c>
      <c r="S102" s="27">
        <f t="shared" si="76"/>
        <v>0</v>
      </c>
      <c r="T102" s="27">
        <f t="shared" si="77"/>
        <v>0</v>
      </c>
      <c r="U102" s="27">
        <f t="shared" si="78"/>
        <v>0</v>
      </c>
      <c r="V102" s="27">
        <f t="shared" si="79"/>
        <v>0</v>
      </c>
      <c r="W102" s="27">
        <f t="shared" si="86"/>
        <v>0</v>
      </c>
      <c r="X102" s="27">
        <f t="shared" si="87"/>
        <v>0</v>
      </c>
      <c r="Y102" s="142">
        <f t="shared" si="80"/>
        <v>1.0000000000000011</v>
      </c>
      <c r="Z102" s="89">
        <f>SUM(K102:Y102)</f>
        <v>1.0000000000000011</v>
      </c>
      <c r="AB102" s="92">
        <f>(IF('Parameters &amp; DSA'!$H$1=1,(('Parameters &amp; DSA'!$B$76+'Parameters &amp; DSA'!$B$84+'Parameters &amp; DSA'!$B$88+'Parameters &amp; DSA'!$B$92)*($K102))/(1+cDC)^$A102,(('Parameters &amp; DSA'!$B$76+'Parameters &amp; DSA'!$B$84)*($K102))))*($AD$2/$AF$2)</f>
        <v>0</v>
      </c>
      <c r="AC102" s="371">
        <f>(IF('Parameters &amp; DSA'!$H$1=1,(('Parameters &amp; DSA'!$B$76+'Parameters &amp; DSA'!$B$84+'Parameters &amp; DSA'!$B$88+'Parameters &amp; DSA'!$B$92)*($M102+$N102))/(1+cDC)^$A102,(('Parameters &amp; DSA'!$B$76+'Parameters &amp; DSA'!$B$84)*($M102+$N102))))*($AD$2/$AF$2)</f>
        <v>0</v>
      </c>
      <c r="AD102" s="371">
        <f>(IF('Parameters &amp; DSA'!$H$1=1,(('Parameters &amp; DSA'!$B$76+'Parameters &amp; DSA'!$B$84+'Parameters &amp; DSA'!$B$88+'Parameters &amp; DSA'!$B$92)*(P102+Q102))/(1+cDC)^$A102,(('Parameters &amp; DSA'!$B$76+'Parameters &amp; DSA'!$B$84)*(P102+Q102))))*($AD$2/$AF$2)</f>
        <v>0</v>
      </c>
      <c r="AE102" s="371">
        <f>(IF('Parameters &amp; DSA'!$H$1=1,(('Parameters &amp; DSA'!$B$76+'Parameters &amp; DSA'!$B$84+'Parameters &amp; DSA'!$B$88+'Parameters &amp; DSA'!$B$92)*(S102+T102))/(1+cDC)^$A102,(('Parameters &amp; DSA'!$B$76+'Parameters &amp; DSA'!$B$84)*(S102+T102))))*($AD$2/$AF$2)</f>
        <v>0</v>
      </c>
      <c r="AF102" s="371">
        <f>(IF('Parameters &amp; DSA'!$H$1=1,(((W102-W101)*cM_Dialysis0)+(W102*cM_Dialysis1))/(1+'Parameters &amp; DSA'!$B$6)^$A102,(((W102-W101)*cM_Dialysis0)+(W102*cM_Dialysis1))))*($AD$2/$AG$2)</f>
        <v>0</v>
      </c>
      <c r="AG102" s="93">
        <f t="shared" si="81"/>
        <v>0</v>
      </c>
      <c r="AI102" s="88">
        <f t="shared" si="57"/>
        <v>0</v>
      </c>
      <c r="AJ102" s="27">
        <f>AI102*u3aCT</f>
        <v>0</v>
      </c>
      <c r="AK102" s="27">
        <f t="shared" si="59"/>
        <v>0</v>
      </c>
      <c r="AL102" s="27">
        <f>AK102*u3bCT</f>
        <v>0</v>
      </c>
      <c r="AM102" s="27">
        <f t="shared" si="61"/>
        <v>0</v>
      </c>
      <c r="AN102" s="27">
        <f>AM102*u4CT</f>
        <v>0</v>
      </c>
      <c r="AO102" s="27">
        <f t="shared" si="63"/>
        <v>0</v>
      </c>
      <c r="AP102" s="27">
        <f>AO102*u5CT</f>
        <v>0</v>
      </c>
      <c r="AQ102" s="27">
        <f t="shared" si="65"/>
        <v>0</v>
      </c>
      <c r="AR102" s="27">
        <f>AQ102*uDialysisCT</f>
        <v>0</v>
      </c>
      <c r="AS102" s="27">
        <f t="shared" si="82"/>
        <v>0</v>
      </c>
      <c r="AT102" s="89">
        <f t="shared" si="83"/>
        <v>0</v>
      </c>
    </row>
    <row r="103" spans="1:46" ht="16.5" thickBot="1">
      <c r="A103" s="76">
        <v>99</v>
      </c>
      <c r="C103" s="84">
        <f t="shared" si="84"/>
        <v>141</v>
      </c>
      <c r="D103" s="85" t="str" cm="1">
        <f t="array" ref="D103">_xlfn.IFS(C103&lt;=4,"1-4",C103&lt;=9,"5-9",C103&lt;=14,"10-14",C103&lt;=19,"15-19",C103&lt;=24,"20-24",C103&lt;=29,"25-29",C103&lt;=34,"30-34",C103&lt;=39,"35-39",C103&lt;=44,"40-44",C103&lt;=49,"45-49",C103&lt;=54,"50-54",C103&lt;=54,"50-54",C103&lt;=59,"55-59",C103&lt;=64,"60-64",C103&lt;=69,"65-69",C103&lt;=74,"70-74",C103&lt;=79,"75-79",C103&lt;=84,"80-84",C103&gt;84,"85+")</f>
        <v>85+</v>
      </c>
      <c r="E103" s="86">
        <f>IF(D103="85+",1,VLOOKUP(D103,'Life table 2014'!$AF$3:$AR$21,7,FALSE))</f>
        <v>1</v>
      </c>
      <c r="F103" s="72"/>
      <c r="G103" s="317">
        <f t="shared" si="67"/>
        <v>36135</v>
      </c>
      <c r="H103" s="90">
        <f>'Parameters &amp; DSA'!$B$119*G103^'Parameters &amp; DSA'!$B$120</f>
        <v>4.7704112028919008</v>
      </c>
      <c r="I103" s="315">
        <f t="shared" si="85"/>
        <v>5.0456348263341333E-2</v>
      </c>
      <c r="J103" s="72"/>
      <c r="K103" s="143">
        <f>(SUM(K102:K102)*(1-E103))*p3a_3a</f>
        <v>0</v>
      </c>
      <c r="L103" s="125">
        <f>(SUM(K102:K102)*(1-E103))*p3a_Death</f>
        <v>0</v>
      </c>
      <c r="M103" s="125">
        <f>(SUM(K102:K102)*(1-E103))*p3a_3b</f>
        <v>0</v>
      </c>
      <c r="N103" s="90">
        <f t="shared" si="71"/>
        <v>0</v>
      </c>
      <c r="O103" s="90">
        <f t="shared" si="72"/>
        <v>0</v>
      </c>
      <c r="P103" s="90">
        <f t="shared" si="73"/>
        <v>0</v>
      </c>
      <c r="Q103" s="90">
        <f t="shared" si="74"/>
        <v>0</v>
      </c>
      <c r="R103" s="90">
        <f t="shared" si="75"/>
        <v>0</v>
      </c>
      <c r="S103" s="90">
        <f t="shared" si="76"/>
        <v>0</v>
      </c>
      <c r="T103" s="90">
        <f t="shared" si="77"/>
        <v>0</v>
      </c>
      <c r="U103" s="90">
        <f t="shared" si="78"/>
        <v>0</v>
      </c>
      <c r="V103" s="90">
        <f t="shared" si="79"/>
        <v>0</v>
      </c>
      <c r="W103" s="90">
        <f t="shared" ref="W103" si="88">(SUM(V102:W102)*(1-E103))*pDialysis_Dialysis</f>
        <v>0</v>
      </c>
      <c r="X103" s="90">
        <f t="shared" ref="X103" si="89">(SUM(V102:W102)*(1-E103))*pDialysis_Death</f>
        <v>0</v>
      </c>
      <c r="Y103" s="121">
        <f t="shared" si="80"/>
        <v>1.0000000000000011</v>
      </c>
      <c r="Z103" s="91">
        <f>SUM(K103:Y103)</f>
        <v>1.0000000000000011</v>
      </c>
      <c r="AB103" s="92">
        <f>(IF('Parameters &amp; DSA'!$H$1=1,(('Parameters &amp; DSA'!$B$76+'Parameters &amp; DSA'!$B$84+'Parameters &amp; DSA'!$B$88+'Parameters &amp; DSA'!$B$92)*($K103))/(1+cDC)^$A103,(('Parameters &amp; DSA'!$B$76+'Parameters &amp; DSA'!$B$84)*($K103))))*($AD$2/$AF$2)</f>
        <v>0</v>
      </c>
      <c r="AC103" s="371">
        <f>(IF('Parameters &amp; DSA'!$H$1=1,(('Parameters &amp; DSA'!$B$76+'Parameters &amp; DSA'!$B$84+'Parameters &amp; DSA'!$B$88+'Parameters &amp; DSA'!$B$92)*($M103+$N103))/(1+cDC)^$A103,(('Parameters &amp; DSA'!$B$76+'Parameters &amp; DSA'!$B$84)*($M103+$N103))))*($AD$2/$AF$2)</f>
        <v>0</v>
      </c>
      <c r="AD103" s="371">
        <f>(IF('Parameters &amp; DSA'!$H$1=1,(('Parameters &amp; DSA'!$B$76+'Parameters &amp; DSA'!$B$84+'Parameters &amp; DSA'!$B$88+'Parameters &amp; DSA'!$B$92)*(P103+Q103))/(1+cDC)^$A103,(('Parameters &amp; DSA'!$B$76+'Parameters &amp; DSA'!$B$84)*(P103+Q103))))*($AD$2/$AF$2)</f>
        <v>0</v>
      </c>
      <c r="AE103" s="371">
        <f>(IF('Parameters &amp; DSA'!$H$1=1,(('Parameters &amp; DSA'!$B$76+'Parameters &amp; DSA'!$B$84+'Parameters &amp; DSA'!$B$88+'Parameters &amp; DSA'!$B$92)*(S103+T103))/(1+cDC)^$A103,(('Parameters &amp; DSA'!$B$76+'Parameters &amp; DSA'!$B$84)*(S103+T103))))*($AD$2/$AF$2)</f>
        <v>0</v>
      </c>
      <c r="AF103" s="371">
        <f>(IF('Parameters &amp; DSA'!$H$1=1,(((W103-W102)*cM_Dialysis0)+(W103*cM_Dialysis1))/(1+'Parameters &amp; DSA'!$B$6)^$A103,(((W103-W102)*cM_Dialysis0)+(W103*cM_Dialysis1))))*($AD$2/$AG$2)</f>
        <v>0</v>
      </c>
      <c r="AG103" s="93">
        <f t="shared" si="81"/>
        <v>0</v>
      </c>
      <c r="AI103" s="124">
        <f t="shared" si="57"/>
        <v>0</v>
      </c>
      <c r="AJ103" s="90">
        <f>AI103*u3aCT</f>
        <v>0</v>
      </c>
      <c r="AK103" s="90">
        <f t="shared" si="59"/>
        <v>0</v>
      </c>
      <c r="AL103" s="90">
        <f>AK103*u3bCT</f>
        <v>0</v>
      </c>
      <c r="AM103" s="90">
        <f t="shared" si="61"/>
        <v>0</v>
      </c>
      <c r="AN103" s="90">
        <f>AM103*u4CT</f>
        <v>0</v>
      </c>
      <c r="AO103" s="90">
        <f t="shared" si="63"/>
        <v>0</v>
      </c>
      <c r="AP103" s="90">
        <f>AO103*u5CT</f>
        <v>0</v>
      </c>
      <c r="AQ103" s="90">
        <f t="shared" si="65"/>
        <v>0</v>
      </c>
      <c r="AR103" s="90">
        <f>AQ103*uDialysisCT</f>
        <v>0</v>
      </c>
      <c r="AS103" s="90">
        <f t="shared" si="82"/>
        <v>0</v>
      </c>
      <c r="AT103" s="91">
        <f t="shared" si="83"/>
        <v>0</v>
      </c>
    </row>
    <row r="104" spans="1:46" ht="16.5" thickBot="1">
      <c r="C104"/>
      <c r="D104"/>
      <c r="E104" s="72"/>
      <c r="F104" s="72"/>
      <c r="G104" s="33"/>
      <c r="H104" s="1"/>
      <c r="I104" s="72"/>
      <c r="J104" s="72"/>
    </row>
    <row r="105" spans="1:46" ht="16.5" thickBot="1">
      <c r="K105" s="229">
        <f>SUM(K4:K103)</f>
        <v>11.576935695562472</v>
      </c>
      <c r="L105" s="226">
        <f t="shared" ref="L105:X105" si="90">SUM(L4:L103)</f>
        <v>0</v>
      </c>
      <c r="M105" s="226">
        <f t="shared" si="90"/>
        <v>0.88141130796353906</v>
      </c>
      <c r="N105" s="226">
        <f t="shared" si="90"/>
        <v>1.7911855267259955</v>
      </c>
      <c r="O105" s="226">
        <f t="shared" si="90"/>
        <v>0</v>
      </c>
      <c r="P105" s="226">
        <f t="shared" si="90"/>
        <v>0.84845630213336609</v>
      </c>
      <c r="Q105" s="226">
        <f t="shared" si="90"/>
        <v>0.2778217989130714</v>
      </c>
      <c r="R105" s="226">
        <f t="shared" si="90"/>
        <v>0</v>
      </c>
      <c r="S105" s="226">
        <f t="shared" si="90"/>
        <v>0.83346539673921505</v>
      </c>
      <c r="T105" s="226">
        <f t="shared" si="90"/>
        <v>0.1171376622553079</v>
      </c>
      <c r="U105" s="226">
        <f t="shared" si="90"/>
        <v>0.35141298676592364</v>
      </c>
      <c r="V105" s="226">
        <f t="shared" si="90"/>
        <v>0.46855064902123161</v>
      </c>
      <c r="W105" s="226">
        <f t="shared" si="90"/>
        <v>5.6028288568906497</v>
      </c>
      <c r="X105" s="226">
        <f t="shared" si="90"/>
        <v>0.26460240757793163</v>
      </c>
      <c r="Y105" s="370">
        <f>SUM(K105:X105)</f>
        <v>23.013808590548702</v>
      </c>
      <c r="AB105" s="368">
        <f t="shared" ref="AB105:AG105" si="91">SUM(AB4:AB103)</f>
        <v>65313.817806942978</v>
      </c>
      <c r="AC105" s="369">
        <f t="shared" si="91"/>
        <v>13923.832347452222</v>
      </c>
      <c r="AD105" s="369">
        <f t="shared" si="91"/>
        <v>5663.6360529687136</v>
      </c>
      <c r="AE105" s="369">
        <f t="shared" si="91"/>
        <v>4637.4070633984011</v>
      </c>
      <c r="AF105" s="369">
        <f t="shared" si="91"/>
        <v>1904070.4407521973</v>
      </c>
      <c r="AG105" s="400">
        <f t="shared" si="91"/>
        <v>1993609.13402296</v>
      </c>
      <c r="AR105" s="30" t="s">
        <v>190</v>
      </c>
      <c r="AS105" s="128"/>
      <c r="AT105" s="401">
        <f>SUM(AT4:AT103)</f>
        <v>13.532767218020323</v>
      </c>
    </row>
    <row r="106" spans="1:46" ht="16.5" thickBot="1"/>
    <row r="107" spans="1:46" ht="16.5" thickBot="1">
      <c r="K107" s="229">
        <f>SUM(K4:K103)</f>
        <v>11.576935695562472</v>
      </c>
      <c r="L107" s="104"/>
      <c r="M107" s="104"/>
      <c r="N107" s="226">
        <f>SUM(M105:N105)</f>
        <v>2.6725968346895348</v>
      </c>
      <c r="O107" s="104"/>
      <c r="P107" s="104"/>
      <c r="Q107" s="226">
        <f>SUM(P105:Q105)</f>
        <v>1.1262781010464376</v>
      </c>
      <c r="R107" s="104"/>
      <c r="S107" s="104"/>
      <c r="T107" s="226">
        <f>SUM(S105:U105)</f>
        <v>1.3020160457604466</v>
      </c>
      <c r="U107" s="226"/>
      <c r="V107" s="104"/>
      <c r="W107" s="374">
        <f>SUM(V105:X105)</f>
        <v>6.335981913489813</v>
      </c>
      <c r="X107" s="27"/>
      <c r="Y107" s="27"/>
      <c r="AR107" s="30" t="s">
        <v>191</v>
      </c>
      <c r="AS107" s="129"/>
      <c r="AT107" s="401">
        <f>SUM(AS4:AS103)</f>
        <v>15.56549822443619</v>
      </c>
    </row>
    <row r="108" spans="1:46" ht="16.5" thickBot="1"/>
    <row r="109" spans="1:46" ht="16.5" thickBot="1">
      <c r="K109" s="375">
        <f>K107/Y105</f>
        <v>0.50304301654428818</v>
      </c>
      <c r="L109" s="376"/>
      <c r="M109" s="376"/>
      <c r="N109" s="376">
        <f>N107/Y105</f>
        <v>0.11613014091840128</v>
      </c>
      <c r="O109" s="376"/>
      <c r="P109" s="376"/>
      <c r="Q109" s="376">
        <f>Q107/Y105</f>
        <v>4.8939231271306255E-2</v>
      </c>
      <c r="R109" s="376"/>
      <c r="S109" s="376"/>
      <c r="T109" s="376">
        <f>T107/Y105</f>
        <v>5.6575426906746662E-2</v>
      </c>
      <c r="U109" s="376"/>
      <c r="V109" s="376"/>
      <c r="W109" s="377">
        <f>W107/Y105</f>
        <v>0.27531218435925769</v>
      </c>
    </row>
    <row r="113" spans="20:26">
      <c r="T113" s="11"/>
      <c r="U113" s="11"/>
      <c r="V113" s="11"/>
      <c r="W113" s="11"/>
      <c r="X113" s="11"/>
      <c r="Y113" s="11"/>
      <c r="Z113" s="387"/>
    </row>
    <row r="114" spans="20:26">
      <c r="T114" s="11"/>
      <c r="U114" s="11"/>
      <c r="V114" s="11"/>
      <c r="W114" s="386"/>
      <c r="X114" s="11"/>
      <c r="Y114" s="11"/>
      <c r="Z114" s="388"/>
    </row>
    <row r="115" spans="20:26">
      <c r="T115" s="11"/>
      <c r="Z115" s="388"/>
    </row>
    <row r="116" spans="20:26">
      <c r="T116" s="11"/>
      <c r="Z116" s="388"/>
    </row>
    <row r="117" spans="20:26">
      <c r="T117" s="11"/>
      <c r="Z117" s="388"/>
    </row>
    <row r="118" spans="20:26">
      <c r="T118" s="11"/>
      <c r="Z118" s="388"/>
    </row>
    <row r="119" spans="20:26">
      <c r="T119" s="11"/>
      <c r="Z119" s="388"/>
    </row>
    <row r="120" spans="20:26">
      <c r="T120" s="11"/>
      <c r="Z120" s="388"/>
    </row>
    <row r="121" spans="20:26">
      <c r="T121" s="11"/>
      <c r="Z121" s="388"/>
    </row>
    <row r="122" spans="20:26">
      <c r="T122" s="11"/>
      <c r="Z122" s="388"/>
    </row>
    <row r="123" spans="20:26">
      <c r="T123" s="11"/>
      <c r="Z123" s="388"/>
    </row>
    <row r="124" spans="20:26">
      <c r="T124" s="11"/>
      <c r="Z124" s="388"/>
    </row>
    <row r="125" spans="20:26">
      <c r="T125" s="11"/>
      <c r="Z125" s="388"/>
    </row>
    <row r="126" spans="20:26">
      <c r="T126" s="11"/>
      <c r="Z126" s="388"/>
    </row>
    <row r="127" spans="20:26">
      <c r="T127" s="11"/>
      <c r="Z127" s="388"/>
    </row>
  </sheetData>
  <mergeCells count="3">
    <mergeCell ref="C1:Z1"/>
    <mergeCell ref="AB1:AG1"/>
    <mergeCell ref="AI1:AT1"/>
  </mergeCells>
  <conditionalFormatting sqref="Z4:Z103">
    <cfRule type="cellIs" dxfId="7" priority="1" operator="notEqual">
      <formula>1</formula>
    </cfRule>
    <cfRule type="cellIs" dxfId="6" priority="2" operator="equal">
      <formula>1</formula>
    </cfRule>
  </conditionalFormatting>
  <pageMargins left="0.7" right="0.7" top="0.75" bottom="0.75" header="0.3" footer="0.3"/>
  <ignoredErrors>
    <ignoredError sqref="Q3" numberStoredAsText="1"/>
    <ignoredError sqref="D4:D103" twoDigitTextYear="1"/>
    <ignoredError sqref="N5:T5" formulaRange="1"/>
  </ignoredErrors>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98B60-8BD5-3D4C-BBE8-687ECBC7230B}">
  <sheetPr codeName="Sheet6"/>
  <dimension ref="A1:AU109"/>
  <sheetViews>
    <sheetView zoomScale="66" zoomScaleNormal="100" workbookViewId="0">
      <pane xSplit="2" ySplit="3" topLeftCell="G4" activePane="bottomRight" state="frozen"/>
      <selection activeCell="AN8" sqref="AN8"/>
      <selection pane="topRight" activeCell="AN8" sqref="AN8"/>
      <selection pane="bottomLeft" activeCell="AN8" sqref="AN8"/>
      <selection pane="bottomRight" activeCell="H46" sqref="H46"/>
    </sheetView>
  </sheetViews>
  <sheetFormatPr defaultColWidth="11.25" defaultRowHeight="15.75"/>
  <cols>
    <col min="1" max="1" width="10.75" style="11"/>
    <col min="2" max="2" width="2" style="11" customWidth="1"/>
    <col min="3" max="5" width="10.75" style="11"/>
    <col min="6" max="6" width="2" style="11" customWidth="1"/>
    <col min="7" max="9" width="10.75" style="11" customWidth="1"/>
    <col min="10" max="10" width="2" style="11" customWidth="1"/>
    <col min="12" max="12" width="0" hidden="1" customWidth="1"/>
    <col min="13" max="13" width="10.25" customWidth="1"/>
    <col min="15" max="15" width="0" hidden="1" customWidth="1"/>
    <col min="16" max="16" width="10" customWidth="1"/>
    <col min="18" max="18" width="12.25" hidden="1" customWidth="1"/>
    <col min="19" max="19" width="10.25" customWidth="1"/>
    <col min="21" max="21" width="12.25" bestFit="1" customWidth="1"/>
    <col min="22" max="22" width="10.25" customWidth="1"/>
    <col min="24" max="24" width="12.75" customWidth="1"/>
    <col min="25" max="25" width="17.75" customWidth="1"/>
    <col min="27" max="27" width="2.25" customWidth="1"/>
    <col min="28" max="28" width="18.75" customWidth="1"/>
    <col min="29" max="29" width="15.25" customWidth="1"/>
    <col min="30" max="30" width="13.75" customWidth="1"/>
    <col min="32" max="32" width="15.25" customWidth="1"/>
    <col min="33" max="33" width="22.75" customWidth="1"/>
    <col min="34" max="34" width="2.5" customWidth="1"/>
  </cols>
  <sheetData>
    <row r="1" spans="1:46" ht="16.5" thickBot="1">
      <c r="C1" s="718" t="s">
        <v>157</v>
      </c>
      <c r="D1" s="719"/>
      <c r="E1" s="719"/>
      <c r="F1" s="719"/>
      <c r="G1" s="719"/>
      <c r="H1" s="719"/>
      <c r="I1" s="719"/>
      <c r="J1" s="719"/>
      <c r="K1" s="719"/>
      <c r="L1" s="719"/>
      <c r="M1" s="719"/>
      <c r="N1" s="719"/>
      <c r="O1" s="719"/>
      <c r="P1" s="719"/>
      <c r="Q1" s="719"/>
      <c r="R1" s="719"/>
      <c r="S1" s="719"/>
      <c r="T1" s="719"/>
      <c r="U1" s="719"/>
      <c r="V1" s="719"/>
      <c r="W1" s="719"/>
      <c r="X1" s="719"/>
      <c r="Y1" s="719"/>
      <c r="Z1" s="720"/>
      <c r="AB1" s="718" t="s">
        <v>158</v>
      </c>
      <c r="AC1" s="719"/>
      <c r="AD1" s="719"/>
      <c r="AE1" s="719"/>
      <c r="AF1" s="719"/>
      <c r="AG1" s="720"/>
      <c r="AI1" s="718" t="s">
        <v>159</v>
      </c>
      <c r="AJ1" s="719"/>
      <c r="AK1" s="719"/>
      <c r="AL1" s="719"/>
      <c r="AM1" s="719"/>
      <c r="AN1" s="719"/>
      <c r="AO1" s="719"/>
      <c r="AP1" s="719"/>
      <c r="AQ1" s="719"/>
      <c r="AR1" s="719"/>
      <c r="AS1" s="719"/>
      <c r="AT1" s="720"/>
    </row>
    <row r="2" spans="1:46" ht="16.5" thickBot="1">
      <c r="A2"/>
      <c r="B2"/>
      <c r="C2" s="123"/>
      <c r="D2"/>
      <c r="E2"/>
      <c r="F2"/>
      <c r="G2"/>
      <c r="H2"/>
      <c r="I2"/>
      <c r="J2"/>
      <c r="AC2" s="236" t="s">
        <v>430</v>
      </c>
      <c r="AD2" s="97">
        <f>'MM Conventional'!AD2</f>
        <v>107.82</v>
      </c>
      <c r="AE2" s="236" t="s">
        <v>429</v>
      </c>
      <c r="AF2" s="97">
        <f>'MM Conventional'!AF2</f>
        <v>97.93</v>
      </c>
      <c r="AG2" s="479">
        <f>'MM Conventional'!AG2</f>
        <v>82</v>
      </c>
    </row>
    <row r="3" spans="1:46" s="73" customFormat="1">
      <c r="A3" s="117" t="s">
        <v>160</v>
      </c>
      <c r="B3" s="74"/>
      <c r="C3" s="117" t="s">
        <v>161</v>
      </c>
      <c r="D3" s="118" t="s">
        <v>162</v>
      </c>
      <c r="E3" s="120" t="s">
        <v>163</v>
      </c>
      <c r="F3" s="74"/>
      <c r="G3" s="318" t="s">
        <v>341</v>
      </c>
      <c r="H3" s="319" t="s">
        <v>342</v>
      </c>
      <c r="I3" s="120" t="s">
        <v>343</v>
      </c>
      <c r="J3" s="74"/>
      <c r="K3" s="119" t="s">
        <v>2</v>
      </c>
      <c r="L3" s="118" t="s">
        <v>164</v>
      </c>
      <c r="M3" s="118" t="s">
        <v>165</v>
      </c>
      <c r="N3" s="118" t="s">
        <v>3</v>
      </c>
      <c r="O3" s="118" t="s">
        <v>166</v>
      </c>
      <c r="P3" s="118" t="s">
        <v>167</v>
      </c>
      <c r="Q3" s="118" t="s">
        <v>168</v>
      </c>
      <c r="R3" s="118" t="s">
        <v>169</v>
      </c>
      <c r="S3" s="118" t="s">
        <v>170</v>
      </c>
      <c r="T3" s="118" t="s">
        <v>171</v>
      </c>
      <c r="U3" s="118" t="s">
        <v>172</v>
      </c>
      <c r="V3" s="118" t="s">
        <v>173</v>
      </c>
      <c r="W3" s="118" t="s">
        <v>7</v>
      </c>
      <c r="X3" s="118" t="s">
        <v>174</v>
      </c>
      <c r="Y3" s="118" t="s">
        <v>175</v>
      </c>
      <c r="Z3" s="120" t="s">
        <v>176</v>
      </c>
      <c r="AB3" s="119" t="s">
        <v>2</v>
      </c>
      <c r="AC3" s="118" t="s">
        <v>3</v>
      </c>
      <c r="AD3" s="118">
        <v>4</v>
      </c>
      <c r="AE3" s="118">
        <v>5</v>
      </c>
      <c r="AF3" s="118" t="s">
        <v>7</v>
      </c>
      <c r="AG3" s="120" t="s">
        <v>177</v>
      </c>
      <c r="AI3" s="119" t="s">
        <v>178</v>
      </c>
      <c r="AJ3" s="118" t="s">
        <v>179</v>
      </c>
      <c r="AK3" s="118" t="s">
        <v>180</v>
      </c>
      <c r="AL3" s="118" t="s">
        <v>181</v>
      </c>
      <c r="AM3" s="118" t="s">
        <v>182</v>
      </c>
      <c r="AN3" s="118" t="s">
        <v>183</v>
      </c>
      <c r="AO3" s="118" t="s">
        <v>184</v>
      </c>
      <c r="AP3" s="118" t="s">
        <v>185</v>
      </c>
      <c r="AQ3" s="118" t="s">
        <v>186</v>
      </c>
      <c r="AR3" s="118" t="s">
        <v>187</v>
      </c>
      <c r="AS3" s="118" t="s">
        <v>188</v>
      </c>
      <c r="AT3" s="120" t="s">
        <v>189</v>
      </c>
    </row>
    <row r="4" spans="1:46" ht="16.5" thickBot="1">
      <c r="A4" s="80">
        <v>0</v>
      </c>
      <c r="C4" s="76">
        <f>'MM Conventional'!C4</f>
        <v>42</v>
      </c>
      <c r="D4" s="98" t="str" cm="1">
        <f t="array" ref="D4">_xlfn.IFS(C4&lt;=4,"1-4",C4&lt;=9,"5-9",C4&lt;=14,"10-14",C4&lt;=19,"15-19",C4&lt;=24,"20-24",C4&lt;=29,"25-29",C4&lt;=34,"30-34",C4&lt;=39,"35-39",C4&lt;=44,"40-44",C4&lt;=49,"45-49",C4&lt;=54,"50-54",C4&lt;=54,"50-54",C4&lt;=59,"55-59",C4&lt;=64,"60-64",C4&lt;=69,"65-69",C4&lt;=74,"70-74",C4&lt;=79,"75-79",C4&lt;=84,"80-84",C4&gt;84,"85+")</f>
        <v>40-44</v>
      </c>
      <c r="E4" s="83">
        <f>IF(D4="85+",1,VLOOKUP(D4,'Life table 2014'!$AF$3:$AR$21,7,FALSE))</f>
        <v>3.7717617092161149E-3</v>
      </c>
      <c r="F4" s="72"/>
      <c r="G4" s="316">
        <f>A4*365</f>
        <v>0</v>
      </c>
      <c r="H4" s="27">
        <f>'Parameters &amp; DSA'!$B$119*G4^'Parameters &amp; DSA'!$B$120</f>
        <v>0</v>
      </c>
      <c r="I4" s="314">
        <v>0</v>
      </c>
      <c r="J4" s="72"/>
      <c r="K4" s="142">
        <f>'MM Conventional'!K4</f>
        <v>1</v>
      </c>
      <c r="L4" s="142">
        <f>'MM Conventional'!L4</f>
        <v>0</v>
      </c>
      <c r="M4" s="142">
        <f>'MM Conventional'!M4</f>
        <v>0</v>
      </c>
      <c r="N4" s="142">
        <f>'MM Conventional'!N4</f>
        <v>0</v>
      </c>
      <c r="O4" s="142">
        <f>'MM Conventional'!O4</f>
        <v>0</v>
      </c>
      <c r="P4" s="142">
        <f>'MM Conventional'!P4</f>
        <v>0</v>
      </c>
      <c r="Q4" s="142">
        <f>'MM Conventional'!Q4</f>
        <v>0</v>
      </c>
      <c r="R4" s="142">
        <f>'MM Conventional'!R4</f>
        <v>0</v>
      </c>
      <c r="S4" s="142">
        <f>'MM Conventional'!S4</f>
        <v>0</v>
      </c>
      <c r="T4" s="142">
        <f>'MM Conventional'!T4</f>
        <v>0</v>
      </c>
      <c r="U4" s="142">
        <f>'MM Conventional'!U4</f>
        <v>0</v>
      </c>
      <c r="V4" s="142">
        <f>'MM Conventional'!V4</f>
        <v>0</v>
      </c>
      <c r="W4" s="142">
        <f>'MM Conventional'!W4</f>
        <v>0</v>
      </c>
      <c r="X4" s="142">
        <f>'MM Conventional'!X4</f>
        <v>0</v>
      </c>
      <c r="Y4" s="142">
        <f>'MM Conventional'!Y4</f>
        <v>0</v>
      </c>
      <c r="Z4" s="89">
        <f>SUM(K4:Y4)</f>
        <v>1</v>
      </c>
      <c r="AB4" s="171">
        <f>(IF('Parameters &amp; DSA'!$H$1=1,(('Parameters &amp; DSA'!$B$79+'Parameters &amp; DSA'!$B$85+'Parameters &amp; DSA'!$B$89+'Parameters &amp; DSA'!$B$93)*K4)/(1+cDC)^$A4,(('Parameters &amp; DSA'!$B$79+'Parameters &amp; DSA'!$B$85)*K4)))*($AD$2/$AF$2)</f>
        <v>9760.0165751046661</v>
      </c>
      <c r="AC4" s="371">
        <f>(IF('Parameters &amp; DSA'!$H$1=1,(('Parameters &amp; DSA'!$B$79+'Parameters &amp; DSA'!$B$85+'Parameters &amp; DSA'!$B$89+'Parameters &amp; DSA'!$B$93)*($M4+$N4))/(1+cDC)^$A4,(('Parameters &amp; DSA'!$B$79+'Parameters &amp; DSA'!$B$85)*($M4+$N4))))*($AD$2/$AF$2)</f>
        <v>0</v>
      </c>
      <c r="AD4" s="371">
        <f>(IF('Parameters &amp; DSA'!$H$1=1,(('Parameters &amp; DSA'!$B$79+'Parameters &amp; DSA'!$B$85+'Parameters &amp; DSA'!$B$89+'Parameters &amp; DSA'!$B$93)*(P4+Q4))/(1+cDC)^$A4,(('Parameters &amp; DSA'!$B$79+'Parameters &amp; DSA'!$B$85)*(P4+Q4))))*($AD$2/$AF$2)</f>
        <v>0</v>
      </c>
      <c r="AE4" s="371">
        <f>(IF('Parameters &amp; DSA'!$H$1=1,(('Parameters &amp; DSA'!$B$79+'Parameters &amp; DSA'!$B$85+'Parameters &amp; DSA'!$B$89+'Parameters &amp; DSA'!$B$93)*(S4+T4))/(1+cDC)^$A4,(('Parameters &amp; DSA'!$B$79+'Parameters &amp; DSA'!$B$85)*(S4+T4))))*($AD$2/$AF$2)</f>
        <v>0</v>
      </c>
      <c r="AF4" s="371">
        <v>0</v>
      </c>
      <c r="AG4" s="172">
        <f>(SUM(AB4:AF4))</f>
        <v>9760.0165751046661</v>
      </c>
      <c r="AI4" s="88">
        <f t="shared" ref="AI4:AI35" si="0">K4/((1+cDO)^$A4)</f>
        <v>1</v>
      </c>
      <c r="AJ4" s="27">
        <f>AI4*u3aCT</f>
        <v>0.91693029999999998</v>
      </c>
      <c r="AK4" s="27">
        <f t="shared" ref="AK4:AK35" si="1">(M4+N4)/((1+cDO)^$A4)</f>
        <v>0</v>
      </c>
      <c r="AL4" s="27">
        <f>AK4*u3bCT</f>
        <v>0</v>
      </c>
      <c r="AM4" s="27">
        <f t="shared" ref="AM4:AM35" si="2">(P4+Q4)/((1+cDO)^$A4)</f>
        <v>0</v>
      </c>
      <c r="AN4" s="27">
        <f>AM4*u4CT</f>
        <v>0</v>
      </c>
      <c r="AO4" s="27">
        <f t="shared" ref="AO4:AO35" si="3">(S4+T4)/((1+cDO)^$A4)</f>
        <v>0</v>
      </c>
      <c r="AP4" s="27">
        <f>AO4*u5CT</f>
        <v>0</v>
      </c>
      <c r="AQ4" s="27">
        <f t="shared" ref="AQ4:AQ35" si="4">(V4+W4)/((1+cDO)^$A4)</f>
        <v>0</v>
      </c>
      <c r="AR4" s="27">
        <f>AQ4*uDialysisCT</f>
        <v>0</v>
      </c>
      <c r="AS4" s="27">
        <f>AI4+AK4+AM4+AO4+AQ4</f>
        <v>1</v>
      </c>
      <c r="AT4" s="89">
        <f>SUM(AJ4+AL4+AN4+AP4+AR4)</f>
        <v>0.91693029999999998</v>
      </c>
    </row>
    <row r="5" spans="1:46">
      <c r="A5" s="80">
        <v>1</v>
      </c>
      <c r="C5" s="10">
        <f>$C$4+A5</f>
        <v>43</v>
      </c>
      <c r="D5" s="98" t="str" cm="1">
        <f t="array" ref="D5">_xlfn.IFS(C5&lt;=4,"1-4",C5&lt;=9,"5-9",C5&lt;=14,"10-14",C5&lt;=19,"15-19",C5&lt;=24,"20-24",C5&lt;=29,"25-29",C5&lt;=34,"30-34",C5&lt;=39,"35-39",C5&lt;=44,"40-44",C5&lt;=49,"45-49",C5&lt;=54,"50-54",C5&lt;=54,"50-54",C5&lt;=59,"55-59",C5&lt;=64,"60-64",C5&lt;=69,"65-69",C5&lt;=74,"70-74",C5&lt;=79,"75-79",C5&lt;=84,"80-84",C5&gt;84,"85+")</f>
        <v>40-44</v>
      </c>
      <c r="E5" s="83">
        <f>IF(D5="85+",1,VLOOKUP(D5,'Life table 2014'!$AF$3:$AR$21,7,FALSE))</f>
        <v>3.7717617092161149E-3</v>
      </c>
      <c r="F5" s="72"/>
      <c r="G5" s="316">
        <f t="shared" ref="G5:G68" si="5">A5*365</f>
        <v>365</v>
      </c>
      <c r="H5" s="27">
        <f>'Parameters &amp; DSA'!$B$119*G5^'Parameters &amp; DSA'!$B$120</f>
        <v>3.4159941547256913E-2</v>
      </c>
      <c r="I5" s="314">
        <f>1-EXP(H4-H5)</f>
        <v>3.3583077942061501E-2</v>
      </c>
      <c r="J5" s="72"/>
      <c r="K5" s="140">
        <f t="shared" ref="K5:K36" si="6">(K4*(1-E5))*p3a_3aMDCT</f>
        <v>0.91959529688380059</v>
      </c>
      <c r="L5" s="141">
        <f t="shared" ref="L5:L36" si="7">(K4*(1-E5))*p3a_DeathMDCT</f>
        <v>0</v>
      </c>
      <c r="M5" s="141">
        <f t="shared" ref="M5:M36" si="8">(K4*(1-E5))*p3a_3bMDCT</f>
        <v>7.6632941406983374E-2</v>
      </c>
      <c r="N5" s="27">
        <f t="shared" ref="N5:N36" si="9">(SUM(M4:N4)*(1-E5))*p3b_3bMDCT</f>
        <v>0</v>
      </c>
      <c r="O5" s="27">
        <f t="shared" ref="O5:O36" si="10">(SUM(M4:N4)*(1-E5))*p3b_DeathMDCT</f>
        <v>0</v>
      </c>
      <c r="P5" s="27">
        <f t="shared" ref="P5:P36" si="11">(SUM(M4:N4)*(1-E5))*p3b_4MDCT</f>
        <v>0</v>
      </c>
      <c r="Q5" s="27">
        <f t="shared" ref="Q5:Q36" si="12">(SUM(P4:Q4)*(1-E5))*p4_4MDCT</f>
        <v>0</v>
      </c>
      <c r="R5" s="27">
        <f t="shared" ref="R5:R36" si="13">(SUM(P4:Q4)*(1-E5))*p4_DeathMDCT</f>
        <v>0</v>
      </c>
      <c r="S5" s="27">
        <f t="shared" ref="S5:S36" si="14">(SUM(P4:Q4)*(1-E5))*p4_5MDCT</f>
        <v>0</v>
      </c>
      <c r="T5" s="27">
        <f t="shared" ref="T5:T36" si="15">(SUM(S4:T4)*(1-E5))*p5_5MDCT</f>
        <v>0</v>
      </c>
      <c r="U5" s="27">
        <f t="shared" ref="U5:U36" si="16">(SUM(S4:T4)*(1-E5))*p5_DeathMDCT</f>
        <v>0</v>
      </c>
      <c r="V5" s="27">
        <f t="shared" ref="V5:V36" si="17">(SUM(S4:T4)*(1-E5))*p5_DialysisMDCT</f>
        <v>0</v>
      </c>
      <c r="W5" s="27">
        <f>(SUM(V4:W4)*(1-E5))*(1-I5)</f>
        <v>0</v>
      </c>
      <c r="X5" s="27">
        <f>(SUM(V4:W4)*(1-E5))*I5</f>
        <v>0</v>
      </c>
      <c r="Y5" s="142">
        <f t="shared" ref="Y5:Y36" si="18">(SUM(K4:K4,M4:N4,P4:Q4,S4:T4,V4:W4)*E5)+SUM(L4,O4,R4,U4,X4)+Y4</f>
        <v>3.7717617092161149E-3</v>
      </c>
      <c r="Z5" s="89">
        <f>SUM(K5:Y5)</f>
        <v>1</v>
      </c>
      <c r="AB5" s="171">
        <f>(IF('Parameters &amp; DSA'!$H$1=1,(('Parameters &amp; DSA'!$B$79+'Parameters &amp; DSA'!$B$85+'Parameters &amp; DSA'!$B$89+'Parameters &amp; DSA'!$B$93)*K5)/(1+cDC)^$A5,(('Parameters &amp; DSA'!$B$79+'Parameters &amp; DSA'!$B$85)*K5)))*($AD$2/$AF$2)</f>
        <v>8713.8498446351368</v>
      </c>
      <c r="AC5" s="371">
        <f>(IF('Parameters &amp; DSA'!$H$1=1,(('Parameters &amp; DSA'!$B$79+'Parameters &amp; DSA'!$B$85+'Parameters &amp; DSA'!$B$89+'Parameters &amp; DSA'!$B$93)*($M5+$N5))/(1+cDC)^$A5,(('Parameters &amp; DSA'!$B$79+'Parameters &amp; DSA'!$B$85)*($M5+$N5))))*($AD$2/$AF$2)</f>
        <v>726.15415371959466</v>
      </c>
      <c r="AD5" s="371">
        <f>(IF('Parameters &amp; DSA'!$H$1=1,(('Parameters &amp; DSA'!$B$79+'Parameters &amp; DSA'!$B$85+'Parameters &amp; DSA'!$B$89+'Parameters &amp; DSA'!$B$93)*(P5+Q5))/(1+cDC)^$A5,(('Parameters &amp; DSA'!$B$79+'Parameters &amp; DSA'!$B$85)*(P5+Q5))))*($AD$2/$AF$2)</f>
        <v>0</v>
      </c>
      <c r="AE5" s="371">
        <f>(IF('Parameters &amp; DSA'!$H$1=1,(('Parameters &amp; DSA'!$B$79+'Parameters &amp; DSA'!$B$85+'Parameters &amp; DSA'!$B$89+'Parameters &amp; DSA'!$B$93)*(S5+T5))/(1+cDC)^$A5,(('Parameters &amp; DSA'!$B$79+'Parameters &amp; DSA'!$B$85)*(S5+T5))))*($AD$2/$AF$2)</f>
        <v>0</v>
      </c>
      <c r="AF5" s="371">
        <f>(IF('Parameters &amp; DSA'!$H$1=1,(((W5-W4)*cM_Dialysis0)+(W5*cM_Dialysis1))/(1+'Parameters &amp; DSA'!$B$6)^$A5,(((W5-W4)*cM_Dialysis0)+(W5*cM_Dialysis1))))*($AD$2/$AG$2)</f>
        <v>0</v>
      </c>
      <c r="AG5" s="172">
        <f t="shared" ref="AG5:AG68" si="19">(SUM(AB5:AF5))</f>
        <v>9440.0039983547322</v>
      </c>
      <c r="AI5" s="88">
        <f t="shared" si="0"/>
        <v>0.89281096784835012</v>
      </c>
      <c r="AJ5" s="27">
        <f t="shared" ref="AJ5:AJ68" si="20">AI5*u3aCT</f>
        <v>0.81864542859247802</v>
      </c>
      <c r="AK5" s="27">
        <f t="shared" si="1"/>
        <v>7.4400913987362496E-2</v>
      </c>
      <c r="AL5" s="27">
        <f t="shared" ref="AL5:AL68" si="21">AK5*u3bCT</f>
        <v>6.8040394730765674E-2</v>
      </c>
      <c r="AM5" s="27">
        <f t="shared" si="2"/>
        <v>0</v>
      </c>
      <c r="AN5" s="27">
        <f t="shared" ref="AN5:AN68" si="22">AM5*u4CT</f>
        <v>0</v>
      </c>
      <c r="AO5" s="27">
        <f t="shared" si="3"/>
        <v>0</v>
      </c>
      <c r="AP5" s="27">
        <f t="shared" ref="AP5:AP68" si="23">AO5*u5CT</f>
        <v>0</v>
      </c>
      <c r="AQ5" s="27">
        <f t="shared" si="4"/>
        <v>0</v>
      </c>
      <c r="AR5" s="27">
        <f t="shared" ref="AR5:AR68" si="24">AQ5*uDialysisCT</f>
        <v>0</v>
      </c>
      <c r="AS5" s="27">
        <f t="shared" ref="AS5:AS68" si="25">AI5+AK5+AM5+AO5+AQ5</f>
        <v>0.96721188183571261</v>
      </c>
      <c r="AT5" s="89">
        <f t="shared" ref="AT5:AT68" si="26">SUM(AJ5+AL5+AN5+AP5+AR5)</f>
        <v>0.88668582332324375</v>
      </c>
    </row>
    <row r="6" spans="1:46">
      <c r="A6" s="80">
        <v>2</v>
      </c>
      <c r="C6" s="10">
        <f t="shared" ref="C6:C69" si="27">$C$4+A6</f>
        <v>44</v>
      </c>
      <c r="D6" s="98" t="str" cm="1">
        <f t="array" ref="D6">_xlfn.IFS(C6&lt;=4,"1-4",C6&lt;=9,"5-9",C6&lt;=14,"10-14",C6&lt;=19,"15-19",C6&lt;=24,"20-24",C6&lt;=29,"25-29",C6&lt;=34,"30-34",C6&lt;=39,"35-39",C6&lt;=44,"40-44",C6&lt;=49,"45-49",C6&lt;=54,"50-54",C6&lt;=54,"50-54",C6&lt;=59,"55-59",C6&lt;=64,"60-64",C6&lt;=69,"65-69",C6&lt;=74,"70-74",C6&lt;=79,"75-79",C6&lt;=84,"80-84",C6&gt;84,"85+")</f>
        <v>40-44</v>
      </c>
      <c r="E6" s="83">
        <f>IF(D6="85+",1,VLOOKUP(D6,'Life table 2014'!$AF$3:$AR$21,7,FALSE))</f>
        <v>3.7717617092161149E-3</v>
      </c>
      <c r="F6" s="72"/>
      <c r="G6" s="316">
        <f t="shared" si="5"/>
        <v>730</v>
      </c>
      <c r="H6" s="27">
        <f>'Parameters &amp; DSA'!$B$119*G6^'Parameters &amp; DSA'!$B$120</f>
        <v>7.195877583165064E-2</v>
      </c>
      <c r="I6" s="314">
        <f>1-EXP(H5-H6)</f>
        <v>3.7093374790453604E-2</v>
      </c>
      <c r="J6" s="72"/>
      <c r="K6" s="140">
        <f t="shared" si="6"/>
        <v>0.8456555100508053</v>
      </c>
      <c r="L6" s="141">
        <f t="shared" si="7"/>
        <v>0</v>
      </c>
      <c r="M6" s="141">
        <f t="shared" si="8"/>
        <v>7.0471292504233785E-2</v>
      </c>
      <c r="N6" s="27">
        <f t="shared" si="9"/>
        <v>6.5437628753931359E-2</v>
      </c>
      <c r="O6" s="27">
        <f t="shared" si="10"/>
        <v>0</v>
      </c>
      <c r="P6" s="27">
        <f t="shared" si="11"/>
        <v>1.0906271458988558E-2</v>
      </c>
      <c r="Q6" s="27">
        <f t="shared" si="12"/>
        <v>0</v>
      </c>
      <c r="R6" s="27">
        <f t="shared" si="13"/>
        <v>0</v>
      </c>
      <c r="S6" s="27">
        <f t="shared" si="14"/>
        <v>0</v>
      </c>
      <c r="T6" s="27">
        <f t="shared" si="15"/>
        <v>0</v>
      </c>
      <c r="U6" s="27">
        <f t="shared" si="16"/>
        <v>0</v>
      </c>
      <c r="V6" s="27">
        <f t="shared" si="17"/>
        <v>0</v>
      </c>
      <c r="W6" s="27">
        <f t="shared" ref="W6:W69" si="28">(SUM(V5:W5)*(1-E6))*(1-I6)</f>
        <v>0</v>
      </c>
      <c r="X6" s="27">
        <f t="shared" ref="X6:X69" si="29">(SUM(V5:W5)*(1-E6))*I6</f>
        <v>0</v>
      </c>
      <c r="Y6" s="142">
        <f t="shared" si="18"/>
        <v>7.5292972320411215E-3</v>
      </c>
      <c r="Z6" s="89">
        <f t="shared" ref="Z6:Z69" si="30">SUM(K6:Y6)</f>
        <v>1.0000000000000002</v>
      </c>
      <c r="AB6" s="171">
        <f>(IF('Parameters &amp; DSA'!$H$1=1,(('Parameters &amp; DSA'!$B$79+'Parameters &amp; DSA'!$B$85+'Parameters &amp; DSA'!$B$89+'Parameters &amp; DSA'!$B$93)*K6)/(1+cDC)^$A6,(('Parameters &amp; DSA'!$B$79+'Parameters &amp; DSA'!$B$85)*K6)))*($AD$2/$AF$2)</f>
        <v>7779.8207134738914</v>
      </c>
      <c r="AC6" s="371">
        <f>(IF('Parameters &amp; DSA'!$H$1=1,(('Parameters &amp; DSA'!$B$79+'Parameters &amp; DSA'!$B$85+'Parameters &amp; DSA'!$B$89+'Parameters &amp; DSA'!$B$93)*($M6+$N6))/(1+cDC)^$A6,(('Parameters &amp; DSA'!$B$79+'Parameters &amp; DSA'!$B$85)*($M6+$N6))))*($AD$2/$AF$2)</f>
        <v>1250.328328951161</v>
      </c>
      <c r="AD6" s="371">
        <f>(IF('Parameters &amp; DSA'!$H$1=1,(('Parameters &amp; DSA'!$B$79+'Parameters &amp; DSA'!$B$85+'Parameters &amp; DSA'!$B$89+'Parameters &amp; DSA'!$B$93)*(P6+Q6))/(1+cDC)^$A6,(('Parameters &amp; DSA'!$B$79+'Parameters &amp; DSA'!$B$85)*(P6+Q6))))*($AD$2/$AF$2)</f>
        <v>100.33498936027833</v>
      </c>
      <c r="AE6" s="371">
        <f>(IF('Parameters &amp; DSA'!$H$1=1,(('Parameters &amp; DSA'!$B$79+'Parameters &amp; DSA'!$B$85+'Parameters &amp; DSA'!$B$89+'Parameters &amp; DSA'!$B$93)*(S6+T6))/(1+cDC)^$A6,(('Parameters &amp; DSA'!$B$79+'Parameters &amp; DSA'!$B$85)*(S6+T6))))*($AD$2/$AF$2)</f>
        <v>0</v>
      </c>
      <c r="AF6" s="371">
        <f>(IF('Parameters &amp; DSA'!$H$1=1,(((W6-W5)*cM_Dialysis0)+(W6*cM_Dialysis1))/(1+'Parameters &amp; DSA'!$B$6)^$A6,(((W6-W5)*cM_Dialysis0)+(W6*cM_Dialysis1))))*($AD$2/$AG$2)</f>
        <v>0</v>
      </c>
      <c r="AG6" s="172">
        <f t="shared" si="19"/>
        <v>9130.4840317853304</v>
      </c>
      <c r="AI6" s="88">
        <f t="shared" si="0"/>
        <v>0.79711142431030757</v>
      </c>
      <c r="AJ6" s="27">
        <f t="shared" si="20"/>
        <v>0.73089561742627762</v>
      </c>
      <c r="AK6" s="27">
        <f t="shared" si="1"/>
        <v>0.12810719319272801</v>
      </c>
      <c r="AL6" s="27">
        <f t="shared" si="21"/>
        <v>0.11715533486812034</v>
      </c>
      <c r="AM6" s="27">
        <f t="shared" si="2"/>
        <v>1.0280206861144838E-2</v>
      </c>
      <c r="AN6" s="27">
        <f t="shared" si="22"/>
        <v>9.3391217723723108E-3</v>
      </c>
      <c r="AO6" s="27">
        <f t="shared" si="3"/>
        <v>0</v>
      </c>
      <c r="AP6" s="27">
        <f t="shared" si="23"/>
        <v>0</v>
      </c>
      <c r="AQ6" s="27">
        <f t="shared" si="4"/>
        <v>0</v>
      </c>
      <c r="AR6" s="27">
        <f t="shared" si="24"/>
        <v>0</v>
      </c>
      <c r="AS6" s="27">
        <f t="shared" si="25"/>
        <v>0.93549882436418041</v>
      </c>
      <c r="AT6" s="89">
        <f t="shared" si="26"/>
        <v>0.85739007406677026</v>
      </c>
    </row>
    <row r="7" spans="1:46">
      <c r="A7" s="80">
        <v>3</v>
      </c>
      <c r="C7" s="10">
        <f t="shared" si="27"/>
        <v>45</v>
      </c>
      <c r="D7" s="98" t="str" cm="1">
        <f t="array" ref="D7">_xlfn.IFS(C7&lt;=4,"1-4",C7&lt;=9,"5-9",C7&lt;=14,"10-14",C7&lt;=19,"15-19",C7&lt;=24,"20-24",C7&lt;=29,"25-29",C7&lt;=34,"30-34",C7&lt;=39,"35-39",C7&lt;=44,"40-44",C7&lt;=49,"45-49",C7&lt;=54,"50-54",C7&lt;=54,"50-54",C7&lt;=59,"55-59",C7&lt;=64,"60-64",C7&lt;=69,"65-69",C7&lt;=74,"70-74",C7&lt;=79,"75-79",C7&lt;=84,"80-84",C7&gt;84,"85+")</f>
        <v>45-49</v>
      </c>
      <c r="E7" s="83">
        <f>IF(D7="85+",1,VLOOKUP(D7,'Life table 2014'!$AF$3:$AR$21,7,FALSE))</f>
        <v>5.0261626657528424E-3</v>
      </c>
      <c r="F7" s="72"/>
      <c r="G7" s="316">
        <f t="shared" si="5"/>
        <v>1095</v>
      </c>
      <c r="H7" s="27">
        <f>'Parameters &amp; DSA'!$B$119*G7^'Parameters &amp; DSA'!$B$120</f>
        <v>0.11126488459734324</v>
      </c>
      <c r="I7" s="314">
        <f>1-EXP(H6-H7)</f>
        <v>3.8543646121451669E-2</v>
      </c>
      <c r="J7" s="72"/>
      <c r="K7" s="140">
        <f t="shared" si="6"/>
        <v>0.77668163805978441</v>
      </c>
      <c r="L7" s="141">
        <f t="shared" si="7"/>
        <v>0</v>
      </c>
      <c r="M7" s="141">
        <f t="shared" si="8"/>
        <v>6.4723469838315367E-2</v>
      </c>
      <c r="N7" s="27">
        <f t="shared" si="9"/>
        <v>0.11590784649616682</v>
      </c>
      <c r="O7" s="27">
        <f t="shared" si="10"/>
        <v>0</v>
      </c>
      <c r="P7" s="27">
        <f t="shared" si="11"/>
        <v>1.9317974416027801E-2</v>
      </c>
      <c r="Q7" s="27">
        <f t="shared" si="12"/>
        <v>8.1385910734191186E-3</v>
      </c>
      <c r="R7" s="27">
        <f t="shared" si="13"/>
        <v>0</v>
      </c>
      <c r="S7" s="27">
        <f t="shared" si="14"/>
        <v>2.712863691139706E-3</v>
      </c>
      <c r="T7" s="27">
        <f t="shared" si="15"/>
        <v>0</v>
      </c>
      <c r="U7" s="27">
        <f t="shared" si="16"/>
        <v>0</v>
      </c>
      <c r="V7" s="27">
        <f t="shared" si="17"/>
        <v>0</v>
      </c>
      <c r="W7" s="27">
        <f t="shared" si="28"/>
        <v>0</v>
      </c>
      <c r="X7" s="27">
        <f t="shared" si="29"/>
        <v>0</v>
      </c>
      <c r="Y7" s="142">
        <f t="shared" si="18"/>
        <v>1.2517616425146923E-2</v>
      </c>
      <c r="Z7" s="89">
        <f t="shared" si="30"/>
        <v>1</v>
      </c>
      <c r="AB7" s="171">
        <f>(IF('Parameters &amp; DSA'!$H$1=1,(('Parameters &amp; DSA'!$B$79+'Parameters &amp; DSA'!$B$85+'Parameters &amp; DSA'!$B$89+'Parameters &amp; DSA'!$B$93)*K7)/(1+cDC)^$A7,(('Parameters &amp; DSA'!$B$79+'Parameters &amp; DSA'!$B$85)*K7)))*($AD$2/$AF$2)</f>
        <v>6937.1633180501067</v>
      </c>
      <c r="AC7" s="371">
        <f>(IF('Parameters &amp; DSA'!$H$1=1,(('Parameters &amp; DSA'!$B$79+'Parameters &amp; DSA'!$B$85+'Parameters &amp; DSA'!$B$89+'Parameters &amp; DSA'!$B$93)*($M7+$N7))/(1+cDC)^$A7,(('Parameters &amp; DSA'!$B$79+'Parameters &amp; DSA'!$B$85)*($M7+$N7))))*($AD$2/$AF$2)</f>
        <v>1613.3623873186264</v>
      </c>
      <c r="AD7" s="371">
        <f>(IF('Parameters &amp; DSA'!$H$1=1,(('Parameters &amp; DSA'!$B$79+'Parameters &amp; DSA'!$B$85+'Parameters &amp; DSA'!$B$89+'Parameters &amp; DSA'!$B$93)*(P7+Q7))/(1+cDC)^$A7,(('Parameters &amp; DSA'!$B$79+'Parameters &amp; DSA'!$B$85)*(P7+Q7))))*($AD$2/$AF$2)</f>
        <v>245.23649024179755</v>
      </c>
      <c r="AE7" s="371">
        <f>(IF('Parameters &amp; DSA'!$H$1=1,(('Parameters &amp; DSA'!$B$79+'Parameters &amp; DSA'!$B$85+'Parameters &amp; DSA'!$B$89+'Parameters &amp; DSA'!$B$93)*(S7+T7))/(1+cDC)^$A7,(('Parameters &amp; DSA'!$B$79+'Parameters &amp; DSA'!$B$85)*(S7+T7))))*($AD$2/$AF$2)</f>
        <v>24.230749850166745</v>
      </c>
      <c r="AF7" s="371">
        <f>(IF('Parameters &amp; DSA'!$H$1=1,(((W7-W6)*cM_Dialysis0)+(W7*cM_Dialysis1))/(1+'Parameters &amp; DSA'!$B$6)^$A7,(((W7-W6)*cM_Dialysis0)+(W7*cM_Dialysis1))))*($AD$2/$AG$2)</f>
        <v>0</v>
      </c>
      <c r="AG7" s="172">
        <f t="shared" si="19"/>
        <v>8819.9929454606972</v>
      </c>
      <c r="AI7" s="88">
        <f t="shared" si="0"/>
        <v>0.71077372304316122</v>
      </c>
      <c r="AJ7" s="27">
        <f t="shared" si="20"/>
        <v>0.65172996310208275</v>
      </c>
      <c r="AK7" s="27">
        <f t="shared" si="1"/>
        <v>0.16530324256148352</v>
      </c>
      <c r="AL7" s="27">
        <f t="shared" si="21"/>
        <v>0.1511715014155508</v>
      </c>
      <c r="AM7" s="27">
        <f t="shared" si="2"/>
        <v>2.5126646902151148E-2</v>
      </c>
      <c r="AN7" s="27">
        <f t="shared" si="22"/>
        <v>2.2826468214128762E-2</v>
      </c>
      <c r="AO7" s="27">
        <f t="shared" si="3"/>
        <v>2.4826545799085278E-3</v>
      </c>
      <c r="AP7" s="27">
        <f t="shared" si="23"/>
        <v>2.1500275262305514E-3</v>
      </c>
      <c r="AQ7" s="27">
        <f t="shared" si="4"/>
        <v>0</v>
      </c>
      <c r="AR7" s="27">
        <f t="shared" si="24"/>
        <v>0</v>
      </c>
      <c r="AS7" s="27">
        <f t="shared" si="25"/>
        <v>0.90368626708670441</v>
      </c>
      <c r="AT7" s="89">
        <f t="shared" si="26"/>
        <v>0.82787796025799287</v>
      </c>
    </row>
    <row r="8" spans="1:46">
      <c r="A8" s="80">
        <v>4</v>
      </c>
      <c r="C8" s="10">
        <f t="shared" si="27"/>
        <v>46</v>
      </c>
      <c r="D8" s="98" t="str" cm="1">
        <f t="array" ref="D8">_xlfn.IFS(C8&lt;=4,"1-4",C8&lt;=9,"5-9",C8&lt;=14,"10-14",C8&lt;=19,"15-19",C8&lt;=24,"20-24",C8&lt;=29,"25-29",C8&lt;=34,"30-34",C8&lt;=39,"35-39",C8&lt;=44,"40-44",C8&lt;=49,"45-49",C8&lt;=54,"50-54",C8&lt;=54,"50-54",C8&lt;=59,"55-59",C8&lt;=64,"60-64",C8&lt;=69,"65-69",C8&lt;=74,"70-74",C8&lt;=79,"75-79",C8&lt;=84,"80-84",C8&gt;84,"85+")</f>
        <v>45-49</v>
      </c>
      <c r="E8" s="83">
        <f>IF(D8="85+",1,VLOOKUP(D8,'Life table 2014'!$AF$3:$AR$21,7,FALSE))</f>
        <v>5.0261626657528424E-3</v>
      </c>
      <c r="F8" s="72"/>
      <c r="G8" s="316">
        <f t="shared" si="5"/>
        <v>1460</v>
      </c>
      <c r="H8" s="27">
        <f>'Parameters &amp; DSA'!$B$119*G8^'Parameters &amp; DSA'!$B$120</f>
        <v>0.15158297071516957</v>
      </c>
      <c r="I8" s="314">
        <f t="shared" ref="I8:I71" si="31">1-EXP(H7-H8)</f>
        <v>3.9516126029827681E-2</v>
      </c>
      <c r="J8" s="72"/>
      <c r="K8" s="140">
        <f>(K7*(1-E8))*p3a_3aMDCT</f>
        <v>0.71333345520682401</v>
      </c>
      <c r="L8" s="141">
        <f t="shared" si="7"/>
        <v>0</v>
      </c>
      <c r="M8" s="141">
        <f t="shared" si="8"/>
        <v>5.9444454600568665E-2</v>
      </c>
      <c r="N8" s="27">
        <f t="shared" si="9"/>
        <v>0.15404865767661946</v>
      </c>
      <c r="O8" s="27">
        <f t="shared" si="10"/>
        <v>0</v>
      </c>
      <c r="P8" s="27">
        <f t="shared" si="11"/>
        <v>2.5674776279436574E-2</v>
      </c>
      <c r="Q8" s="27">
        <f t="shared" si="12"/>
        <v>2.0488923243790549E-2</v>
      </c>
      <c r="R8" s="27">
        <f t="shared" si="13"/>
        <v>0</v>
      </c>
      <c r="S8" s="27">
        <f t="shared" si="14"/>
        <v>6.8296410812635159E-3</v>
      </c>
      <c r="T8" s="27">
        <f t="shared" si="15"/>
        <v>3.3740354961725292E-4</v>
      </c>
      <c r="U8" s="27">
        <f t="shared" si="16"/>
        <v>1.0122106488517587E-3</v>
      </c>
      <c r="V8" s="27">
        <f t="shared" si="17"/>
        <v>1.3496141984690117E-3</v>
      </c>
      <c r="W8" s="27">
        <f t="shared" si="28"/>
        <v>0</v>
      </c>
      <c r="X8" s="27">
        <f t="shared" si="29"/>
        <v>0</v>
      </c>
      <c r="Y8" s="142">
        <f t="shared" si="18"/>
        <v>1.7480863514559478E-2</v>
      </c>
      <c r="Z8" s="89">
        <f t="shared" si="30"/>
        <v>1.0000000000000002</v>
      </c>
      <c r="AB8" s="171">
        <f>(IF('Parameters &amp; DSA'!$H$1=1,(('Parameters &amp; DSA'!$B$79+'Parameters &amp; DSA'!$B$85+'Parameters &amp; DSA'!$B$89+'Parameters &amp; DSA'!$B$93)*K8)/(1+cDC)^$A8,(('Parameters &amp; DSA'!$B$79+'Parameters &amp; DSA'!$B$85)*K8)))*($AD$2/$AF$2)</f>
        <v>6185.7768544657465</v>
      </c>
      <c r="AC8" s="371">
        <f>(IF('Parameters &amp; DSA'!$H$1=1,(('Parameters &amp; DSA'!$B$79+'Parameters &amp; DSA'!$B$85+'Parameters &amp; DSA'!$B$89+'Parameters &amp; DSA'!$B$93)*($M8+$N8))/(1+cDC)^$A8,(('Parameters &amp; DSA'!$B$79+'Parameters &amp; DSA'!$B$85)*($M8+$N8))))*($AD$2/$AF$2)</f>
        <v>1851.3371872193854</v>
      </c>
      <c r="AD8" s="371">
        <f>(IF('Parameters &amp; DSA'!$H$1=1,(('Parameters &amp; DSA'!$B$79+'Parameters &amp; DSA'!$B$85+'Parameters &amp; DSA'!$B$89+'Parameters &amp; DSA'!$B$93)*(P8+Q8))/(1+cDC)^$A8,(('Parameters &amp; DSA'!$B$79+'Parameters &amp; DSA'!$B$85)*(P8+Q8))))*($AD$2/$AF$2)</f>
        <v>400.3153671581195</v>
      </c>
      <c r="AE8" s="371">
        <f>(IF('Parameters &amp; DSA'!$H$1=1,(('Parameters &amp; DSA'!$B$79+'Parameters &amp; DSA'!$B$85+'Parameters &amp; DSA'!$B$89+'Parameters &amp; DSA'!$B$93)*(S8+T8))/(1+cDC)^$A8,(('Parameters &amp; DSA'!$B$79+'Parameters &amp; DSA'!$B$85)*(S8+T8))))*($AD$2/$AF$2)</f>
        <v>62.150090492771184</v>
      </c>
      <c r="AF8" s="371">
        <f>(IF('Parameters &amp; DSA'!$H$1=1,(((W8-W7)*cM_Dialysis0)+(W8*cM_Dialysis1))/(1+'Parameters &amp; DSA'!$B$6)^$A8,(((W8-W7)*cM_Dialysis0)+(W8*cM_Dialysis1))))*($AD$2/$AG$2)</f>
        <v>0</v>
      </c>
      <c r="AG8" s="172">
        <f t="shared" si="19"/>
        <v>8499.5794993360232</v>
      </c>
      <c r="AI8" s="88">
        <f t="shared" si="0"/>
        <v>0.63378753579620939</v>
      </c>
      <c r="AJ8" s="27">
        <f t="shared" si="20"/>
        <v>0.58113899533387903</v>
      </c>
      <c r="AK8" s="27">
        <f t="shared" si="1"/>
        <v>0.18968586507749161</v>
      </c>
      <c r="AL8" s="27">
        <f t="shared" si="21"/>
        <v>0.17346965840918988</v>
      </c>
      <c r="AM8" s="27">
        <f t="shared" si="2"/>
        <v>4.1015849110258969E-2</v>
      </c>
      <c r="AN8" s="27">
        <f t="shared" si="22"/>
        <v>3.7261118828818884E-2</v>
      </c>
      <c r="AO8" s="27">
        <f t="shared" si="3"/>
        <v>6.3678263263712426E-3</v>
      </c>
      <c r="AP8" s="27">
        <f t="shared" si="23"/>
        <v>5.5146624080334933E-3</v>
      </c>
      <c r="AQ8" s="27">
        <f t="shared" si="4"/>
        <v>1.1991147350228311E-3</v>
      </c>
      <c r="AR8" s="27">
        <f t="shared" si="24"/>
        <v>8.3938031451598165E-4</v>
      </c>
      <c r="AS8" s="27">
        <f t="shared" si="25"/>
        <v>0.87205619104535415</v>
      </c>
      <c r="AT8" s="89">
        <f t="shared" si="26"/>
        <v>0.79822381529443731</v>
      </c>
    </row>
    <row r="9" spans="1:46">
      <c r="A9" s="80">
        <v>5</v>
      </c>
      <c r="C9" s="10">
        <f t="shared" si="27"/>
        <v>47</v>
      </c>
      <c r="D9" s="98" t="str" cm="1">
        <f t="array" ref="D9">_xlfn.IFS(C9&lt;=4,"1-4",C9&lt;=9,"5-9",C9&lt;=14,"10-14",C9&lt;=19,"15-19",C9&lt;=24,"20-24",C9&lt;=29,"25-29",C9&lt;=34,"30-34",C9&lt;=39,"35-39",C9&lt;=44,"40-44",C9&lt;=49,"45-49",C9&lt;=54,"50-54",C9&lt;=54,"50-54",C9&lt;=59,"55-59",C9&lt;=64,"60-64",C9&lt;=69,"65-69",C9&lt;=74,"70-74",C9&lt;=79,"75-79",C9&lt;=84,"80-84",C9&gt;84,"85+")</f>
        <v>45-49</v>
      </c>
      <c r="E9" s="83">
        <f>IF(D9="85+",1,VLOOKUP(D9,'Life table 2014'!$AF$3:$AR$21,7,FALSE))</f>
        <v>5.0261626657528424E-3</v>
      </c>
      <c r="F9" s="72"/>
      <c r="G9" s="316">
        <f t="shared" si="5"/>
        <v>1825</v>
      </c>
      <c r="H9" s="27">
        <f>'Parameters &amp; DSA'!$B$119*G9^'Parameters &amp; DSA'!$B$120</f>
        <v>0.19267067040485283</v>
      </c>
      <c r="I9" s="314">
        <f t="shared" si="31"/>
        <v>4.0255043078018415E-2</v>
      </c>
      <c r="J9" s="72"/>
      <c r="K9" s="140">
        <f t="shared" si="6"/>
        <v>0.65515211559325948</v>
      </c>
      <c r="L9" s="141">
        <f t="shared" si="7"/>
        <v>0</v>
      </c>
      <c r="M9" s="141">
        <f t="shared" si="8"/>
        <v>5.4596009632771621E-2</v>
      </c>
      <c r="N9" s="27">
        <f>(SUM(M8:N8)*(1-E9))*p3b_3bMDCT</f>
        <v>0.18207433814302726</v>
      </c>
      <c r="O9" s="27">
        <f t="shared" si="10"/>
        <v>0</v>
      </c>
      <c r="P9" s="27">
        <f t="shared" si="11"/>
        <v>3.0345723023837874E-2</v>
      </c>
      <c r="Q9" s="27">
        <f t="shared" si="12"/>
        <v>3.4448754945127835E-2</v>
      </c>
      <c r="R9" s="27">
        <f t="shared" si="13"/>
        <v>0</v>
      </c>
      <c r="S9" s="27">
        <f t="shared" si="14"/>
        <v>1.1482918315042612E-2</v>
      </c>
      <c r="T9" s="27">
        <f t="shared" si="15"/>
        <v>8.9137773734165643E-4</v>
      </c>
      <c r="U9" s="27">
        <f t="shared" si="16"/>
        <v>2.6741332120249692E-3</v>
      </c>
      <c r="V9" s="27">
        <f t="shared" si="17"/>
        <v>3.5655109493666257E-3</v>
      </c>
      <c r="W9" s="27">
        <f t="shared" si="28"/>
        <v>1.2887751055475636E-3</v>
      </c>
      <c r="X9" s="27">
        <f t="shared" si="29"/>
        <v>5.4055712423933313E-5</v>
      </c>
      <c r="Y9" s="142">
        <f t="shared" si="18"/>
        <v>2.3426287630228942E-2</v>
      </c>
      <c r="Z9" s="89">
        <f t="shared" si="30"/>
        <v>1.0000000000000004</v>
      </c>
      <c r="AB9" s="171">
        <f>(IF('Parameters &amp; DSA'!$H$1=1,(('Parameters &amp; DSA'!$B$79+'Parameters &amp; DSA'!$B$85+'Parameters &amp; DSA'!$B$89+'Parameters &amp; DSA'!$B$93)*K9)/(1+cDC)^$A9,(('Parameters &amp; DSA'!$B$79+'Parameters &amp; DSA'!$B$85)*K9)))*($AD$2/$AF$2)</f>
        <v>5515.7754746358351</v>
      </c>
      <c r="AC9" s="371">
        <f>(IF('Parameters &amp; DSA'!$H$1=1,(('Parameters &amp; DSA'!$B$79+'Parameters &amp; DSA'!$B$85+'Parameters &amp; DSA'!$B$89+'Parameters &amp; DSA'!$B$93)*($M9+$N9))/(1+cDC)^$A9,(('Parameters &amp; DSA'!$B$79+'Parameters &amp; DSA'!$B$85)*($M9+$N9))))*($AD$2/$AF$2)</f>
        <v>1992.5456527804824</v>
      </c>
      <c r="AD9" s="371">
        <f>(IF('Parameters &amp; DSA'!$H$1=1,(('Parameters &amp; DSA'!$B$79+'Parameters &amp; DSA'!$B$85+'Parameters &amp; DSA'!$B$89+'Parameters &amp; DSA'!$B$93)*(P9+Q9))/(1+cDC)^$A9,(('Parameters &amp; DSA'!$B$79+'Parameters &amp; DSA'!$B$85)*(P9+Q9))))*($AD$2/$AF$2)</f>
        <v>545.5096365665006</v>
      </c>
      <c r="AE9" s="371">
        <f>(IF('Parameters &amp; DSA'!$H$1=1,(('Parameters &amp; DSA'!$B$79+'Parameters &amp; DSA'!$B$85+'Parameters &amp; DSA'!$B$89+'Parameters &amp; DSA'!$B$93)*(S9+T9))/(1+cDC)^$A9,(('Parameters &amp; DSA'!$B$79+'Parameters &amp; DSA'!$B$85)*(S9+T9))))*($AD$2/$AF$2)</f>
        <v>104.18013932507618</v>
      </c>
      <c r="AF9" s="371">
        <f>(IF('Parameters &amp; DSA'!$H$1=1,(((W9-W8)*cM_Dialysis0)+(W9*cM_Dialysis1))/(1+'Parameters &amp; DSA'!$B$6)^$A9,(((W9-W8)*cM_Dialysis0)+(W9*cM_Dialysis1))))*($AD$2/$AG$2)</f>
        <v>1465.1699419303254</v>
      </c>
      <c r="AG9" s="172">
        <f t="shared" si="19"/>
        <v>9623.1808452382193</v>
      </c>
      <c r="AI9" s="88">
        <f t="shared" si="0"/>
        <v>0.56513997001861493</v>
      </c>
      <c r="AJ9" s="27">
        <f t="shared" si="20"/>
        <v>0.51819396225115955</v>
      </c>
      <c r="AK9" s="27">
        <f t="shared" si="1"/>
        <v>0.20415392099465923</v>
      </c>
      <c r="AL9" s="27">
        <f t="shared" si="21"/>
        <v>0.18670084311961002</v>
      </c>
      <c r="AM9" s="27">
        <f t="shared" si="2"/>
        <v>5.5892285875616003E-2</v>
      </c>
      <c r="AN9" s="27">
        <f t="shared" si="22"/>
        <v>5.0775715992790134E-2</v>
      </c>
      <c r="AO9" s="27">
        <f t="shared" si="3"/>
        <v>1.0674176475356954E-2</v>
      </c>
      <c r="AP9" s="27">
        <f t="shared" si="23"/>
        <v>9.2440460415180396E-3</v>
      </c>
      <c r="AQ9" s="27">
        <f t="shared" si="4"/>
        <v>4.1873497928825278E-3</v>
      </c>
      <c r="AR9" s="27">
        <f t="shared" si="24"/>
        <v>2.9311448550177694E-3</v>
      </c>
      <c r="AS9" s="27">
        <f t="shared" si="25"/>
        <v>0.84004770315712962</v>
      </c>
      <c r="AT9" s="89">
        <f t="shared" si="26"/>
        <v>0.76784571226009557</v>
      </c>
    </row>
    <row r="10" spans="1:46">
      <c r="A10" s="80">
        <v>6</v>
      </c>
      <c r="C10" s="10">
        <f t="shared" si="27"/>
        <v>48</v>
      </c>
      <c r="D10" s="98" t="str" cm="1">
        <f t="array" ref="D10">_xlfn.IFS(C10&lt;=4,"1-4",C10&lt;=9,"5-9",C10&lt;=14,"10-14",C10&lt;=19,"15-19",C10&lt;=24,"20-24",C10&lt;=29,"25-29",C10&lt;=34,"30-34",C10&lt;=39,"35-39",C10&lt;=44,"40-44",C10&lt;=49,"45-49",C10&lt;=54,"50-54",C10&lt;=54,"50-54",C10&lt;=59,"55-59",C10&lt;=64,"60-64",C10&lt;=69,"65-69",C10&lt;=74,"70-74",C10&lt;=79,"75-79",C10&lt;=84,"80-84",C10&gt;84,"85+")</f>
        <v>45-49</v>
      </c>
      <c r="E10" s="83">
        <f>IF(D10="85+",1,VLOOKUP(D10,'Life table 2014'!$AF$3:$AR$21,7,FALSE))</f>
        <v>5.0261626657528424E-3</v>
      </c>
      <c r="F10" s="72"/>
      <c r="G10" s="316">
        <f t="shared" si="5"/>
        <v>2190</v>
      </c>
      <c r="H10" s="27">
        <f>'Parameters &amp; DSA'!$B$119*G10^'Parameters &amp; DSA'!$B$120</f>
        <v>0.23438227719443036</v>
      </c>
      <c r="I10" s="314">
        <f t="shared" si="31"/>
        <v>4.0853648014377075E-2</v>
      </c>
      <c r="J10" s="72"/>
      <c r="K10" s="140">
        <f t="shared" si="6"/>
        <v>0.6017161979902852</v>
      </c>
      <c r="L10" s="141">
        <f t="shared" si="7"/>
        <v>0</v>
      </c>
      <c r="M10" s="141">
        <f t="shared" si="8"/>
        <v>5.0143016499190431E-2</v>
      </c>
      <c r="N10" s="27">
        <f t="shared" si="9"/>
        <v>0.20184068923690066</v>
      </c>
      <c r="O10" s="27">
        <f t="shared" si="10"/>
        <v>0</v>
      </c>
      <c r="P10" s="27">
        <f t="shared" si="11"/>
        <v>3.3640114872816769E-2</v>
      </c>
      <c r="Q10" s="27">
        <f t="shared" si="12"/>
        <v>4.8351607787138359E-2</v>
      </c>
      <c r="R10" s="27">
        <f t="shared" si="13"/>
        <v>0</v>
      </c>
      <c r="S10" s="27">
        <f t="shared" si="14"/>
        <v>1.6117202595712785E-2</v>
      </c>
      <c r="T10" s="27">
        <f t="shared" si="15"/>
        <v>1.5390126034438502E-3</v>
      </c>
      <c r="U10" s="27">
        <f t="shared" si="16"/>
        <v>4.617037810331551E-3</v>
      </c>
      <c r="V10" s="27">
        <f t="shared" si="17"/>
        <v>6.1560504137754008E-3</v>
      </c>
      <c r="W10" s="27">
        <f t="shared" si="28"/>
        <v>4.6325690946535198E-3</v>
      </c>
      <c r="X10" s="27">
        <f t="shared" si="29"/>
        <v>1.9731852892257391E-4</v>
      </c>
      <c r="Y10" s="142">
        <f t="shared" si="18"/>
        <v>3.1049182566829259E-2</v>
      </c>
      <c r="Z10" s="89">
        <f t="shared" si="30"/>
        <v>1.0000000000000002</v>
      </c>
      <c r="AB10" s="171">
        <f>(IF('Parameters &amp; DSA'!$H$1=1,(('Parameters &amp; DSA'!$B$79+'Parameters &amp; DSA'!$B$85+'Parameters &amp; DSA'!$B$89+'Parameters &amp; DSA'!$B$93)*K10)/(1+cDC)^$A10,(('Parameters &amp; DSA'!$B$79+'Parameters &amp; DSA'!$B$85)*K10)))*($AD$2/$AF$2)</f>
        <v>4918.3440984668068</v>
      </c>
      <c r="AC10" s="371">
        <f>(IF('Parameters &amp; DSA'!$H$1=1,(('Parameters &amp; DSA'!$B$79+'Parameters &amp; DSA'!$B$85+'Parameters &amp; DSA'!$B$89+'Parameters &amp; DSA'!$B$93)*($M10+$N10))/(1+cDC)^$A10,(('Parameters &amp; DSA'!$B$79+'Parameters &amp; DSA'!$B$85)*($M10+$N10))))*($AD$2/$AF$2)</f>
        <v>2059.6795900729758</v>
      </c>
      <c r="AD10" s="371">
        <f>(IF('Parameters &amp; DSA'!$H$1=1,(('Parameters &amp; DSA'!$B$79+'Parameters &amp; DSA'!$B$85+'Parameters &amp; DSA'!$B$89+'Parameters &amp; DSA'!$B$93)*(P10+Q10))/(1+cDC)^$A10,(('Parameters &amp; DSA'!$B$79+'Parameters &amp; DSA'!$B$85)*(P10+Q10))))*($AD$2/$AF$2)</f>
        <v>670.18888076240262</v>
      </c>
      <c r="AE10" s="371">
        <f>(IF('Parameters &amp; DSA'!$H$1=1,(('Parameters &amp; DSA'!$B$79+'Parameters &amp; DSA'!$B$85+'Parameters &amp; DSA'!$B$89+'Parameters &amp; DSA'!$B$93)*(S10+T10))/(1+cDC)^$A10,(('Parameters &amp; DSA'!$B$79+'Parameters &amp; DSA'!$B$85)*(S10+T10))))*($AD$2/$AF$2)</f>
        <v>144.3194351690596</v>
      </c>
      <c r="AF10" s="371">
        <f>(IF('Parameters &amp; DSA'!$H$1=1,(((W10-W9)*cM_Dialysis0)+(W10*cM_Dialysis1))/(1+'Parameters &amp; DSA'!$B$6)^$A10,(((W10-W9)*cM_Dialysis0)+(W10*cM_Dialysis1))))*($AD$2/$AG$2)</f>
        <v>4377.8588218340801</v>
      </c>
      <c r="AG10" s="172">
        <f t="shared" si="19"/>
        <v>12170.390826305325</v>
      </c>
      <c r="AI10" s="88">
        <f t="shared" si="0"/>
        <v>0.50392784280840863</v>
      </c>
      <c r="AJ10" s="27">
        <f t="shared" si="20"/>
        <v>0.46206670808466693</v>
      </c>
      <c r="AK10" s="27">
        <f t="shared" si="1"/>
        <v>0.21103238649478295</v>
      </c>
      <c r="AL10" s="27">
        <f t="shared" si="21"/>
        <v>0.19299126997982127</v>
      </c>
      <c r="AM10" s="27">
        <f t="shared" si="2"/>
        <v>6.8666776906084873E-2</v>
      </c>
      <c r="AN10" s="27">
        <f t="shared" si="22"/>
        <v>6.2380786681060382E-2</v>
      </c>
      <c r="AO10" s="27">
        <f t="shared" si="3"/>
        <v>1.4786802261912336E-2</v>
      </c>
      <c r="AP10" s="27">
        <f t="shared" si="23"/>
        <v>1.2805660580140417E-2</v>
      </c>
      <c r="AQ10" s="27">
        <f t="shared" si="4"/>
        <v>9.0352989896593672E-3</v>
      </c>
      <c r="AR10" s="27">
        <f t="shared" si="24"/>
        <v>6.3247092927615567E-3</v>
      </c>
      <c r="AS10" s="27">
        <f t="shared" si="25"/>
        <v>0.80744910746084819</v>
      </c>
      <c r="AT10" s="89">
        <f t="shared" si="26"/>
        <v>0.73656913461845053</v>
      </c>
    </row>
    <row r="11" spans="1:46">
      <c r="A11" s="80">
        <v>7</v>
      </c>
      <c r="C11" s="10">
        <f t="shared" si="27"/>
        <v>49</v>
      </c>
      <c r="D11" s="98" t="str" cm="1">
        <f t="array" ref="D11">_xlfn.IFS(C11&lt;=4,"1-4",C11&lt;=9,"5-9",C11&lt;=14,"10-14",C11&lt;=19,"15-19",C11&lt;=24,"20-24",C11&lt;=29,"25-29",C11&lt;=34,"30-34",C11&lt;=39,"35-39",C11&lt;=44,"40-44",C11&lt;=49,"45-49",C11&lt;=54,"50-54",C11&lt;=54,"50-54",C11&lt;=59,"55-59",C11&lt;=64,"60-64",C11&lt;=69,"65-69",C11&lt;=74,"70-74",C11&lt;=79,"75-79",C11&lt;=84,"80-84",C11&gt;84,"85+")</f>
        <v>45-49</v>
      </c>
      <c r="E11" s="83">
        <f>IF(D11="85+",1,VLOOKUP(D11,'Life table 2014'!$AF$3:$AR$21,7,FALSE))</f>
        <v>5.0261626657528424E-3</v>
      </c>
      <c r="F11" s="72"/>
      <c r="G11" s="316">
        <f t="shared" si="5"/>
        <v>2555</v>
      </c>
      <c r="H11" s="27">
        <f>'Parameters &amp; DSA'!$B$119*G11^'Parameters &amp; DSA'!$B$120</f>
        <v>0.27661997622190354</v>
      </c>
      <c r="I11" s="314">
        <f t="shared" si="31"/>
        <v>4.135811475550899E-2</v>
      </c>
      <c r="J11" s="72"/>
      <c r="K11" s="140">
        <f t="shared" si="6"/>
        <v>0.55263865338513951</v>
      </c>
      <c r="L11" s="141">
        <f t="shared" si="7"/>
        <v>0</v>
      </c>
      <c r="M11" s="141">
        <f t="shared" si="8"/>
        <v>4.605322111542829E-2</v>
      </c>
      <c r="N11" s="27">
        <f t="shared" si="9"/>
        <v>0.21490045255023629</v>
      </c>
      <c r="O11" s="27">
        <f t="shared" si="10"/>
        <v>0</v>
      </c>
      <c r="P11" s="27">
        <f t="shared" si="11"/>
        <v>3.5816742091706044E-2</v>
      </c>
      <c r="Q11" s="27">
        <f t="shared" si="12"/>
        <v>6.1184714193465689E-2</v>
      </c>
      <c r="R11" s="27">
        <f t="shared" si="13"/>
        <v>0</v>
      </c>
      <c r="S11" s="27">
        <f t="shared" si="14"/>
        <v>2.0394904731155229E-2</v>
      </c>
      <c r="T11" s="27">
        <f t="shared" si="15"/>
        <v>2.1959340236880169E-3</v>
      </c>
      <c r="U11" s="27">
        <f t="shared" si="16"/>
        <v>6.5878020710640507E-3</v>
      </c>
      <c r="V11" s="27">
        <f t="shared" si="17"/>
        <v>8.7837360947520676E-3</v>
      </c>
      <c r="W11" s="27">
        <f t="shared" si="28"/>
        <v>1.0290439846677952E-2</v>
      </c>
      <c r="X11" s="27">
        <f t="shared" si="29"/>
        <v>4.4395430516268986E-4</v>
      </c>
      <c r="Y11" s="142">
        <f t="shared" si="18"/>
        <v>4.0709445591524701E-2</v>
      </c>
      <c r="Z11" s="89">
        <f t="shared" si="30"/>
        <v>1.0000000000000004</v>
      </c>
      <c r="AB11" s="171">
        <f>(IF('Parameters &amp; DSA'!$H$1=1,(('Parameters &amp; DSA'!$B$79+'Parameters &amp; DSA'!$B$85+'Parameters &amp; DSA'!$B$89+'Parameters &amp; DSA'!$B$93)*K11)/(1+cDC)^$A11,(('Parameters &amp; DSA'!$B$79+'Parameters &amp; DSA'!$B$85)*K11)))*($AD$2/$AF$2)</f>
        <v>4385.6224355325776</v>
      </c>
      <c r="AC11" s="371">
        <f>(IF('Parameters &amp; DSA'!$H$1=1,(('Parameters &amp; DSA'!$B$79+'Parameters &amp; DSA'!$B$85+'Parameters &amp; DSA'!$B$89+'Parameters &amp; DSA'!$B$93)*($M11+$N11))/(1+cDC)^$A11,(('Parameters &amp; DSA'!$B$79+'Parameters &amp; DSA'!$B$85)*($M11+$N11))))*($AD$2/$AF$2)</f>
        <v>2070.872673948144</v>
      </c>
      <c r="AD11" s="371">
        <f>(IF('Parameters &amp; DSA'!$H$1=1,(('Parameters &amp; DSA'!$B$79+'Parameters &amp; DSA'!$B$85+'Parameters &amp; DSA'!$B$89+'Parameters &amp; DSA'!$B$93)*(P11+Q11))/(1+cDC)^$A11,(('Parameters &amp; DSA'!$B$79+'Parameters &amp; DSA'!$B$85)*(P11+Q11))))*($AD$2/$AF$2)</f>
        <v>769.78285966383157</v>
      </c>
      <c r="AE11" s="371">
        <f>(IF('Parameters &amp; DSA'!$H$1=1,(('Parameters &amp; DSA'!$B$79+'Parameters &amp; DSA'!$B$85+'Parameters &amp; DSA'!$B$89+'Parameters &amp; DSA'!$B$93)*(S11+T11))/(1+cDC)^$A11,(('Parameters &amp; DSA'!$B$79+'Parameters &amp; DSA'!$B$85)*(S11+T11))))*($AD$2/$AF$2)</f>
        <v>179.27607610120077</v>
      </c>
      <c r="AF11" s="371">
        <f>(IF('Parameters &amp; DSA'!$H$1=1,(((W11-W10)*cM_Dialysis0)+(W11*cM_Dialysis1))/(1+'Parameters &amp; DSA'!$B$6)^$A11,(((W11-W10)*cM_Dialysis0)+(W11*cM_Dialysis1))))*($AD$2/$AG$2)</f>
        <v>8460.9809425020521</v>
      </c>
      <c r="AG11" s="172">
        <f t="shared" si="19"/>
        <v>15866.534987747807</v>
      </c>
      <c r="AI11" s="88">
        <f t="shared" si="0"/>
        <v>0.44934579790767892</v>
      </c>
      <c r="AJ11" s="27">
        <f t="shared" si="20"/>
        <v>0.41201877727922742</v>
      </c>
      <c r="AK11" s="27">
        <f t="shared" si="1"/>
        <v>0.21217921691141553</v>
      </c>
      <c r="AL11" s="27">
        <f t="shared" si="21"/>
        <v>0.194040058093502</v>
      </c>
      <c r="AM11" s="27">
        <f t="shared" si="2"/>
        <v>7.8871060693416539E-2</v>
      </c>
      <c r="AN11" s="27">
        <f t="shared" si="22"/>
        <v>7.1650935635934832E-2</v>
      </c>
      <c r="AO11" s="27">
        <f t="shared" si="3"/>
        <v>1.8368419225689502E-2</v>
      </c>
      <c r="AP11" s="27">
        <f t="shared" si="23"/>
        <v>1.5907411070463933E-2</v>
      </c>
      <c r="AQ11" s="27">
        <f t="shared" si="4"/>
        <v>1.5509050543846372E-2</v>
      </c>
      <c r="AR11" s="27">
        <f t="shared" si="24"/>
        <v>1.085633538069246E-2</v>
      </c>
      <c r="AS11" s="27">
        <f t="shared" si="25"/>
        <v>0.77427354528204684</v>
      </c>
      <c r="AT11" s="89">
        <f t="shared" si="26"/>
        <v>0.70447351745982056</v>
      </c>
    </row>
    <row r="12" spans="1:46">
      <c r="A12" s="80">
        <v>8</v>
      </c>
      <c r="C12" s="10">
        <f t="shared" si="27"/>
        <v>50</v>
      </c>
      <c r="D12" s="98" t="str" cm="1">
        <f t="array" ref="D12">_xlfn.IFS(C12&lt;=4,"1-4",C12&lt;=9,"5-9",C12&lt;=14,"10-14",C12&lt;=19,"15-19",C12&lt;=24,"20-24",C12&lt;=29,"25-29",C12&lt;=34,"30-34",C12&lt;=39,"35-39",C12&lt;=44,"40-44",C12&lt;=49,"45-49",C12&lt;=54,"50-54",C12&lt;=54,"50-54",C12&lt;=59,"55-59",C12&lt;=64,"60-64",C12&lt;=69,"65-69",C12&lt;=74,"70-74",C12&lt;=79,"75-79",C12&lt;=84,"80-84",C12&gt;84,"85+")</f>
        <v>50-54</v>
      </c>
      <c r="E12" s="83">
        <f>IF(D12="85+",1,VLOOKUP(D12,'Life table 2014'!$AF$3:$AR$21,7,FALSE))</f>
        <v>6.8554961659266223E-3</v>
      </c>
      <c r="F12" s="72"/>
      <c r="G12" s="316">
        <f t="shared" si="5"/>
        <v>2920</v>
      </c>
      <c r="H12" s="27">
        <f>'Parameters &amp; DSA'!$B$119*G12^'Parameters &amp; DSA'!$B$120</f>
        <v>0.31931333941244572</v>
      </c>
      <c r="I12" s="314">
        <f t="shared" si="31"/>
        <v>4.1794834001620651E-2</v>
      </c>
      <c r="J12" s="72"/>
      <c r="K12" s="140">
        <f t="shared" si="6"/>
        <v>0.50663080727604448</v>
      </c>
      <c r="L12" s="141">
        <f t="shared" si="7"/>
        <v>0</v>
      </c>
      <c r="M12" s="141">
        <f t="shared" si="8"/>
        <v>4.2219233939670371E-2</v>
      </c>
      <c r="N12" s="27">
        <f t="shared" si="9"/>
        <v>0.22214117721974158</v>
      </c>
      <c r="O12" s="27">
        <f t="shared" si="10"/>
        <v>0</v>
      </c>
      <c r="P12" s="27">
        <f t="shared" si="11"/>
        <v>3.7023529536623592E-2</v>
      </c>
      <c r="Q12" s="27">
        <f t="shared" si="12"/>
        <v>7.2252347380139581E-2</v>
      </c>
      <c r="R12" s="27">
        <f t="shared" si="13"/>
        <v>0</v>
      </c>
      <c r="S12" s="27">
        <f t="shared" si="14"/>
        <v>2.4084115793379861E-2</v>
      </c>
      <c r="T12" s="27">
        <f t="shared" si="15"/>
        <v>2.8044959182967938E-3</v>
      </c>
      <c r="U12" s="27">
        <f t="shared" si="16"/>
        <v>8.4134877548903819E-3</v>
      </c>
      <c r="V12" s="27">
        <f t="shared" si="17"/>
        <v>1.1217983673187175E-2</v>
      </c>
      <c r="W12" s="27">
        <f t="shared" si="28"/>
        <v>1.8151676199577874E-2</v>
      </c>
      <c r="X12" s="27">
        <f t="shared" si="29"/>
        <v>7.9173680181746043E-4</v>
      </c>
      <c r="Y12" s="142">
        <f t="shared" si="18"/>
        <v>5.4269408506631422E-2</v>
      </c>
      <c r="Z12" s="89">
        <f t="shared" si="30"/>
        <v>1.0000000000000004</v>
      </c>
      <c r="AB12" s="171">
        <f>(IF('Parameters &amp; DSA'!$H$1=1,(('Parameters &amp; DSA'!$B$79+'Parameters &amp; DSA'!$B$85+'Parameters &amp; DSA'!$B$89+'Parameters &amp; DSA'!$B$93)*K12)/(1+cDC)^$A12,(('Parameters &amp; DSA'!$B$79+'Parameters &amp; DSA'!$B$85)*K12)))*($AD$2/$AF$2)</f>
        <v>3903.4116365113518</v>
      </c>
      <c r="AC12" s="371">
        <f>(IF('Parameters &amp; DSA'!$H$1=1,(('Parameters &amp; DSA'!$B$79+'Parameters &amp; DSA'!$B$85+'Parameters &amp; DSA'!$B$89+'Parameters &amp; DSA'!$B$93)*($M12+$N12))/(1+cDC)^$A12,(('Parameters &amp; DSA'!$B$79+'Parameters &amp; DSA'!$B$85)*($M12+$N12))))*($AD$2/$AF$2)</f>
        <v>2036.8037046557365</v>
      </c>
      <c r="AD12" s="371">
        <f>(IF('Parameters &amp; DSA'!$H$1=1,(('Parameters &amp; DSA'!$B$79+'Parameters &amp; DSA'!$B$85+'Parameters &amp; DSA'!$B$89+'Parameters &amp; DSA'!$B$93)*(P12+Q12))/(1+cDC)^$A12,(('Parameters &amp; DSA'!$B$79+'Parameters &amp; DSA'!$B$85)*(P12+Q12))))*($AD$2/$AF$2)</f>
        <v>841.9320803649133</v>
      </c>
      <c r="AE12" s="371">
        <f>(IF('Parameters &amp; DSA'!$H$1=1,(('Parameters &amp; DSA'!$B$79+'Parameters &amp; DSA'!$B$85+'Parameters &amp; DSA'!$B$89+'Parameters &amp; DSA'!$B$93)*(S12+T12))/(1+cDC)^$A12,(('Parameters &amp; DSA'!$B$79+'Parameters &amp; DSA'!$B$85)*(S12+T12))))*($AD$2/$AF$2)</f>
        <v>207.16726724398876</v>
      </c>
      <c r="AF12" s="371">
        <f>(IF('Parameters &amp; DSA'!$H$1=1,(((W12-W11)*cM_Dialysis0)+(W12*cM_Dialysis1))/(1+'Parameters &amp; DSA'!$B$6)^$A12,(((W12-W11)*cM_Dialysis0)+(W12*cM_Dialysis1))))*($AD$2/$AG$2)</f>
        <v>13350.300046098038</v>
      </c>
      <c r="AG12" s="172">
        <f t="shared" si="19"/>
        <v>20339.614734874027</v>
      </c>
      <c r="AI12" s="88">
        <f t="shared" si="0"/>
        <v>0.39993903765163341</v>
      </c>
      <c r="AJ12" s="27">
        <f t="shared" si="20"/>
        <v>0.36671622177562352</v>
      </c>
      <c r="AK12" s="27">
        <f t="shared" si="1"/>
        <v>0.20868854975626863</v>
      </c>
      <c r="AL12" s="27">
        <f t="shared" si="21"/>
        <v>0.19084780737531518</v>
      </c>
      <c r="AM12" s="27">
        <f t="shared" si="2"/>
        <v>8.6263386325845903E-2</v>
      </c>
      <c r="AN12" s="27">
        <f t="shared" si="22"/>
        <v>7.8366542646064463E-2</v>
      </c>
      <c r="AO12" s="27">
        <f t="shared" si="3"/>
        <v>2.1226118383079393E-2</v>
      </c>
      <c r="AP12" s="27">
        <f t="shared" si="23"/>
        <v>1.8382234551667063E-2</v>
      </c>
      <c r="AQ12" s="27">
        <f t="shared" si="4"/>
        <v>2.3184680712220181E-2</v>
      </c>
      <c r="AR12" s="27">
        <f t="shared" si="24"/>
        <v>1.6229276498554126E-2</v>
      </c>
      <c r="AS12" s="27">
        <f t="shared" si="25"/>
        <v>0.73930177282904741</v>
      </c>
      <c r="AT12" s="89">
        <f t="shared" si="26"/>
        <v>0.67054208284722439</v>
      </c>
    </row>
    <row r="13" spans="1:46">
      <c r="A13" s="80">
        <v>9</v>
      </c>
      <c r="C13" s="10">
        <f t="shared" si="27"/>
        <v>51</v>
      </c>
      <c r="D13" s="98" t="str" cm="1">
        <f t="array" ref="D13">_xlfn.IFS(C13&lt;=4,"1-4",C13&lt;=9,"5-9",C13&lt;=14,"10-14",C13&lt;=19,"15-19",C13&lt;=24,"20-24",C13&lt;=29,"25-29",C13&lt;=34,"30-34",C13&lt;=39,"35-39",C13&lt;=44,"40-44",C13&lt;=49,"45-49",C13&lt;=54,"50-54",C13&lt;=54,"50-54",C13&lt;=59,"55-59",C13&lt;=64,"60-64",C13&lt;=69,"65-69",C13&lt;=74,"70-74",C13&lt;=79,"75-79",C13&lt;=84,"80-84",C13&gt;84,"85+")</f>
        <v>50-54</v>
      </c>
      <c r="E13" s="83">
        <f>IF(D13="85+",1,VLOOKUP(D13,'Life table 2014'!$AF$3:$AR$21,7,FALSE))</f>
        <v>6.8554961659266223E-3</v>
      </c>
      <c r="F13" s="72"/>
      <c r="G13" s="316">
        <f t="shared" si="5"/>
        <v>3285</v>
      </c>
      <c r="H13" s="27">
        <f>'Parameters &amp; DSA'!$B$119*G13^'Parameters &amp; DSA'!$B$120</f>
        <v>0.36240912553476595</v>
      </c>
      <c r="I13" s="314">
        <f t="shared" si="31"/>
        <v>4.2180360156281016E-2</v>
      </c>
      <c r="J13" s="72"/>
      <c r="K13" s="140">
        <f t="shared" si="6"/>
        <v>0.46445317081774462</v>
      </c>
      <c r="L13" s="141">
        <f t="shared" si="7"/>
        <v>0</v>
      </c>
      <c r="M13" s="141">
        <f t="shared" si="8"/>
        <v>3.8704430901478716E-2</v>
      </c>
      <c r="N13" s="27">
        <f t="shared" si="9"/>
        <v>0.22504121946367356</v>
      </c>
      <c r="O13" s="27">
        <f t="shared" si="10"/>
        <v>0</v>
      </c>
      <c r="P13" s="27">
        <f t="shared" si="11"/>
        <v>3.7506869910612257E-2</v>
      </c>
      <c r="Q13" s="27">
        <f t="shared" si="12"/>
        <v>8.1395052421149028E-2</v>
      </c>
      <c r="R13" s="27">
        <f t="shared" si="13"/>
        <v>0</v>
      </c>
      <c r="S13" s="27">
        <f t="shared" si="14"/>
        <v>2.7131684140383007E-2</v>
      </c>
      <c r="T13" s="27">
        <f t="shared" si="15"/>
        <v>3.3380346171475207E-3</v>
      </c>
      <c r="U13" s="27">
        <f t="shared" si="16"/>
        <v>1.0014103851442562E-2</v>
      </c>
      <c r="V13" s="27">
        <f t="shared" si="17"/>
        <v>1.3352138468590083E-2</v>
      </c>
      <c r="W13" s="27">
        <f t="shared" si="28"/>
        <v>2.7937986196180906E-2</v>
      </c>
      <c r="X13" s="27">
        <f t="shared" si="29"/>
        <v>1.2303300859318308E-3</v>
      </c>
      <c r="Y13" s="142">
        <f t="shared" si="18"/>
        <v>6.989497912566657E-2</v>
      </c>
      <c r="Z13" s="89">
        <f t="shared" si="30"/>
        <v>1.0000000000000009</v>
      </c>
      <c r="AB13" s="171">
        <f>(IF('Parameters &amp; DSA'!$H$1=1,(('Parameters &amp; DSA'!$B$79+'Parameters &amp; DSA'!$B$85+'Parameters &amp; DSA'!$B$89+'Parameters &amp; DSA'!$B$93)*K13)/(1+cDC)^$A13,(('Parameters &amp; DSA'!$B$79+'Parameters &amp; DSA'!$B$85)*K13)))*($AD$2/$AF$2)</f>
        <v>3474.2211916384304</v>
      </c>
      <c r="AC13" s="371">
        <f>(IF('Parameters &amp; DSA'!$H$1=1,(('Parameters &amp; DSA'!$B$79+'Parameters &amp; DSA'!$B$85+'Parameters &amp; DSA'!$B$89+'Parameters &amp; DSA'!$B$93)*($M13+$N13))/(1+cDC)^$A13,(('Parameters &amp; DSA'!$B$79+'Parameters &amp; DSA'!$B$85)*($M13+$N13))))*($AD$2/$AF$2)</f>
        <v>1972.8807666179985</v>
      </c>
      <c r="AD13" s="371">
        <f>(IF('Parameters &amp; DSA'!$H$1=1,(('Parameters &amp; DSA'!$B$79+'Parameters &amp; DSA'!$B$85+'Parameters &amp; DSA'!$B$89+'Parameters &amp; DSA'!$B$93)*(P13+Q13))/(1+cDC)^$A13,(('Parameters &amp; DSA'!$B$79+'Parameters &amp; DSA'!$B$85)*(P13+Q13))))*($AD$2/$AF$2)</f>
        <v>889.41491682409549</v>
      </c>
      <c r="AE13" s="371">
        <f>(IF('Parameters &amp; DSA'!$H$1=1,(('Parameters &amp; DSA'!$B$79+'Parameters &amp; DSA'!$B$85+'Parameters &amp; DSA'!$B$89+'Parameters &amp; DSA'!$B$93)*(S13+T13))/(1+cDC)^$A13,(('Parameters &amp; DSA'!$B$79+'Parameters &amp; DSA'!$B$85)*(S13+T13))))*($AD$2/$AF$2)</f>
        <v>227.92080937739004</v>
      </c>
      <c r="AF13" s="371">
        <f>(IF('Parameters &amp; DSA'!$H$1=1,(((W13-W12)*cM_Dialysis0)+(W13*cM_Dialysis1))/(1+'Parameters &amp; DSA'!$B$6)^$A13,(((W13-W12)*cM_Dialysis0)+(W13*cM_Dialysis1))))*($AD$2/$AG$2)</f>
        <v>18741.581862611092</v>
      </c>
      <c r="AG13" s="172">
        <f t="shared" si="19"/>
        <v>25306.019547069009</v>
      </c>
      <c r="AI13" s="88">
        <f t="shared" si="0"/>
        <v>0.35596468150477223</v>
      </c>
      <c r="AJ13" s="27">
        <f t="shared" si="20"/>
        <v>0.32639480220157524</v>
      </c>
      <c r="AK13" s="27">
        <f t="shared" si="1"/>
        <v>0.20213907952270474</v>
      </c>
      <c r="AL13" s="27">
        <f t="shared" si="21"/>
        <v>0.18485825004212464</v>
      </c>
      <c r="AM13" s="27">
        <f t="shared" si="2"/>
        <v>9.1128422782884203E-2</v>
      </c>
      <c r="AN13" s="27">
        <f t="shared" si="22"/>
        <v>8.2786217124701522E-2</v>
      </c>
      <c r="AO13" s="27">
        <f t="shared" si="3"/>
        <v>2.3352502285575862E-2</v>
      </c>
      <c r="AP13" s="27">
        <f t="shared" si="23"/>
        <v>2.0223724688353494E-2</v>
      </c>
      <c r="AQ13" s="27">
        <f t="shared" si="4"/>
        <v>3.1645442423634776E-2</v>
      </c>
      <c r="AR13" s="27">
        <f t="shared" si="24"/>
        <v>2.2151809696544341E-2</v>
      </c>
      <c r="AS13" s="27">
        <f t="shared" si="25"/>
        <v>0.70423012851957179</v>
      </c>
      <c r="AT13" s="89">
        <f t="shared" si="26"/>
        <v>0.63641480375329917</v>
      </c>
    </row>
    <row r="14" spans="1:46">
      <c r="A14" s="80">
        <v>10</v>
      </c>
      <c r="C14" s="10">
        <f t="shared" si="27"/>
        <v>52</v>
      </c>
      <c r="D14" s="98" t="str" cm="1">
        <f t="array" ref="D14">_xlfn.IFS(C14&lt;=4,"1-4",C14&lt;=9,"5-9",C14&lt;=14,"10-14",C14&lt;=19,"15-19",C14&lt;=24,"20-24",C14&lt;=29,"25-29",C14&lt;=34,"30-34",C14&lt;=39,"35-39",C14&lt;=44,"40-44",C14&lt;=49,"45-49",C14&lt;=54,"50-54",C14&lt;=54,"50-54",C14&lt;=59,"55-59",C14&lt;=64,"60-64",C14&lt;=69,"65-69",C14&lt;=74,"70-74",C14&lt;=79,"75-79",C14&lt;=84,"80-84",C14&gt;84,"85+")</f>
        <v>50-54</v>
      </c>
      <c r="E14" s="83">
        <f>IF(D14="85+",1,VLOOKUP(D14,'Life table 2014'!$AF$3:$AR$21,7,FALSE))</f>
        <v>6.8554961659266223E-3</v>
      </c>
      <c r="F14" s="72"/>
      <c r="G14" s="316">
        <f t="shared" si="5"/>
        <v>3650</v>
      </c>
      <c r="H14" s="27">
        <f>'Parameters &amp; DSA'!$B$119*G14^'Parameters &amp; DSA'!$B$120</f>
        <v>0.4058656119717502</v>
      </c>
      <c r="I14" s="314">
        <f t="shared" si="31"/>
        <v>4.2525783700828268E-2</v>
      </c>
      <c r="J14" s="72"/>
      <c r="K14" s="140">
        <f t="shared" si="6"/>
        <v>0.42578687435626256</v>
      </c>
      <c r="L14" s="141">
        <f t="shared" si="7"/>
        <v>0</v>
      </c>
      <c r="M14" s="141">
        <f t="shared" si="8"/>
        <v>3.5482239529688549E-2</v>
      </c>
      <c r="N14" s="27">
        <f t="shared" si="9"/>
        <v>0.22451789406025216</v>
      </c>
      <c r="O14" s="27">
        <f t="shared" si="10"/>
        <v>0</v>
      </c>
      <c r="P14" s="27">
        <f t="shared" si="11"/>
        <v>3.7419649010042022E-2</v>
      </c>
      <c r="Q14" s="27">
        <f t="shared" si="12"/>
        <v>8.8565092994320943E-2</v>
      </c>
      <c r="R14" s="27">
        <f t="shared" si="13"/>
        <v>0</v>
      </c>
      <c r="S14" s="27">
        <f t="shared" si="14"/>
        <v>2.9521697664773645E-2</v>
      </c>
      <c r="T14" s="27">
        <f t="shared" si="15"/>
        <v>3.782604214676427E-3</v>
      </c>
      <c r="U14" s="27">
        <f t="shared" si="16"/>
        <v>1.134781264402928E-2</v>
      </c>
      <c r="V14" s="27">
        <f t="shared" si="17"/>
        <v>1.5130416858705708E-2</v>
      </c>
      <c r="W14" s="27">
        <f t="shared" si="28"/>
        <v>3.926320299379326E-2</v>
      </c>
      <c r="X14" s="27">
        <f t="shared" si="29"/>
        <v>1.7438573796477589E-3</v>
      </c>
      <c r="Y14" s="142">
        <f t="shared" si="18"/>
        <v>8.7438658293808369E-2</v>
      </c>
      <c r="Z14" s="89">
        <f t="shared" si="30"/>
        <v>1.0000000000000009</v>
      </c>
      <c r="AB14" s="171">
        <f>(IF('Parameters &amp; DSA'!$H$1=1,(('Parameters &amp; DSA'!$B$79+'Parameters &amp; DSA'!$B$85+'Parameters &amp; DSA'!$B$89+'Parameters &amp; DSA'!$B$93)*K14)/(1+cDC)^$A14,(('Parameters &amp; DSA'!$B$79+'Parameters &amp; DSA'!$B$85)*K14)))*($AD$2/$AF$2)</f>
        <v>3092.2213725881152</v>
      </c>
      <c r="AC14" s="371">
        <f>(IF('Parameters &amp; DSA'!$H$1=1,(('Parameters &amp; DSA'!$B$79+'Parameters &amp; DSA'!$B$85+'Parameters &amp; DSA'!$B$89+'Parameters &amp; DSA'!$B$93)*($M14+$N14))/(1+cDC)^$A14,(('Parameters &amp; DSA'!$B$79+'Parameters &amp; DSA'!$B$85)*($M14+$N14))))*($AD$2/$AF$2)</f>
        <v>1888.2168953143416</v>
      </c>
      <c r="AD14" s="371">
        <f>(IF('Parameters &amp; DSA'!$H$1=1,(('Parameters &amp; DSA'!$B$79+'Parameters &amp; DSA'!$B$85+'Parameters &amp; DSA'!$B$89+'Parameters &amp; DSA'!$B$93)*(P14+Q14))/(1+cDC)^$A14,(('Parameters &amp; DSA'!$B$79+'Parameters &amp; DSA'!$B$85)*(P14+Q14))))*($AD$2/$AF$2)</f>
        <v>914.94767760250238</v>
      </c>
      <c r="AE14" s="371">
        <f>(IF('Parameters &amp; DSA'!$H$1=1,(('Parameters &amp; DSA'!$B$79+'Parameters &amp; DSA'!$B$85+'Parameters &amp; DSA'!$B$89+'Parameters &amp; DSA'!$B$93)*(S14+T14))/(1+cDC)^$A14,(('Parameters &amp; DSA'!$B$79+'Parameters &amp; DSA'!$B$85)*(S14+T14))))*($AD$2/$AF$2)</f>
        <v>241.86812763183838</v>
      </c>
      <c r="AF14" s="371">
        <f>(IF('Parameters &amp; DSA'!$H$1=1,(((W14-W13)*cM_Dialysis0)+(W14*cM_Dialysis1))/(1+'Parameters &amp; DSA'!$B$6)^$A14,(((W14-W13)*cM_Dialysis0)+(W14*cM_Dialysis1))))*($AD$2/$AG$2)</f>
        <v>24340.694908908401</v>
      </c>
      <c r="AG14" s="172">
        <f t="shared" si="19"/>
        <v>30477.9489820452</v>
      </c>
      <c r="AI14" s="88">
        <f t="shared" si="0"/>
        <v>0.31682542225139143</v>
      </c>
      <c r="AJ14" s="27">
        <f t="shared" si="20"/>
        <v>0.29050682947259499</v>
      </c>
      <c r="AK14" s="27">
        <f t="shared" si="1"/>
        <v>0.19346451727661054</v>
      </c>
      <c r="AL14" s="27">
        <f t="shared" si="21"/>
        <v>0.17692527438753658</v>
      </c>
      <c r="AM14" s="27">
        <f t="shared" si="2"/>
        <v>9.3744479895280342E-2</v>
      </c>
      <c r="AN14" s="27">
        <f t="shared" si="22"/>
        <v>8.5162791474434729E-2</v>
      </c>
      <c r="AO14" s="27">
        <f t="shared" si="3"/>
        <v>2.4781528368382363E-2</v>
      </c>
      <c r="AP14" s="27">
        <f t="shared" si="23"/>
        <v>2.1461289284975146E-2</v>
      </c>
      <c r="AQ14" s="27">
        <f t="shared" si="4"/>
        <v>4.0473961541450186E-2</v>
      </c>
      <c r="AR14" s="27">
        <f t="shared" si="24"/>
        <v>2.8331773079015129E-2</v>
      </c>
      <c r="AS14" s="27">
        <f t="shared" si="25"/>
        <v>0.66928990933311483</v>
      </c>
      <c r="AT14" s="89">
        <f t="shared" si="26"/>
        <v>0.60238795769855658</v>
      </c>
    </row>
    <row r="15" spans="1:46">
      <c r="A15" s="80">
        <v>11</v>
      </c>
      <c r="C15" s="10">
        <f t="shared" si="27"/>
        <v>53</v>
      </c>
      <c r="D15" s="98" t="str" cm="1">
        <f t="array" ref="D15">_xlfn.IFS(C15&lt;=4,"1-4",C15&lt;=9,"5-9",C15&lt;=14,"10-14",C15&lt;=19,"15-19",C15&lt;=24,"20-24",C15&lt;=29,"25-29",C15&lt;=34,"30-34",C15&lt;=39,"35-39",C15&lt;=44,"40-44",C15&lt;=49,"45-49",C15&lt;=54,"50-54",C15&lt;=54,"50-54",C15&lt;=59,"55-59",C15&lt;=64,"60-64",C15&lt;=69,"65-69",C15&lt;=74,"70-74",C15&lt;=79,"75-79",C15&lt;=84,"80-84",C15&gt;84,"85+")</f>
        <v>50-54</v>
      </c>
      <c r="E15" s="83">
        <f>IF(D15="85+",1,VLOOKUP(D15,'Life table 2014'!$AF$3:$AR$21,7,FALSE))</f>
        <v>6.8554961659266223E-3</v>
      </c>
      <c r="F15" s="72"/>
      <c r="G15" s="316">
        <f t="shared" si="5"/>
        <v>4015</v>
      </c>
      <c r="H15" s="27">
        <f>'Parameters &amp; DSA'!$B$119*G15^'Parameters &amp; DSA'!$B$120</f>
        <v>0.44964918476241361</v>
      </c>
      <c r="I15" s="314">
        <f t="shared" si="31"/>
        <v>4.2838909238642531E-2</v>
      </c>
      <c r="J15" s="72"/>
      <c r="K15" s="140">
        <f t="shared" si="6"/>
        <v>0.39033959452764122</v>
      </c>
      <c r="L15" s="141">
        <f t="shared" si="7"/>
        <v>0</v>
      </c>
      <c r="M15" s="141">
        <f t="shared" si="8"/>
        <v>3.2528299543970102E-2</v>
      </c>
      <c r="N15" s="27">
        <f t="shared" si="9"/>
        <v>0.2213294602894067</v>
      </c>
      <c r="O15" s="27">
        <f t="shared" si="10"/>
        <v>0</v>
      </c>
      <c r="P15" s="27">
        <f t="shared" si="11"/>
        <v>3.6888243381567778E-2</v>
      </c>
      <c r="Q15" s="27">
        <f t="shared" si="12"/>
        <v>9.384079056644011E-2</v>
      </c>
      <c r="R15" s="27">
        <f t="shared" si="13"/>
        <v>0</v>
      </c>
      <c r="S15" s="27">
        <f t="shared" si="14"/>
        <v>3.1280263522146703E-2</v>
      </c>
      <c r="T15" s="27">
        <f t="shared" si="15"/>
        <v>4.1344980457008297E-3</v>
      </c>
      <c r="U15" s="27">
        <f t="shared" si="16"/>
        <v>1.240349413710249E-2</v>
      </c>
      <c r="V15" s="27">
        <f t="shared" si="17"/>
        <v>1.6537992182803319E-2</v>
      </c>
      <c r="W15" s="27">
        <f t="shared" si="28"/>
        <v>5.1706535681997789E-2</v>
      </c>
      <c r="X15" s="27">
        <f t="shared" si="29"/>
        <v>2.3141889181514993E-3</v>
      </c>
      <c r="Y15" s="142">
        <f t="shared" si="18"/>
        <v>0.10669663920307217</v>
      </c>
      <c r="Z15" s="89">
        <f t="shared" si="30"/>
        <v>1.0000000000000009</v>
      </c>
      <c r="AB15" s="171">
        <f>(IF('Parameters &amp; DSA'!$H$1=1,(('Parameters &amp; DSA'!$B$79+'Parameters &amp; DSA'!$B$85+'Parameters &amp; DSA'!$B$89+'Parameters &amp; DSA'!$B$93)*K15)/(1+cDC)^$A15,(('Parameters &amp; DSA'!$B$79+'Parameters &amp; DSA'!$B$85)*K15)))*($AD$2/$AF$2)</f>
        <v>2752.2234451000518</v>
      </c>
      <c r="AC15" s="371">
        <f>(IF('Parameters &amp; DSA'!$H$1=1,(('Parameters &amp; DSA'!$B$79+'Parameters &amp; DSA'!$B$85+'Parameters &amp; DSA'!$B$89+'Parameters &amp; DSA'!$B$93)*($M15+$N15))/(1+cDC)^$A15,(('Parameters &amp; DSA'!$B$79+'Parameters &amp; DSA'!$B$85)*($M15+$N15))))*($AD$2/$AF$2)</f>
        <v>1789.9113698149893</v>
      </c>
      <c r="AD15" s="371">
        <f>(IF('Parameters &amp; DSA'!$H$1=1,(('Parameters &amp; DSA'!$B$79+'Parameters &amp; DSA'!$B$85+'Parameters &amp; DSA'!$B$89+'Parameters &amp; DSA'!$B$93)*(P15+Q15))/(1+cDC)^$A15,(('Parameters &amp; DSA'!$B$79+'Parameters &amp; DSA'!$B$85)*(P15+Q15))))*($AD$2/$AF$2)</f>
        <v>921.74997676672945</v>
      </c>
      <c r="AE15" s="371">
        <f>(IF('Parameters &amp; DSA'!$H$1=1,(('Parameters &amp; DSA'!$B$79+'Parameters &amp; DSA'!$B$85+'Parameters &amp; DSA'!$B$89+'Parameters &amp; DSA'!$B$93)*(S15+T15))/(1+cDC)^$A15,(('Parameters &amp; DSA'!$B$79+'Parameters &amp; DSA'!$B$85)*(S15+T15))))*($AD$2/$AF$2)</f>
        <v>249.70394614363451</v>
      </c>
      <c r="AF15" s="371">
        <f>(IF('Parameters &amp; DSA'!$H$1=1,(((W15-W14)*cM_Dialysis0)+(W15*cM_Dialysis1))/(1+'Parameters &amp; DSA'!$B$6)^$A15,(((W15-W14)*cM_Dialysis0)+(W15*cM_Dialysis1))))*($AD$2/$AG$2)</f>
        <v>29904.861584154314</v>
      </c>
      <c r="AG15" s="172">
        <f t="shared" si="19"/>
        <v>35618.450321979719</v>
      </c>
      <c r="AI15" s="88">
        <f t="shared" si="0"/>
        <v>0.28198962818570183</v>
      </c>
      <c r="AJ15" s="27">
        <f t="shared" si="20"/>
        <v>0.25856483436920402</v>
      </c>
      <c r="AK15" s="27">
        <f t="shared" si="1"/>
        <v>0.18339224693333006</v>
      </c>
      <c r="AL15" s="27">
        <f t="shared" si="21"/>
        <v>0.16771408042144906</v>
      </c>
      <c r="AM15" s="27">
        <f t="shared" si="2"/>
        <v>9.4441435593242792E-2</v>
      </c>
      <c r="AN15" s="27">
        <f t="shared" si="22"/>
        <v>8.5795945478156319E-2</v>
      </c>
      <c r="AO15" s="27">
        <f t="shared" si="3"/>
        <v>2.5584377262285202E-2</v>
      </c>
      <c r="AP15" s="27">
        <f t="shared" si="23"/>
        <v>2.2156572162933326E-2</v>
      </c>
      <c r="AQ15" s="27">
        <f t="shared" si="4"/>
        <v>4.9301298940969421E-2</v>
      </c>
      <c r="AR15" s="27">
        <f t="shared" si="24"/>
        <v>3.4510909258678592E-2</v>
      </c>
      <c r="AS15" s="27">
        <f t="shared" si="25"/>
        <v>0.63470898691552935</v>
      </c>
      <c r="AT15" s="89">
        <f t="shared" si="26"/>
        <v>0.56874234169042126</v>
      </c>
    </row>
    <row r="16" spans="1:46">
      <c r="A16" s="80">
        <v>12</v>
      </c>
      <c r="C16" s="10">
        <f t="shared" si="27"/>
        <v>54</v>
      </c>
      <c r="D16" s="98" t="str" cm="1">
        <f t="array" ref="D16">_xlfn.IFS(C16&lt;=4,"1-4",C16&lt;=9,"5-9",C16&lt;=14,"10-14",C16&lt;=19,"15-19",C16&lt;=24,"20-24",C16&lt;=29,"25-29",C16&lt;=34,"30-34",C16&lt;=39,"35-39",C16&lt;=44,"40-44",C16&lt;=49,"45-49",C16&lt;=54,"50-54",C16&lt;=54,"50-54",C16&lt;=59,"55-59",C16&lt;=64,"60-64",C16&lt;=69,"65-69",C16&lt;=74,"70-74",C16&lt;=79,"75-79",C16&lt;=84,"80-84",C16&gt;84,"85+")</f>
        <v>50-54</v>
      </c>
      <c r="E16" s="83">
        <f>IF(D16="85+",1,VLOOKUP(D16,'Life table 2014'!$AF$3:$AR$21,7,FALSE))</f>
        <v>6.8554961659266223E-3</v>
      </c>
      <c r="F16" s="72"/>
      <c r="G16" s="316">
        <f t="shared" si="5"/>
        <v>4380</v>
      </c>
      <c r="H16" s="27">
        <f>'Parameters &amp; DSA'!$B$119*G16^'Parameters &amp; DSA'!$B$120</f>
        <v>0.49373216052532021</v>
      </c>
      <c r="I16" s="314">
        <f t="shared" si="31"/>
        <v>4.3125443217429171E-2</v>
      </c>
      <c r="J16" s="72"/>
      <c r="K16" s="140">
        <f t="shared" si="6"/>
        <v>0.35784334424672093</v>
      </c>
      <c r="L16" s="141">
        <f t="shared" si="7"/>
        <v>0</v>
      </c>
      <c r="M16" s="141">
        <f t="shared" si="8"/>
        <v>2.9820278687226743E-2</v>
      </c>
      <c r="N16" s="27">
        <f t="shared" si="9"/>
        <v>0.21610066194355573</v>
      </c>
      <c r="O16" s="27">
        <f t="shared" si="10"/>
        <v>0</v>
      </c>
      <c r="P16" s="27">
        <f t="shared" si="11"/>
        <v>3.6016776990592615E-2</v>
      </c>
      <c r="Q16" s="27">
        <f t="shared" si="12"/>
        <v>9.7374616167751532E-2</v>
      </c>
      <c r="R16" s="27">
        <f t="shared" si="13"/>
        <v>0</v>
      </c>
      <c r="S16" s="27">
        <f t="shared" si="14"/>
        <v>3.2458205389250511E-2</v>
      </c>
      <c r="T16" s="27">
        <f t="shared" si="15"/>
        <v>4.3964969757127438E-3</v>
      </c>
      <c r="U16" s="27">
        <f t="shared" si="16"/>
        <v>1.3189490927138232E-2</v>
      </c>
      <c r="V16" s="27">
        <f t="shared" si="17"/>
        <v>1.7585987902850975E-2</v>
      </c>
      <c r="W16" s="27">
        <f t="shared" si="28"/>
        <v>6.4853778497228731E-2</v>
      </c>
      <c r="X16" s="27">
        <f t="shared" si="29"/>
        <v>2.9228992684497616E-3</v>
      </c>
      <c r="Y16" s="142">
        <f t="shared" si="18"/>
        <v>0.12743746300352224</v>
      </c>
      <c r="Z16" s="89">
        <f t="shared" si="30"/>
        <v>1.0000000000000009</v>
      </c>
      <c r="AB16" s="171">
        <f>(IF('Parameters &amp; DSA'!$H$1=1,(('Parameters &amp; DSA'!$B$79+'Parameters &amp; DSA'!$B$85+'Parameters &amp; DSA'!$B$89+'Parameters &amp; DSA'!$B$93)*K16)/(1+cDC)^$A16,(('Parameters &amp; DSA'!$B$79+'Parameters &amp; DSA'!$B$85)*K16)))*($AD$2/$AF$2)</f>
        <v>2449.6091899845219</v>
      </c>
      <c r="AC16" s="371">
        <f>(IF('Parameters &amp; DSA'!$H$1=1,(('Parameters &amp; DSA'!$B$79+'Parameters &amp; DSA'!$B$85+'Parameters &amp; DSA'!$B$89+'Parameters &amp; DSA'!$B$93)*($M16+$N16))/(1+cDC)^$A16,(('Parameters &amp; DSA'!$B$79+'Parameters &amp; DSA'!$B$85)*($M16+$N16))))*($AD$2/$AF$2)</f>
        <v>1683.4466977355917</v>
      </c>
      <c r="AD16" s="371">
        <f>(IF('Parameters &amp; DSA'!$H$1=1,(('Parameters &amp; DSA'!$B$79+'Parameters &amp; DSA'!$B$85+'Parameters &amp; DSA'!$B$89+'Parameters &amp; DSA'!$B$93)*(P16+Q16))/(1+cDC)^$A16,(('Parameters &amp; DSA'!$B$79+'Parameters &amp; DSA'!$B$85)*(P16+Q16))))*($AD$2/$AF$2)</f>
        <v>913.12801481150518</v>
      </c>
      <c r="AE16" s="371">
        <f>(IF('Parameters &amp; DSA'!$H$1=1,(('Parameters &amp; DSA'!$B$79+'Parameters &amp; DSA'!$B$85+'Parameters &amp; DSA'!$B$89+'Parameters &amp; DSA'!$B$93)*(S16+T16))/(1+cDC)^$A16,(('Parameters &amp; DSA'!$B$79+'Parameters &amp; DSA'!$B$85)*(S16+T16))))*($AD$2/$AF$2)</f>
        <v>252.28810053014016</v>
      </c>
      <c r="AF16" s="371">
        <f>(IF('Parameters &amp; DSA'!$H$1=1,(((W16-W15)*cM_Dialysis0)+(W16*cM_Dialysis1))/(1+'Parameters &amp; DSA'!$B$6)^$A16,(((W16-W15)*cM_Dialysis0)+(W16*cM_Dialysis1))))*($AD$2/$AG$2)</f>
        <v>35240.621630593123</v>
      </c>
      <c r="AG16" s="172">
        <f t="shared" si="19"/>
        <v>40539.093633654884</v>
      </c>
      <c r="AI16" s="88">
        <f t="shared" si="0"/>
        <v>0.25098412191561797</v>
      </c>
      <c r="AJ16" s="27">
        <f t="shared" si="20"/>
        <v>0.23013494620332417</v>
      </c>
      <c r="AK16" s="27">
        <f t="shared" si="1"/>
        <v>0.17248399987656149</v>
      </c>
      <c r="AL16" s="27">
        <f t="shared" si="21"/>
        <v>0.15773837722391423</v>
      </c>
      <c r="AM16" s="27">
        <f t="shared" si="2"/>
        <v>9.3558039352173203E-2</v>
      </c>
      <c r="AN16" s="27">
        <f t="shared" si="22"/>
        <v>8.4993418332541468E-2</v>
      </c>
      <c r="AO16" s="27">
        <f t="shared" si="3"/>
        <v>2.5849146729285614E-2</v>
      </c>
      <c r="AP16" s="27">
        <f t="shared" si="23"/>
        <v>2.2385867710837237E-2</v>
      </c>
      <c r="AQ16" s="27">
        <f t="shared" si="4"/>
        <v>5.78215934808246E-2</v>
      </c>
      <c r="AR16" s="27">
        <f t="shared" si="24"/>
        <v>4.0475115436577218E-2</v>
      </c>
      <c r="AS16" s="27">
        <f t="shared" si="25"/>
        <v>0.60069690135446285</v>
      </c>
      <c r="AT16" s="89">
        <f t="shared" si="26"/>
        <v>0.53572772490719434</v>
      </c>
    </row>
    <row r="17" spans="1:47">
      <c r="A17" s="80">
        <v>13</v>
      </c>
      <c r="C17" s="10">
        <f t="shared" si="27"/>
        <v>55</v>
      </c>
      <c r="D17" s="98" t="str" cm="1">
        <f t="array" ref="D17">_xlfn.IFS(C17&lt;=4,"1-4",C17&lt;=9,"5-9",C17&lt;=14,"10-14",C17&lt;=19,"15-19",C17&lt;=24,"20-24",C17&lt;=29,"25-29",C17&lt;=34,"30-34",C17&lt;=39,"35-39",C17&lt;=44,"40-44",C17&lt;=49,"45-49",C17&lt;=54,"50-54",C17&lt;=54,"50-54",C17&lt;=59,"55-59",C17&lt;=64,"60-64",C17&lt;=69,"65-69",C17&lt;=74,"70-74",C17&lt;=79,"75-79",C17&lt;=84,"80-84",C17&gt;84,"85+")</f>
        <v>55-59</v>
      </c>
      <c r="E17" s="83">
        <f>IF(D17="85+",1,VLOOKUP(D17,'Life table 2014'!$AF$3:$AR$21,7,FALSE))</f>
        <v>9.6699779598412583E-3</v>
      </c>
      <c r="F17" s="72"/>
      <c r="G17" s="316">
        <f t="shared" si="5"/>
        <v>4745</v>
      </c>
      <c r="H17" s="27">
        <f>'Parameters &amp; DSA'!$B$119*G17^'Parameters &amp; DSA'!$B$120</f>
        <v>0.53809132829562223</v>
      </c>
      <c r="I17" s="314">
        <f t="shared" si="31"/>
        <v>4.3389687829287871E-2</v>
      </c>
      <c r="J17" s="72"/>
      <c r="K17" s="140">
        <f t="shared" si="6"/>
        <v>0.32712277568748854</v>
      </c>
      <c r="L17" s="141">
        <f t="shared" si="7"/>
        <v>0</v>
      </c>
      <c r="M17" s="141">
        <f t="shared" si="8"/>
        <v>2.7260231307290713E-2</v>
      </c>
      <c r="N17" s="27">
        <f t="shared" si="9"/>
        <v>0.20875104904715949</v>
      </c>
      <c r="O17" s="27">
        <f t="shared" si="10"/>
        <v>0</v>
      </c>
      <c r="P17" s="27">
        <f t="shared" si="11"/>
        <v>3.4791841507859911E-2</v>
      </c>
      <c r="Q17" s="27">
        <f t="shared" si="12"/>
        <v>9.9076125994852826E-2</v>
      </c>
      <c r="R17" s="27">
        <f t="shared" si="13"/>
        <v>0</v>
      </c>
      <c r="S17" s="27">
        <f t="shared" si="14"/>
        <v>3.3025375331617611E-2</v>
      </c>
      <c r="T17" s="27">
        <f t="shared" si="15"/>
        <v>4.5622897756721938E-3</v>
      </c>
      <c r="U17" s="27">
        <f t="shared" si="16"/>
        <v>1.3686869327016581E-2</v>
      </c>
      <c r="V17" s="27">
        <f t="shared" si="17"/>
        <v>1.8249159102688775E-2</v>
      </c>
      <c r="W17" s="27">
        <f t="shared" si="28"/>
        <v>7.8100129803816837E-2</v>
      </c>
      <c r="X17" s="27">
        <f t="shared" si="29"/>
        <v>3.5424458721596301E-3</v>
      </c>
      <c r="Y17" s="142">
        <f t="shared" si="18"/>
        <v>0.15183170724237766</v>
      </c>
      <c r="Z17" s="89">
        <f t="shared" si="30"/>
        <v>1.0000000000000009</v>
      </c>
      <c r="AB17" s="171">
        <f>(IF('Parameters &amp; DSA'!$H$1=1,(('Parameters &amp; DSA'!$B$79+'Parameters &amp; DSA'!$B$85+'Parameters &amp; DSA'!$B$89+'Parameters &amp; DSA'!$B$93)*K17)/(1+cDC)^$A17,(('Parameters &amp; DSA'!$B$79+'Parameters &amp; DSA'!$B$85)*K17)))*($AD$2/$AF$2)</f>
        <v>2174.089490461969</v>
      </c>
      <c r="AC17" s="371">
        <f>(IF('Parameters &amp; DSA'!$H$1=1,(('Parameters &amp; DSA'!$B$79+'Parameters &amp; DSA'!$B$85+'Parameters &amp; DSA'!$B$89+'Parameters &amp; DSA'!$B$93)*($M17+$N17))/(1+cDC)^$A17,(('Parameters &amp; DSA'!$B$79+'Parameters &amp; DSA'!$B$85)*($M17+$N17))))*($AD$2/$AF$2)</f>
        <v>1568.5537125035726</v>
      </c>
      <c r="AD17" s="371">
        <f>(IF('Parameters &amp; DSA'!$H$1=1,(('Parameters &amp; DSA'!$B$79+'Parameters &amp; DSA'!$B$85+'Parameters &amp; DSA'!$B$89+'Parameters &amp; DSA'!$B$93)*(P17+Q17))/(1+cDC)^$A17,(('Parameters &amp; DSA'!$B$79+'Parameters &amp; DSA'!$B$85)*(P17+Q17))))*($AD$2/$AF$2)</f>
        <v>889.69941223289652</v>
      </c>
      <c r="AE17" s="371">
        <f>(IF('Parameters &amp; DSA'!$H$1=1,(('Parameters &amp; DSA'!$B$79+'Parameters &amp; DSA'!$B$85+'Parameters &amp; DSA'!$B$89+'Parameters &amp; DSA'!$B$93)*(S17+T17))/(1+cDC)^$A17,(('Parameters &amp; DSA'!$B$79+'Parameters &amp; DSA'!$B$85)*(S17+T17))))*($AD$2/$AF$2)</f>
        <v>249.81124444490442</v>
      </c>
      <c r="AF17" s="371">
        <f>(IF('Parameters &amp; DSA'!$H$1=1,(((W17-W16)*cM_Dialysis0)+(W17*cM_Dialysis1))/(1+'Parameters &amp; DSA'!$B$6)^$A17,(((W17-W16)*cM_Dialysis0)+(W17*cM_Dialysis1))))*($AD$2/$AG$2)</f>
        <v>40002.558306942548</v>
      </c>
      <c r="AG17" s="172">
        <f t="shared" si="19"/>
        <v>44884.712166585894</v>
      </c>
      <c r="AI17" s="88">
        <f t="shared" si="0"/>
        <v>0.22275469244668308</v>
      </c>
      <c r="AJ17" s="27">
        <f t="shared" si="20"/>
        <v>0.20425052697154486</v>
      </c>
      <c r="AK17" s="27">
        <f t="shared" si="1"/>
        <v>0.16071219761086844</v>
      </c>
      <c r="AL17" s="27">
        <f t="shared" si="21"/>
        <v>0.14697294397955482</v>
      </c>
      <c r="AM17" s="27">
        <f t="shared" si="2"/>
        <v>9.115757185313543E-2</v>
      </c>
      <c r="AN17" s="27">
        <f t="shared" si="22"/>
        <v>8.2812697789955106E-2</v>
      </c>
      <c r="AO17" s="27">
        <f t="shared" si="3"/>
        <v>2.5595370922023811E-2</v>
      </c>
      <c r="AP17" s="27">
        <f t="shared" si="23"/>
        <v>2.216609288774269E-2</v>
      </c>
      <c r="AQ17" s="27">
        <f t="shared" si="4"/>
        <v>6.5609177388274834E-2</v>
      </c>
      <c r="AR17" s="27">
        <f t="shared" si="24"/>
        <v>4.5926424171792379E-2</v>
      </c>
      <c r="AS17" s="27">
        <f t="shared" si="25"/>
        <v>0.56582901022098564</v>
      </c>
      <c r="AT17" s="89">
        <f t="shared" si="26"/>
        <v>0.50212868580058978</v>
      </c>
    </row>
    <row r="18" spans="1:47">
      <c r="A18" s="80">
        <v>14</v>
      </c>
      <c r="C18" s="10">
        <f t="shared" si="27"/>
        <v>56</v>
      </c>
      <c r="D18" s="98" t="str" cm="1">
        <f t="array" ref="D18">_xlfn.IFS(C18&lt;=4,"1-4",C18&lt;=9,"5-9",C18&lt;=14,"10-14",C18&lt;=19,"15-19",C18&lt;=24,"20-24",C18&lt;=29,"25-29",C18&lt;=34,"30-34",C18&lt;=39,"35-39",C18&lt;=44,"40-44",C18&lt;=49,"45-49",C18&lt;=54,"50-54",C18&lt;=54,"50-54",C18&lt;=59,"55-59",C18&lt;=64,"60-64",C18&lt;=69,"65-69",C18&lt;=74,"70-74",C18&lt;=79,"75-79",C18&lt;=84,"80-84",C18&gt;84,"85+")</f>
        <v>55-59</v>
      </c>
      <c r="E18" s="83">
        <f>IF(D18="85+",1,VLOOKUP(D18,'Life table 2014'!$AF$3:$AR$21,7,FALSE))</f>
        <v>9.6699779598412583E-3</v>
      </c>
      <c r="F18" s="72"/>
      <c r="G18" s="316">
        <f t="shared" si="5"/>
        <v>5110</v>
      </c>
      <c r="H18" s="27">
        <f>'Parameters &amp; DSA'!$B$119*G18^'Parameters &amp; DSA'!$B$120</f>
        <v>0.58270693560677034</v>
      </c>
      <c r="I18" s="314">
        <f t="shared" si="31"/>
        <v>4.3634969087258835E-2</v>
      </c>
      <c r="J18" s="72"/>
      <c r="K18" s="140">
        <f t="shared" si="6"/>
        <v>0.29903954368285707</v>
      </c>
      <c r="L18" s="141">
        <f t="shared" si="7"/>
        <v>0</v>
      </c>
      <c r="M18" s="141">
        <f t="shared" si="8"/>
        <v>2.4919961973571419E-2</v>
      </c>
      <c r="N18" s="27">
        <f t="shared" si="9"/>
        <v>0.20033919126441324</v>
      </c>
      <c r="O18" s="27">
        <f t="shared" si="10"/>
        <v>0</v>
      </c>
      <c r="P18" s="27">
        <f t="shared" si="11"/>
        <v>3.3389865210735538E-2</v>
      </c>
      <c r="Q18" s="27">
        <f t="shared" si="12"/>
        <v>9.9430100405574567E-2</v>
      </c>
      <c r="R18" s="27">
        <f t="shared" si="13"/>
        <v>0</v>
      </c>
      <c r="S18" s="27">
        <f t="shared" si="14"/>
        <v>3.3143366801858191E-2</v>
      </c>
      <c r="T18" s="27">
        <f t="shared" si="15"/>
        <v>4.6530241517675529E-3</v>
      </c>
      <c r="U18" s="27">
        <f t="shared" si="16"/>
        <v>1.395907245530266E-2</v>
      </c>
      <c r="V18" s="27">
        <f t="shared" si="17"/>
        <v>1.8612096607070212E-2</v>
      </c>
      <c r="W18" s="27">
        <f t="shared" si="28"/>
        <v>9.1254049667667342E-2</v>
      </c>
      <c r="X18" s="27">
        <f t="shared" si="29"/>
        <v>4.1635437386659873E-3</v>
      </c>
      <c r="Y18" s="142">
        <f t="shared" si="18"/>
        <v>0.17709618404051708</v>
      </c>
      <c r="Z18" s="89">
        <f t="shared" si="30"/>
        <v>1.0000000000000009</v>
      </c>
      <c r="AB18" s="171">
        <f>(IF('Parameters &amp; DSA'!$H$1=1,(('Parameters &amp; DSA'!$B$79+'Parameters &amp; DSA'!$B$85+'Parameters &amp; DSA'!$B$89+'Parameters &amp; DSA'!$B$93)*K18)/(1+cDC)^$A18,(('Parameters &amp; DSA'!$B$79+'Parameters &amp; DSA'!$B$85)*K18)))*($AD$2/$AF$2)</f>
        <v>1929.5588585569644</v>
      </c>
      <c r="AC18" s="371">
        <f>(IF('Parameters &amp; DSA'!$H$1=1,(('Parameters &amp; DSA'!$B$79+'Parameters &amp; DSA'!$B$85+'Parameters &amp; DSA'!$B$89+'Parameters &amp; DSA'!$B$93)*($M18+$N18))/(1+cDC)^$A18,(('Parameters &amp; DSA'!$B$79+'Parameters &amp; DSA'!$B$85)*($M18+$N18))))*($AD$2/$AF$2)</f>
        <v>1453.4893587931563</v>
      </c>
      <c r="AD18" s="371">
        <f>(IF('Parameters &amp; DSA'!$H$1=1,(('Parameters &amp; DSA'!$B$79+'Parameters &amp; DSA'!$B$85+'Parameters &amp; DSA'!$B$89+'Parameters &amp; DSA'!$B$93)*(P18+Q18))/(1+cDC)^$A18,(('Parameters &amp; DSA'!$B$79+'Parameters &amp; DSA'!$B$85)*(P18+Q18))))*($AD$2/$AF$2)</f>
        <v>857.0235832087194</v>
      </c>
      <c r="AE18" s="371">
        <f>(IF('Parameters &amp; DSA'!$H$1=1,(('Parameters &amp; DSA'!$B$79+'Parameters &amp; DSA'!$B$85+'Parameters &amp; DSA'!$B$89+'Parameters &amp; DSA'!$B$93)*(S18+T18))/(1+cDC)^$A18,(('Parameters &amp; DSA'!$B$79+'Parameters &amp; DSA'!$B$85)*(S18+T18))))*($AD$2/$AF$2)</f>
        <v>243.88199663451974</v>
      </c>
      <c r="AF18" s="371">
        <f>(IF('Parameters &amp; DSA'!$H$1=1,(((W18-W17)*cM_Dialysis0)+(W18*cM_Dialysis1))/(1+'Parameters &amp; DSA'!$B$6)^$A18,(((W18-W17)*cM_Dialysis0)+(W18*cM_Dialysis1))))*($AD$2/$AG$2)</f>
        <v>44332.025652453747</v>
      </c>
      <c r="AG18" s="172">
        <f t="shared" si="19"/>
        <v>48815.979449647108</v>
      </c>
      <c r="AI18" s="88">
        <f t="shared" si="0"/>
        <v>0.19770036697261162</v>
      </c>
      <c r="AJ18" s="27">
        <f t="shared" si="20"/>
        <v>0.18127745679830687</v>
      </c>
      <c r="AK18" s="27">
        <f t="shared" si="1"/>
        <v>0.14892283712925652</v>
      </c>
      <c r="AL18" s="27">
        <f t="shared" si="21"/>
        <v>0.13619145356764381</v>
      </c>
      <c r="AM18" s="27">
        <f t="shared" si="2"/>
        <v>8.7809644237159382E-2</v>
      </c>
      <c r="AN18" s="27">
        <f t="shared" si="22"/>
        <v>7.9771250850899394E-2</v>
      </c>
      <c r="AO18" s="27">
        <f t="shared" si="3"/>
        <v>2.4987867055123764E-2</v>
      </c>
      <c r="AP18" s="27">
        <f t="shared" si="23"/>
        <v>2.1639982631931461E-2</v>
      </c>
      <c r="AQ18" s="27">
        <f t="shared" si="4"/>
        <v>7.2634465558901962E-2</v>
      </c>
      <c r="AR18" s="27">
        <f t="shared" si="24"/>
        <v>5.084412589123137E-2</v>
      </c>
      <c r="AS18" s="27">
        <f t="shared" si="25"/>
        <v>0.53205518095305326</v>
      </c>
      <c r="AT18" s="89">
        <f t="shared" si="26"/>
        <v>0.46972426974001297</v>
      </c>
    </row>
    <row r="19" spans="1:47">
      <c r="A19" s="80">
        <v>15</v>
      </c>
      <c r="C19" s="10">
        <f t="shared" si="27"/>
        <v>57</v>
      </c>
      <c r="D19" s="98" t="str" cm="1">
        <f t="array" ref="D19">_xlfn.IFS(C19&lt;=4,"1-4",C19&lt;=9,"5-9",C19&lt;=14,"10-14",C19&lt;=19,"15-19",C19&lt;=24,"20-24",C19&lt;=29,"25-29",C19&lt;=34,"30-34",C19&lt;=39,"35-39",C19&lt;=44,"40-44",C19&lt;=49,"45-49",C19&lt;=54,"50-54",C19&lt;=54,"50-54",C19&lt;=59,"55-59",C19&lt;=64,"60-64",C19&lt;=69,"65-69",C19&lt;=74,"70-74",C19&lt;=79,"75-79",C19&lt;=84,"80-84",C19&gt;84,"85+")</f>
        <v>55-59</v>
      </c>
      <c r="E19" s="83">
        <f>IF(D19="85+",1,VLOOKUP(D19,'Life table 2014'!$AF$3:$AR$21,7,FALSE))</f>
        <v>9.6699779598412583E-3</v>
      </c>
      <c r="F19" s="72"/>
      <c r="G19" s="316">
        <f t="shared" si="5"/>
        <v>5475</v>
      </c>
      <c r="H19" s="27">
        <f>'Parameters &amp; DSA'!$B$119*G19^'Parameters &amp; DSA'!$B$120</f>
        <v>0.62756196108333639</v>
      </c>
      <c r="I19" s="314">
        <f t="shared" si="31"/>
        <v>4.3863912840689467E-2</v>
      </c>
      <c r="J19" s="72"/>
      <c r="K19" s="140">
        <f t="shared" si="6"/>
        <v>0.27336723497199034</v>
      </c>
      <c r="L19" s="141">
        <f t="shared" si="7"/>
        <v>0</v>
      </c>
      <c r="M19" s="141">
        <f t="shared" si="8"/>
        <v>2.278060291433253E-2</v>
      </c>
      <c r="N19" s="27">
        <f t="shared" si="9"/>
        <v>0.19121220187793217</v>
      </c>
      <c r="O19" s="27">
        <f t="shared" si="10"/>
        <v>0</v>
      </c>
      <c r="P19" s="27">
        <f>(SUM(M18:N18)*(1-E19))*p3b_4MDCT</f>
        <v>3.186870031298869E-2</v>
      </c>
      <c r="Q19" s="27">
        <f t="shared" si="12"/>
        <v>9.8651699607130119E-2</v>
      </c>
      <c r="R19" s="27">
        <f t="shared" si="13"/>
        <v>0</v>
      </c>
      <c r="S19" s="27">
        <f t="shared" si="14"/>
        <v>3.2883899869043373E-2</v>
      </c>
      <c r="T19" s="27">
        <f t="shared" si="15"/>
        <v>4.6788625857678307E-3</v>
      </c>
      <c r="U19" s="27">
        <f t="shared" si="16"/>
        <v>1.4036587757303492E-2</v>
      </c>
      <c r="V19" s="27">
        <f t="shared" si="17"/>
        <v>1.8715450343071323E-2</v>
      </c>
      <c r="W19" s="27">
        <f t="shared" si="28"/>
        <v>0.10403118515932773</v>
      </c>
      <c r="X19" s="27">
        <f t="shared" si="29"/>
        <v>4.772557902400415E-3</v>
      </c>
      <c r="Y19" s="142">
        <f t="shared" si="18"/>
        <v>0.20300101669871287</v>
      </c>
      <c r="Z19" s="89">
        <f t="shared" si="30"/>
        <v>1.0000000000000011</v>
      </c>
      <c r="AB19" s="171">
        <f>(IF('Parameters &amp; DSA'!$H$1=1,(('Parameters &amp; DSA'!$B$79+'Parameters &amp; DSA'!$B$85+'Parameters &amp; DSA'!$B$89+'Parameters &amp; DSA'!$B$93)*K19)/(1+cDC)^$A19,(('Parameters &amp; DSA'!$B$79+'Parameters &amp; DSA'!$B$85)*K19)))*($AD$2/$AF$2)</f>
        <v>1712.5318000799123</v>
      </c>
      <c r="AC19" s="371">
        <f>(IF('Parameters &amp; DSA'!$H$1=1,(('Parameters &amp; DSA'!$B$79+'Parameters &amp; DSA'!$B$85+'Parameters &amp; DSA'!$B$89+'Parameters &amp; DSA'!$B$93)*($M19+$N19))/(1+cDC)^$A19,(('Parameters &amp; DSA'!$B$79+'Parameters &amp; DSA'!$B$85)*($M19+$N19))))*($AD$2/$AF$2)</f>
        <v>1340.575739563651</v>
      </c>
      <c r="AD19" s="371">
        <f>(IF('Parameters &amp; DSA'!$H$1=1,(('Parameters &amp; DSA'!$B$79+'Parameters &amp; DSA'!$B$85+'Parameters &amp; DSA'!$B$89+'Parameters &amp; DSA'!$B$93)*(P19+Q19))/(1+cDC)^$A19,(('Parameters &amp; DSA'!$B$79+'Parameters &amp; DSA'!$B$85)*(P19+Q19))))*($AD$2/$AF$2)</f>
        <v>817.65591053826699</v>
      </c>
      <c r="AE19" s="371">
        <f>(IF('Parameters &amp; DSA'!$H$1=1,(('Parameters &amp; DSA'!$B$79+'Parameters &amp; DSA'!$B$85+'Parameters &amp; DSA'!$B$89+'Parameters &amp; DSA'!$B$93)*(S19+T19))/(1+cDC)^$A19,(('Parameters &amp; DSA'!$B$79+'Parameters &amp; DSA'!$B$85)*(S19+T19))))*($AD$2/$AF$2)</f>
        <v>235.31505232989267</v>
      </c>
      <c r="AF19" s="371">
        <f>(IF('Parameters &amp; DSA'!$H$1=1,(((W19-W18)*cM_Dialysis0)+(W19*cM_Dialysis1))/(1+'Parameters &amp; DSA'!$B$6)^$A19,(((W19-W18)*cM_Dialysis0)+(W19*cM_Dialysis1))))*($AD$2/$AG$2)</f>
        <v>48097.040917763115</v>
      </c>
      <c r="AG19" s="172">
        <f t="shared" si="19"/>
        <v>52203.119420274837</v>
      </c>
      <c r="AI19" s="88">
        <f t="shared" si="0"/>
        <v>0.17546402579357781</v>
      </c>
      <c r="AJ19" s="27">
        <f t="shared" si="20"/>
        <v>0.16088828181011303</v>
      </c>
      <c r="AK19" s="27">
        <f t="shared" si="1"/>
        <v>0.13735383841284868</v>
      </c>
      <c r="AL19" s="27">
        <f t="shared" si="21"/>
        <v>0.12561148623770194</v>
      </c>
      <c r="AM19" s="27">
        <f t="shared" si="2"/>
        <v>8.3776078067725857E-2</v>
      </c>
      <c r="AN19" s="27">
        <f t="shared" si="22"/>
        <v>7.61069310427408E-2</v>
      </c>
      <c r="AO19" s="27">
        <f t="shared" si="3"/>
        <v>2.4110107858845431E-2</v>
      </c>
      <c r="AP19" s="27">
        <f t="shared" si="23"/>
        <v>2.0879825963874176E-2</v>
      </c>
      <c r="AQ19" s="27">
        <f t="shared" si="4"/>
        <v>7.878639449996494E-2</v>
      </c>
      <c r="AR19" s="27">
        <f t="shared" si="24"/>
        <v>5.5150476149975453E-2</v>
      </c>
      <c r="AS19" s="27">
        <f t="shared" si="25"/>
        <v>0.49949044463296272</v>
      </c>
      <c r="AT19" s="89">
        <f t="shared" si="26"/>
        <v>0.43863700120440541</v>
      </c>
    </row>
    <row r="20" spans="1:47">
      <c r="A20" s="80">
        <v>16</v>
      </c>
      <c r="C20" s="10">
        <f t="shared" si="27"/>
        <v>58</v>
      </c>
      <c r="D20" s="98" t="str" cm="1">
        <f t="array" ref="D20">_xlfn.IFS(C20&lt;=4,"1-4",C20&lt;=9,"5-9",C20&lt;=14,"10-14",C20&lt;=19,"15-19",C20&lt;=24,"20-24",C20&lt;=29,"25-29",C20&lt;=34,"30-34",C20&lt;=39,"35-39",C20&lt;=44,"40-44",C20&lt;=49,"45-49",C20&lt;=54,"50-54",C20&lt;=54,"50-54",C20&lt;=59,"55-59",C20&lt;=64,"60-64",C20&lt;=69,"65-69",C20&lt;=74,"70-74",C20&lt;=79,"75-79",C20&lt;=84,"80-84",C20&gt;84,"85+")</f>
        <v>55-59</v>
      </c>
      <c r="E20" s="83">
        <f>IF(D20="85+",1,VLOOKUP(D20,'Life table 2014'!$AF$3:$AR$21,7,FALSE))</f>
        <v>9.6699779598412583E-3</v>
      </c>
      <c r="F20" s="72"/>
      <c r="G20" s="316">
        <f t="shared" si="5"/>
        <v>5840</v>
      </c>
      <c r="H20" s="27">
        <f>'Parameters &amp; DSA'!$B$119*G20^'Parameters &amp; DSA'!$B$120</f>
        <v>0.67264157870554264</v>
      </c>
      <c r="I20" s="314">
        <f t="shared" si="31"/>
        <v>4.4078629383301537E-2</v>
      </c>
      <c r="J20" s="72"/>
      <c r="K20" s="140">
        <f t="shared" si="6"/>
        <v>0.24989887369372474</v>
      </c>
      <c r="L20" s="141">
        <f t="shared" si="7"/>
        <v>0</v>
      </c>
      <c r="M20" s="141">
        <f t="shared" si="8"/>
        <v>2.0824906141143729E-2</v>
      </c>
      <c r="N20" s="27">
        <f t="shared" si="9"/>
        <v>0.18164871350259337</v>
      </c>
      <c r="O20" s="27">
        <f t="shared" si="10"/>
        <v>0</v>
      </c>
      <c r="P20" s="27">
        <f t="shared" si="11"/>
        <v>3.0274785583765555E-2</v>
      </c>
      <c r="Q20" s="27">
        <f t="shared" si="12"/>
        <v>9.6943702897186207E-2</v>
      </c>
      <c r="R20" s="27">
        <f t="shared" si="13"/>
        <v>0</v>
      </c>
      <c r="S20" s="27">
        <f t="shared" si="14"/>
        <v>3.2314567632395402E-2</v>
      </c>
      <c r="T20" s="27">
        <f t="shared" si="15"/>
        <v>4.6499414212203029E-3</v>
      </c>
      <c r="U20" s="27">
        <f t="shared" si="16"/>
        <v>1.3949824263660909E-2</v>
      </c>
      <c r="V20" s="27">
        <f t="shared" si="17"/>
        <v>1.8599765684881212E-2</v>
      </c>
      <c r="W20" s="27">
        <f t="shared" si="28"/>
        <v>0.11620149423724402</v>
      </c>
      <c r="X20" s="27">
        <f t="shared" si="29"/>
        <v>5.3581840052021696E-3</v>
      </c>
      <c r="Y20" s="142">
        <f t="shared" si="18"/>
        <v>0.22933524093698335</v>
      </c>
      <c r="Z20" s="89">
        <f t="shared" si="30"/>
        <v>1.0000000000000009</v>
      </c>
      <c r="AB20" s="171">
        <f>(IF('Parameters &amp; DSA'!$H$1=1,(('Parameters &amp; DSA'!$B$79+'Parameters &amp; DSA'!$B$85+'Parameters &amp; DSA'!$B$89+'Parameters &amp; DSA'!$B$93)*K20)/(1+cDC)^$A20,(('Parameters &amp; DSA'!$B$79+'Parameters &amp; DSA'!$B$85)*K20)))*($AD$2/$AF$2)</f>
        <v>1519.9148516662697</v>
      </c>
      <c r="AC20" s="371">
        <f>(IF('Parameters &amp; DSA'!$H$1=1,(('Parameters &amp; DSA'!$B$79+'Parameters &amp; DSA'!$B$85+'Parameters &amp; DSA'!$B$89+'Parameters &amp; DSA'!$B$93)*($M20+$N20))/(1+cDC)^$A20,(('Parameters &amp; DSA'!$B$79+'Parameters &amp; DSA'!$B$85)*($M20+$N20))))*($AD$2/$AF$2)</f>
        <v>1231.4687818253708</v>
      </c>
      <c r="AD20" s="371">
        <f>(IF('Parameters &amp; DSA'!$H$1=1,(('Parameters &amp; DSA'!$B$79+'Parameters &amp; DSA'!$B$85+'Parameters &amp; DSA'!$B$89+'Parameters &amp; DSA'!$B$93)*(P20+Q20))/(1+cDC)^$A20,(('Parameters &amp; DSA'!$B$79+'Parameters &amp; DSA'!$B$85)*(P20+Q20))))*($AD$2/$AF$2)</f>
        <v>773.75806937695859</v>
      </c>
      <c r="AE20" s="371">
        <f>(IF('Parameters &amp; DSA'!$H$1=1,(('Parameters &amp; DSA'!$B$79+'Parameters &amp; DSA'!$B$85+'Parameters &amp; DSA'!$B$89+'Parameters &amp; DSA'!$B$93)*(S20+T20))/(1+cDC)^$A20,(('Parameters &amp; DSA'!$B$79+'Parameters &amp; DSA'!$B$85)*(S20+T20))))*($AD$2/$AF$2)</f>
        <v>224.82256708367717</v>
      </c>
      <c r="AF20" s="371">
        <f>(IF('Parameters &amp; DSA'!$H$1=1,(((W20-W19)*cM_Dialysis0)+(W20*cM_Dialysis1))/(1+'Parameters &amp; DSA'!$B$6)^$A20,(((W20-W19)*cM_Dialysis0)+(W20*cM_Dialysis1))))*($AD$2/$AG$2)</f>
        <v>51266.71520667179</v>
      </c>
      <c r="AG20" s="172">
        <f t="shared" si="19"/>
        <v>55016.679476624064</v>
      </c>
      <c r="AI20" s="88">
        <f t="shared" si="0"/>
        <v>0.1557287162342724</v>
      </c>
      <c r="AJ20" s="27">
        <f t="shared" si="20"/>
        <v>0.14279237849530627</v>
      </c>
      <c r="AK20" s="27">
        <f t="shared" si="1"/>
        <v>0.12617486582620527</v>
      </c>
      <c r="AL20" s="27">
        <f t="shared" si="21"/>
        <v>0.11538820178169615</v>
      </c>
      <c r="AM20" s="27">
        <f t="shared" si="2"/>
        <v>7.9278356078884088E-2</v>
      </c>
      <c r="AN20" s="27">
        <f t="shared" si="22"/>
        <v>7.2020945817012363E-2</v>
      </c>
      <c r="AO20" s="27">
        <f t="shared" si="3"/>
        <v>2.3035059966715902E-2</v>
      </c>
      <c r="AP20" s="27">
        <f t="shared" si="23"/>
        <v>1.9948813418351318E-2</v>
      </c>
      <c r="AQ20" s="27">
        <f t="shared" si="4"/>
        <v>8.400368854868584E-2</v>
      </c>
      <c r="AR20" s="27">
        <f t="shared" si="24"/>
        <v>5.8802581984080081E-2</v>
      </c>
      <c r="AS20" s="27">
        <f t="shared" si="25"/>
        <v>0.46822068665476346</v>
      </c>
      <c r="AT20" s="89">
        <f t="shared" si="26"/>
        <v>0.40895292149644613</v>
      </c>
    </row>
    <row r="21" spans="1:47">
      <c r="A21" s="80">
        <v>17</v>
      </c>
      <c r="C21" s="10">
        <f t="shared" si="27"/>
        <v>59</v>
      </c>
      <c r="D21" s="98" t="str" cm="1">
        <f t="array" ref="D21">_xlfn.IFS(C21&lt;=4,"1-4",C21&lt;=9,"5-9",C21&lt;=14,"10-14",C21&lt;=19,"15-19",C21&lt;=24,"20-24",C21&lt;=29,"25-29",C21&lt;=34,"30-34",C21&lt;=39,"35-39",C21&lt;=44,"40-44",C21&lt;=49,"45-49",C21&lt;=54,"50-54",C21&lt;=54,"50-54",C21&lt;=59,"55-59",C21&lt;=64,"60-64",C21&lt;=69,"65-69",C21&lt;=74,"70-74",C21&lt;=79,"75-79",C21&lt;=84,"80-84",C21&gt;84,"85+")</f>
        <v>55-59</v>
      </c>
      <c r="E21" s="83">
        <f>IF(D21="85+",1,VLOOKUP(D21,'Life table 2014'!$AF$3:$AR$21,7,FALSE))</f>
        <v>9.6699779598412583E-3</v>
      </c>
      <c r="F21" s="72"/>
      <c r="G21" s="316">
        <f t="shared" si="5"/>
        <v>6205</v>
      </c>
      <c r="H21" s="27">
        <f>'Parameters &amp; DSA'!$B$119*G21^'Parameters &amp; DSA'!$B$120</f>
        <v>0.71793275431906123</v>
      </c>
      <c r="I21" s="314">
        <f t="shared" si="31"/>
        <v>4.4280840797847221E-2</v>
      </c>
      <c r="J21" s="72"/>
      <c r="K21" s="140">
        <f t="shared" si="6"/>
        <v>0.22844525270115443</v>
      </c>
      <c r="L21" s="141">
        <f t="shared" si="7"/>
        <v>0</v>
      </c>
      <c r="M21" s="141">
        <f t="shared" si="8"/>
        <v>1.9037104391762868E-2</v>
      </c>
      <c r="N21" s="27">
        <f t="shared" si="9"/>
        <v>0.17187060360371392</v>
      </c>
      <c r="O21" s="27">
        <f t="shared" si="10"/>
        <v>0</v>
      </c>
      <c r="P21" s="27">
        <f t="shared" si="11"/>
        <v>2.8645100600618985E-2</v>
      </c>
      <c r="Q21" s="27">
        <f t="shared" si="12"/>
        <v>9.4491216375942488E-2</v>
      </c>
      <c r="R21" s="27">
        <f t="shared" si="13"/>
        <v>0</v>
      </c>
      <c r="S21" s="27">
        <f t="shared" si="14"/>
        <v>3.1497072125314163E-2</v>
      </c>
      <c r="T21" s="27">
        <f t="shared" si="15"/>
        <v>4.5758828832213605E-3</v>
      </c>
      <c r="U21" s="27">
        <f t="shared" si="16"/>
        <v>1.3727648649664081E-2</v>
      </c>
      <c r="V21" s="27">
        <f t="shared" si="17"/>
        <v>1.8303531532885442E-2</v>
      </c>
      <c r="W21" s="27">
        <f t="shared" si="28"/>
        <v>0.1275863427721651</v>
      </c>
      <c r="X21" s="27">
        <f t="shared" si="29"/>
        <v>5.9113919375543287E-3</v>
      </c>
      <c r="Y21" s="142">
        <f t="shared" si="18"/>
        <v>0.25590885242600386</v>
      </c>
      <c r="Z21" s="89">
        <f t="shared" si="30"/>
        <v>1.0000000000000009</v>
      </c>
      <c r="AB21" s="171">
        <f>(IF('Parameters &amp; DSA'!$H$1=1,(('Parameters &amp; DSA'!$B$79+'Parameters &amp; DSA'!$B$85+'Parameters &amp; DSA'!$B$89+'Parameters &amp; DSA'!$B$93)*K21)/(1+cDC)^$A21,(('Parameters &amp; DSA'!$B$79+'Parameters &amp; DSA'!$B$85)*K21)))*($AD$2/$AF$2)</f>
        <v>1348.9624871245601</v>
      </c>
      <c r="AC21" s="371">
        <f>(IF('Parameters &amp; DSA'!$H$1=1,(('Parameters &amp; DSA'!$B$79+'Parameters &amp; DSA'!$B$85+'Parameters &amp; DSA'!$B$89+'Parameters &amp; DSA'!$B$93)*($M21+$N21))/(1+cDC)^$A21,(('Parameters &amp; DSA'!$B$79+'Parameters &amp; DSA'!$B$85)*($M21+$N21))))*($AD$2/$AF$2)</f>
        <v>1127.3043915065182</v>
      </c>
      <c r="AD21" s="371">
        <f>(IF('Parameters &amp; DSA'!$H$1=1,(('Parameters &amp; DSA'!$B$79+'Parameters &amp; DSA'!$B$85+'Parameters &amp; DSA'!$B$89+'Parameters &amp; DSA'!$B$93)*(P21+Q21))/(1+cDC)^$A21,(('Parameters &amp; DSA'!$B$79+'Parameters &amp; DSA'!$B$85)*(P21+Q21))))*($AD$2/$AF$2)</f>
        <v>727.11632410832385</v>
      </c>
      <c r="AE21" s="371">
        <f>(IF('Parameters &amp; DSA'!$H$1=1,(('Parameters &amp; DSA'!$B$79+'Parameters &amp; DSA'!$B$85+'Parameters &amp; DSA'!$B$89+'Parameters &amp; DSA'!$B$93)*(S21+T21))/(1+cDC)^$A21,(('Parameters &amp; DSA'!$B$79+'Parameters &amp; DSA'!$B$85)*(S21+T21))))*($AD$2/$AF$2)</f>
        <v>213.00973660373438</v>
      </c>
      <c r="AF21" s="371">
        <f>(IF('Parameters &amp; DSA'!$H$1=1,(((W21-W20)*cM_Dialysis0)+(W21*cM_Dialysis1))/(1+'Parameters &amp; DSA'!$B$6)^$A21,(((W21-W20)*cM_Dialysis0)+(W21*cM_Dialysis1))))*($AD$2/$AG$2)</f>
        <v>53834.778594114483</v>
      </c>
      <c r="AG21" s="172">
        <f t="shared" si="19"/>
        <v>57251.171533457622</v>
      </c>
      <c r="AI21" s="88">
        <f t="shared" si="0"/>
        <v>0.13821313485936307</v>
      </c>
      <c r="AJ21" s="27">
        <f t="shared" si="20"/>
        <v>0.12673181121053623</v>
      </c>
      <c r="AK21" s="27">
        <f t="shared" si="1"/>
        <v>0.11550230297579478</v>
      </c>
      <c r="AL21" s="27">
        <f t="shared" si="21"/>
        <v>0.10562803419485468</v>
      </c>
      <c r="AM21" s="27">
        <f t="shared" si="2"/>
        <v>7.4499496851574379E-2</v>
      </c>
      <c r="AN21" s="27">
        <f t="shared" si="22"/>
        <v>6.7679559611491955E-2</v>
      </c>
      <c r="AO21" s="27">
        <f t="shared" si="3"/>
        <v>2.1824731030382502E-2</v>
      </c>
      <c r="AP21" s="27">
        <f t="shared" si="23"/>
        <v>1.8900644837039442E-2</v>
      </c>
      <c r="AQ21" s="27">
        <f t="shared" si="4"/>
        <v>8.82657732367821E-2</v>
      </c>
      <c r="AR21" s="27">
        <f t="shared" si="24"/>
        <v>6.1786041265747466E-2</v>
      </c>
      <c r="AS21" s="27">
        <f t="shared" si="25"/>
        <v>0.43830543895389679</v>
      </c>
      <c r="AT21" s="89">
        <f t="shared" si="26"/>
        <v>0.38072609111966982</v>
      </c>
    </row>
    <row r="22" spans="1:47">
      <c r="A22" s="80">
        <v>18</v>
      </c>
      <c r="C22" s="10">
        <f t="shared" si="27"/>
        <v>60</v>
      </c>
      <c r="D22" s="98" t="str" cm="1">
        <f t="array" ref="D22">_xlfn.IFS(C22&lt;=4,"1-4",C22&lt;=9,"5-9",C22&lt;=14,"10-14",C22&lt;=19,"15-19",C22&lt;=24,"20-24",C22&lt;=29,"25-29",C22&lt;=34,"30-34",C22&lt;=39,"35-39",C22&lt;=44,"40-44",C22&lt;=49,"45-49",C22&lt;=54,"50-54",C22&lt;=54,"50-54",C22&lt;=59,"55-59",C22&lt;=64,"60-64",C22&lt;=69,"65-69",C22&lt;=74,"70-74",C22&lt;=79,"75-79",C22&lt;=84,"80-84",C22&gt;84,"85+")</f>
        <v>60-64</v>
      </c>
      <c r="E22" s="83">
        <f>IF(D22="85+",1,VLOOKUP(D22,'Life table 2014'!$AF$3:$AR$21,7,FALSE))</f>
        <v>1.2786572991074552E-2</v>
      </c>
      <c r="F22" s="72"/>
      <c r="G22" s="316">
        <f t="shared" si="5"/>
        <v>6570</v>
      </c>
      <c r="H22" s="27">
        <f>'Parameters &amp; DSA'!$B$119*G22^'Parameters &amp; DSA'!$B$120</f>
        <v>0.76342393582915613</v>
      </c>
      <c r="I22" s="314">
        <f t="shared" si="31"/>
        <v>4.4471971150922718E-2</v>
      </c>
      <c r="J22" s="72"/>
      <c r="K22" s="140">
        <f t="shared" si="6"/>
        <v>0.20817620381817845</v>
      </c>
      <c r="L22" s="141">
        <f t="shared" si="7"/>
        <v>0</v>
      </c>
      <c r="M22" s="141">
        <f t="shared" si="8"/>
        <v>1.7348016984848204E-2</v>
      </c>
      <c r="N22" s="27">
        <f t="shared" si="9"/>
        <v>0.16154284513082906</v>
      </c>
      <c r="O22" s="27">
        <f t="shared" si="10"/>
        <v>0</v>
      </c>
      <c r="P22" s="27">
        <f t="shared" si="11"/>
        <v>2.6923807521804836E-2</v>
      </c>
      <c r="Q22" s="27">
        <f t="shared" si="12"/>
        <v>9.1171369103766428E-2</v>
      </c>
      <c r="R22" s="27">
        <f t="shared" si="13"/>
        <v>0</v>
      </c>
      <c r="S22" s="27">
        <f t="shared" si="14"/>
        <v>3.0390456367922144E-2</v>
      </c>
      <c r="T22" s="27">
        <f t="shared" si="15"/>
        <v>4.4514631920393923E-3</v>
      </c>
      <c r="U22" s="27">
        <f t="shared" si="16"/>
        <v>1.3354389576118177E-2</v>
      </c>
      <c r="V22" s="27">
        <f t="shared" si="17"/>
        <v>1.7805852768157569E-2</v>
      </c>
      <c r="W22" s="27">
        <f t="shared" si="28"/>
        <v>0.13761939191431313</v>
      </c>
      <c r="X22" s="27">
        <f t="shared" si="29"/>
        <v>6.4050508642771887E-3</v>
      </c>
      <c r="Y22" s="142">
        <f t="shared" si="18"/>
        <v>0.28481115275774649</v>
      </c>
      <c r="Z22" s="89">
        <f t="shared" si="30"/>
        <v>1.0000000000000013</v>
      </c>
      <c r="AB22" s="171">
        <f>(IF('Parameters &amp; DSA'!$H$1=1,(('Parameters &amp; DSA'!$B$79+'Parameters &amp; DSA'!$B$85+'Parameters &amp; DSA'!$B$89+'Parameters &amp; DSA'!$B$93)*K22)/(1+cDC)^$A22,(('Parameters &amp; DSA'!$B$79+'Parameters &amp; DSA'!$B$85)*K22)))*($AD$2/$AF$2)</f>
        <v>1193.4702433046039</v>
      </c>
      <c r="AC22" s="371">
        <f>(IF('Parameters &amp; DSA'!$H$1=1,(('Parameters &amp; DSA'!$B$79+'Parameters &amp; DSA'!$B$85+'Parameters &amp; DSA'!$B$89+'Parameters &amp; DSA'!$B$93)*($M22+$N22))/(1+cDC)^$A22,(('Parameters &amp; DSA'!$B$79+'Parameters &amp; DSA'!$B$85)*($M22+$N22))))*($AD$2/$AF$2)</f>
        <v>1025.5779326278803</v>
      </c>
      <c r="AD22" s="371">
        <f>(IF('Parameters &amp; DSA'!$H$1=1,(('Parameters &amp; DSA'!$B$79+'Parameters &amp; DSA'!$B$85+'Parameters &amp; DSA'!$B$89+'Parameters &amp; DSA'!$B$93)*(P22+Q22))/(1+cDC)^$A22,(('Parameters &amp; DSA'!$B$79+'Parameters &amp; DSA'!$B$85)*(P22+Q22))))*($AD$2/$AF$2)</f>
        <v>677.03741635869528</v>
      </c>
      <c r="AE22" s="371">
        <f>(IF('Parameters &amp; DSA'!$H$1=1,(('Parameters &amp; DSA'!$B$79+'Parameters &amp; DSA'!$B$85+'Parameters &amp; DSA'!$B$89+'Parameters &amp; DSA'!$B$93)*(S22+T22))/(1+cDC)^$A22,(('Parameters &amp; DSA'!$B$79+'Parameters &amp; DSA'!$B$85)*(S22+T22))))*($AD$2/$AF$2)</f>
        <v>199.74806655012901</v>
      </c>
      <c r="AF22" s="371">
        <f>(IF('Parameters &amp; DSA'!$H$1=1,(((W22-W21)*cM_Dialysis0)+(W22*cM_Dialysis1))/(1+'Parameters &amp; DSA'!$B$6)^$A22,(((W22-W21)*cM_Dialysis0)+(W22*cM_Dialysis1))))*($AD$2/$AG$2)</f>
        <v>55477.60125137624</v>
      </c>
      <c r="AG22" s="172">
        <f t="shared" si="19"/>
        <v>58573.434910217547</v>
      </c>
      <c r="AI22" s="88">
        <f t="shared" si="0"/>
        <v>0.12228157955682623</v>
      </c>
      <c r="AJ22" s="27">
        <f t="shared" si="20"/>
        <v>0.11212368542751454</v>
      </c>
      <c r="AK22" s="27">
        <f t="shared" si="1"/>
        <v>0.10507952775857678</v>
      </c>
      <c r="AL22" s="27">
        <f t="shared" si="21"/>
        <v>9.6096299946401606E-2</v>
      </c>
      <c r="AM22" s="27">
        <f t="shared" si="2"/>
        <v>6.9368469935353033E-2</v>
      </c>
      <c r="AN22" s="27">
        <f t="shared" si="22"/>
        <v>6.3018244344673027E-2</v>
      </c>
      <c r="AO22" s="27">
        <f t="shared" si="3"/>
        <v>2.046595566852169E-2</v>
      </c>
      <c r="AP22" s="27">
        <f t="shared" si="23"/>
        <v>1.7723918741670886E-2</v>
      </c>
      <c r="AQ22" s="27">
        <f t="shared" si="4"/>
        <v>9.129595061392462E-2</v>
      </c>
      <c r="AR22" s="27">
        <f t="shared" si="24"/>
        <v>6.3907165429747226E-2</v>
      </c>
      <c r="AS22" s="27">
        <f t="shared" si="25"/>
        <v>0.4084914835332023</v>
      </c>
      <c r="AT22" s="89">
        <f t="shared" si="26"/>
        <v>0.35286931389000731</v>
      </c>
    </row>
    <row r="23" spans="1:47">
      <c r="A23" s="80">
        <v>19</v>
      </c>
      <c r="C23" s="10">
        <f t="shared" si="27"/>
        <v>61</v>
      </c>
      <c r="D23" s="98" t="str" cm="1">
        <f t="array" ref="D23">_xlfn.IFS(C23&lt;=4,"1-4",C23&lt;=9,"5-9",C23&lt;=14,"10-14",C23&lt;=19,"15-19",C23&lt;=24,"20-24",C23&lt;=29,"25-29",C23&lt;=34,"30-34",C23&lt;=39,"35-39",C23&lt;=44,"40-44",C23&lt;=49,"45-49",C23&lt;=54,"50-54",C23&lt;=54,"50-54",C23&lt;=59,"55-59",C23&lt;=64,"60-64",C23&lt;=69,"65-69",C23&lt;=74,"70-74",C23&lt;=79,"75-79",C23&lt;=84,"80-84",C23&gt;84,"85+")</f>
        <v>60-64</v>
      </c>
      <c r="E23" s="83">
        <f>IF(D23="85+",1,VLOOKUP(D23,'Life table 2014'!$AF$3:$AR$21,7,FALSE))</f>
        <v>1.2786572991074552E-2</v>
      </c>
      <c r="F23" s="72"/>
      <c r="G23" s="316">
        <f t="shared" si="5"/>
        <v>6935</v>
      </c>
      <c r="H23" s="27">
        <f>'Parameters &amp; DSA'!$B$119*G23^'Parameters &amp; DSA'!$B$120</f>
        <v>0.80910481129583944</v>
      </c>
      <c r="I23" s="314">
        <f t="shared" si="31"/>
        <v>4.4653211852669794E-2</v>
      </c>
      <c r="J23" s="72"/>
      <c r="K23" s="140">
        <f t="shared" si="6"/>
        <v>0.18970554793204847</v>
      </c>
      <c r="L23" s="141">
        <f t="shared" si="7"/>
        <v>0</v>
      </c>
      <c r="M23" s="141">
        <f t="shared" si="8"/>
        <v>1.5808795661004037E-2</v>
      </c>
      <c r="N23" s="27">
        <f t="shared" si="9"/>
        <v>0.15137439518554194</v>
      </c>
      <c r="O23" s="27">
        <f t="shared" si="10"/>
        <v>0</v>
      </c>
      <c r="P23" s="27">
        <f t="shared" si="11"/>
        <v>2.5229065864256984E-2</v>
      </c>
      <c r="Q23" s="27">
        <f t="shared" si="12"/>
        <v>8.7438858022315907E-2</v>
      </c>
      <c r="R23" s="27">
        <f t="shared" si="13"/>
        <v>0</v>
      </c>
      <c r="S23" s="27">
        <f t="shared" si="14"/>
        <v>2.9146286007438637E-2</v>
      </c>
      <c r="T23" s="27">
        <f t="shared" si="15"/>
        <v>4.2995513515448674E-3</v>
      </c>
      <c r="U23" s="27">
        <f t="shared" si="16"/>
        <v>1.2898654054634601E-2</v>
      </c>
      <c r="V23" s="27">
        <f t="shared" si="17"/>
        <v>1.719820540617947E-2</v>
      </c>
      <c r="W23" s="27">
        <f t="shared" si="28"/>
        <v>0.14658639390764666</v>
      </c>
      <c r="X23" s="27">
        <f t="shared" si="29"/>
        <v>6.8514945390360368E-3</v>
      </c>
      <c r="Y23" s="142">
        <f t="shared" si="18"/>
        <v>0.3134627520683535</v>
      </c>
      <c r="Z23" s="89">
        <f t="shared" si="30"/>
        <v>1.0000000000000013</v>
      </c>
      <c r="AB23" s="171">
        <f>(IF('Parameters &amp; DSA'!$H$1=1,(('Parameters &amp; DSA'!$B$79+'Parameters &amp; DSA'!$B$85+'Parameters &amp; DSA'!$B$89+'Parameters &amp; DSA'!$B$93)*K23)/(1+cDC)^$A23,(('Parameters &amp; DSA'!$B$79+'Parameters &amp; DSA'!$B$85)*K23)))*($AD$2/$AF$2)</f>
        <v>1055.9012835781159</v>
      </c>
      <c r="AC23" s="371">
        <f>(IF('Parameters &amp; DSA'!$H$1=1,(('Parameters &amp; DSA'!$B$79+'Parameters &amp; DSA'!$B$85+'Parameters &amp; DSA'!$B$89+'Parameters &amp; DSA'!$B$93)*($M23+$N23))/(1+cDC)^$A23,(('Parameters &amp; DSA'!$B$79+'Parameters &amp; DSA'!$B$85)*($M23+$N23))))*($AD$2/$AF$2)</f>
        <v>930.54181984590525</v>
      </c>
      <c r="AD23" s="371">
        <f>(IF('Parameters &amp; DSA'!$H$1=1,(('Parameters &amp; DSA'!$B$79+'Parameters &amp; DSA'!$B$85+'Parameters &amp; DSA'!$B$89+'Parameters &amp; DSA'!$B$93)*(P23+Q23))/(1+cDC)^$A23,(('Parameters &amp; DSA'!$B$79+'Parameters &amp; DSA'!$B$85)*(P23+Q23))))*($AD$2/$AF$2)</f>
        <v>627.10978538448876</v>
      </c>
      <c r="AE23" s="371">
        <f>(IF('Parameters &amp; DSA'!$H$1=1,(('Parameters &amp; DSA'!$B$79+'Parameters &amp; DSA'!$B$85+'Parameters &amp; DSA'!$B$89+'Parameters &amp; DSA'!$B$93)*(S23+T23))/(1+cDC)^$A23,(('Parameters &amp; DSA'!$B$79+'Parameters &amp; DSA'!$B$85)*(S23+T23))))*($AD$2/$AF$2)</f>
        <v>186.15956666879035</v>
      </c>
      <c r="AF23" s="371">
        <f>(IF('Parameters &amp; DSA'!$H$1=1,(((W23-W22)*cM_Dialysis0)+(W23*cM_Dialysis1))/(1+'Parameters &amp; DSA'!$B$6)^$A23,(((W23-W22)*cM_Dialysis0)+(W23*cM_Dialysis1))))*($AD$2/$AG$2)</f>
        <v>56703.050836387243</v>
      </c>
      <c r="AG23" s="172">
        <f t="shared" si="19"/>
        <v>59502.763291864547</v>
      </c>
      <c r="AI23" s="88">
        <f t="shared" si="0"/>
        <v>0.10818642319434711</v>
      </c>
      <c r="AJ23" s="27">
        <f t="shared" si="20"/>
        <v>9.9199409475519654E-2</v>
      </c>
      <c r="AK23" s="27">
        <f t="shared" si="1"/>
        <v>9.5342237657616499E-2</v>
      </c>
      <c r="AL23" s="27">
        <f t="shared" si="21"/>
        <v>8.7191448828714407E-2</v>
      </c>
      <c r="AM23" s="27">
        <f t="shared" si="2"/>
        <v>6.4252942662422027E-2</v>
      </c>
      <c r="AN23" s="27">
        <f t="shared" si="22"/>
        <v>5.8371009831098858E-2</v>
      </c>
      <c r="AO23" s="27">
        <f t="shared" si="3"/>
        <v>1.9073693700852549E-2</v>
      </c>
      <c r="AP23" s="27">
        <f t="shared" si="23"/>
        <v>1.6518192589334842E-2</v>
      </c>
      <c r="AQ23" s="27">
        <f t="shared" si="4"/>
        <v>9.3404068395665049E-2</v>
      </c>
      <c r="AR23" s="27">
        <f t="shared" si="24"/>
        <v>6.5382847876965536E-2</v>
      </c>
      <c r="AS23" s="27">
        <f t="shared" si="25"/>
        <v>0.38025936561090323</v>
      </c>
      <c r="AT23" s="89">
        <f t="shared" si="26"/>
        <v>0.32666290860163327</v>
      </c>
    </row>
    <row r="24" spans="1:47">
      <c r="A24" s="80">
        <v>20</v>
      </c>
      <c r="C24" s="10">
        <f t="shared" si="27"/>
        <v>62</v>
      </c>
      <c r="D24" s="98" t="str" cm="1">
        <f t="array" ref="D24">_xlfn.IFS(C24&lt;=4,"1-4",C24&lt;=9,"5-9",C24&lt;=14,"10-14",C24&lt;=19,"15-19",C24&lt;=24,"20-24",C24&lt;=29,"25-29",C24&lt;=34,"30-34",C24&lt;=39,"35-39",C24&lt;=44,"40-44",C24&lt;=49,"45-49",C24&lt;=54,"50-54",C24&lt;=54,"50-54",C24&lt;=59,"55-59",C24&lt;=64,"60-64",C24&lt;=69,"65-69",C24&lt;=74,"70-74",C24&lt;=79,"75-79",C24&lt;=84,"80-84",C24&gt;84,"85+")</f>
        <v>60-64</v>
      </c>
      <c r="E24" s="83">
        <f>IF(D24="85+",1,VLOOKUP(D24,'Life table 2014'!$AF$3:$AR$21,7,FALSE))</f>
        <v>1.2786572991074552E-2</v>
      </c>
      <c r="F24" s="72"/>
      <c r="G24" s="316">
        <f t="shared" si="5"/>
        <v>7300</v>
      </c>
      <c r="H24" s="27">
        <f>'Parameters &amp; DSA'!$B$119*G24^'Parameters &amp; DSA'!$B$120</f>
        <v>0.85496611723552984</v>
      </c>
      <c r="I24" s="314">
        <f t="shared" si="31"/>
        <v>4.4825569975744606E-2</v>
      </c>
      <c r="J24" s="72"/>
      <c r="K24" s="140">
        <f t="shared" si="6"/>
        <v>0.17287372070455714</v>
      </c>
      <c r="L24" s="141">
        <f t="shared" si="7"/>
        <v>0</v>
      </c>
      <c r="M24" s="141">
        <f t="shared" si="8"/>
        <v>1.4406143392046428E-2</v>
      </c>
      <c r="N24" s="27">
        <f t="shared" si="9"/>
        <v>0.14146756352049075</v>
      </c>
      <c r="O24" s="27">
        <f t="shared" si="10"/>
        <v>0</v>
      </c>
      <c r="P24" s="27">
        <f t="shared" si="11"/>
        <v>2.3577927253415124E-2</v>
      </c>
      <c r="Q24" s="27">
        <f t="shared" si="12"/>
        <v>8.342046544053329E-2</v>
      </c>
      <c r="R24" s="27">
        <f t="shared" si="13"/>
        <v>0</v>
      </c>
      <c r="S24" s="27">
        <f t="shared" si="14"/>
        <v>2.7806821813511098E-2</v>
      </c>
      <c r="T24" s="27">
        <f t="shared" si="15"/>
        <v>4.1272724647931566E-3</v>
      </c>
      <c r="U24" s="27">
        <f t="shared" si="16"/>
        <v>1.238181739437947E-2</v>
      </c>
      <c r="V24" s="27">
        <f t="shared" si="17"/>
        <v>1.6509089859172627E-2</v>
      </c>
      <c r="W24" s="27">
        <f t="shared" si="28"/>
        <v>0.1544424932314368</v>
      </c>
      <c r="X24" s="27">
        <f t="shared" si="29"/>
        <v>7.2478623484492077E-3</v>
      </c>
      <c r="Y24" s="142">
        <f t="shared" si="18"/>
        <v>0.34173882257721605</v>
      </c>
      <c r="Z24" s="89">
        <f t="shared" si="30"/>
        <v>1.0000000000000011</v>
      </c>
      <c r="AB24" s="171">
        <f>(IF('Parameters &amp; DSA'!$H$1=1,(('Parameters &amp; DSA'!$B$79+'Parameters &amp; DSA'!$B$85+'Parameters &amp; DSA'!$B$89+'Parameters &amp; DSA'!$B$93)*K24)/(1+cDC)^$A24,(('Parameters &amp; DSA'!$B$79+'Parameters &amp; DSA'!$B$85)*K24)))*($AD$2/$AF$2)</f>
        <v>934.1896263578268</v>
      </c>
      <c r="AC24" s="371">
        <f>(IF('Parameters &amp; DSA'!$H$1=1,(('Parameters &amp; DSA'!$B$79+'Parameters &amp; DSA'!$B$85+'Parameters &amp; DSA'!$B$89+'Parameters &amp; DSA'!$B$93)*($M24+$N24))/(1+cDC)^$A24,(('Parameters &amp; DSA'!$B$79+'Parameters &amp; DSA'!$B$85)*($M24+$N24))))*($AD$2/$AF$2)</f>
        <v>842.32351467977594</v>
      </c>
      <c r="AD24" s="371">
        <f>(IF('Parameters &amp; DSA'!$H$1=1,(('Parameters &amp; DSA'!$B$79+'Parameters &amp; DSA'!$B$85+'Parameters &amp; DSA'!$B$89+'Parameters &amp; DSA'!$B$93)*(P24+Q24))/(1+cDC)^$A24,(('Parameters &amp; DSA'!$B$79+'Parameters &amp; DSA'!$B$85)*(P24+Q24))))*($AD$2/$AF$2)</f>
        <v>578.20695987954593</v>
      </c>
      <c r="AE24" s="371">
        <f>(IF('Parameters &amp; DSA'!$H$1=1,(('Parameters &amp; DSA'!$B$79+'Parameters &amp; DSA'!$B$85+'Parameters &amp; DSA'!$B$89+'Parameters &amp; DSA'!$B$93)*(S24+T24))/(1+cDC)^$A24,(('Parameters &amp; DSA'!$B$79+'Parameters &amp; DSA'!$B$85)*(S24+T24))))*($AD$2/$AF$2)</f>
        <v>172.56815830850712</v>
      </c>
      <c r="AF24" s="371">
        <f>(IF('Parameters &amp; DSA'!$H$1=1,(((W24-W23)*cM_Dialysis0)+(W24*cM_Dialysis1))/(1+'Parameters &amp; DSA'!$B$6)^$A24,(((W24-W23)*cM_Dialysis0)+(W24*cM_Dialysis1))))*($AD$2/$AG$2)</f>
        <v>57401.558751545796</v>
      </c>
      <c r="AG24" s="172">
        <f t="shared" si="19"/>
        <v>59928.847010771453</v>
      </c>
      <c r="AI24" s="88">
        <f t="shared" si="0"/>
        <v>9.5715987690093512E-2</v>
      </c>
      <c r="AJ24" s="27">
        <f t="shared" si="20"/>
        <v>8.7764889307473753E-2</v>
      </c>
      <c r="AK24" s="27">
        <f t="shared" si="1"/>
        <v>8.6303492232618753E-2</v>
      </c>
      <c r="AL24" s="27">
        <f t="shared" si="21"/>
        <v>7.8925423942350623E-2</v>
      </c>
      <c r="AM24" s="27">
        <f t="shared" si="2"/>
        <v>5.924241577154752E-2</v>
      </c>
      <c r="AN24" s="27">
        <f t="shared" si="22"/>
        <v>5.3819163607606434E-2</v>
      </c>
      <c r="AO24" s="27">
        <f t="shared" si="3"/>
        <v>1.7681133733797632E-2</v>
      </c>
      <c r="AP24" s="27">
        <f t="shared" si="23"/>
        <v>1.5312208363689931E-2</v>
      </c>
      <c r="AQ24" s="27">
        <f t="shared" si="4"/>
        <v>9.4651746697041086E-2</v>
      </c>
      <c r="AR24" s="27">
        <f t="shared" si="24"/>
        <v>6.6256222687928759E-2</v>
      </c>
      <c r="AS24" s="27">
        <f t="shared" si="25"/>
        <v>0.35359477612509849</v>
      </c>
      <c r="AT24" s="89">
        <f t="shared" si="26"/>
        <v>0.30207790790904948</v>
      </c>
    </row>
    <row r="25" spans="1:47">
      <c r="A25" s="80">
        <v>21</v>
      </c>
      <c r="C25" s="10">
        <f t="shared" si="27"/>
        <v>63</v>
      </c>
      <c r="D25" s="98" t="str" cm="1">
        <f t="array" ref="D25">_xlfn.IFS(C25&lt;=4,"1-4",C25&lt;=9,"5-9",C25&lt;=14,"10-14",C25&lt;=19,"15-19",C25&lt;=24,"20-24",C25&lt;=29,"25-29",C25&lt;=34,"30-34",C25&lt;=39,"35-39",C25&lt;=44,"40-44",C25&lt;=49,"45-49",C25&lt;=54,"50-54",C25&lt;=54,"50-54",C25&lt;=59,"55-59",C25&lt;=64,"60-64",C25&lt;=69,"65-69",C25&lt;=74,"70-74",C25&lt;=79,"75-79",C25&lt;=84,"80-84",C25&gt;84,"85+")</f>
        <v>60-64</v>
      </c>
      <c r="E25" s="83">
        <f>IF(D25="85+",1,VLOOKUP(D25,'Life table 2014'!$AF$3:$AR$21,7,FALSE))</f>
        <v>1.2786572991074552E-2</v>
      </c>
      <c r="F25" s="72"/>
      <c r="G25" s="316">
        <f t="shared" si="5"/>
        <v>7665</v>
      </c>
      <c r="H25" s="27">
        <f>'Parameters &amp; DSA'!$B$119*G25^'Parameters &amp; DSA'!$B$120</f>
        <v>0.90099948470554325</v>
      </c>
      <c r="I25" s="314">
        <f t="shared" si="31"/>
        <v>4.4989904611660081E-2</v>
      </c>
      <c r="J25" s="72"/>
      <c r="K25" s="140">
        <f t="shared" si="6"/>
        <v>0.15753531531371973</v>
      </c>
      <c r="L25" s="141">
        <f t="shared" si="7"/>
        <v>0</v>
      </c>
      <c r="M25" s="141">
        <f t="shared" si="8"/>
        <v>1.3127942942809978E-2</v>
      </c>
      <c r="N25" s="27">
        <f t="shared" si="9"/>
        <v>0.13189767118432344</v>
      </c>
      <c r="O25" s="27">
        <f t="shared" si="10"/>
        <v>0</v>
      </c>
      <c r="P25" s="27">
        <f t="shared" si="11"/>
        <v>2.1982945197387235E-2</v>
      </c>
      <c r="Q25" s="27">
        <f t="shared" si="12"/>
        <v>7.9222687451879686E-2</v>
      </c>
      <c r="R25" s="27">
        <f t="shared" si="13"/>
        <v>0</v>
      </c>
      <c r="S25" s="27">
        <f t="shared" si="14"/>
        <v>2.6407562483959895E-2</v>
      </c>
      <c r="T25" s="27">
        <f t="shared" si="15"/>
        <v>3.9407208313638571E-3</v>
      </c>
      <c r="U25" s="27">
        <f t="shared" si="16"/>
        <v>1.182216249409157E-2</v>
      </c>
      <c r="V25" s="27">
        <f t="shared" si="17"/>
        <v>1.5762883325455428E-2</v>
      </c>
      <c r="W25" s="27">
        <f t="shared" si="28"/>
        <v>0.16117294553194667</v>
      </c>
      <c r="X25" s="27">
        <f t="shared" si="29"/>
        <v>7.5927526635349305E-3</v>
      </c>
      <c r="Y25" s="142">
        <f t="shared" si="18"/>
        <v>0.36953441057952874</v>
      </c>
      <c r="Z25" s="89">
        <f t="shared" si="30"/>
        <v>1.0000000000000013</v>
      </c>
      <c r="AB25" s="171">
        <f>(IF('Parameters &amp; DSA'!$H$1=1,(('Parameters &amp; DSA'!$B$79+'Parameters &amp; DSA'!$B$85+'Parameters &amp; DSA'!$B$89+'Parameters &amp; DSA'!$B$93)*K25)/(1+cDC)^$A25,(('Parameters &amp; DSA'!$B$79+'Parameters &amp; DSA'!$B$85)*K25)))*($AD$2/$AF$2)</f>
        <v>826.50743167698101</v>
      </c>
      <c r="AC25" s="371">
        <f>(IF('Parameters &amp; DSA'!$H$1=1,(('Parameters &amp; DSA'!$B$79+'Parameters &amp; DSA'!$B$85+'Parameters &amp; DSA'!$B$89+'Parameters &amp; DSA'!$B$93)*($M25+$N25))/(1+cDC)^$A25,(('Parameters &amp; DSA'!$B$79+'Parameters &amp; DSA'!$B$85)*($M25+$N25))))*($AD$2/$AF$2)</f>
        <v>760.87541146499314</v>
      </c>
      <c r="AD25" s="371">
        <f>(IF('Parameters &amp; DSA'!$H$1=1,(('Parameters &amp; DSA'!$B$79+'Parameters &amp; DSA'!$B$85+'Parameters &amp; DSA'!$B$89+'Parameters &amp; DSA'!$B$93)*(P25+Q25))/(1+cDC)^$A25,(('Parameters &amp; DSA'!$B$79+'Parameters &amp; DSA'!$B$85)*(P25+Q25))))*($AD$2/$AF$2)</f>
        <v>530.97432372933326</v>
      </c>
      <c r="AE25" s="371">
        <f>(IF('Parameters &amp; DSA'!$H$1=1,(('Parameters &amp; DSA'!$B$79+'Parameters &amp; DSA'!$B$85+'Parameters &amp; DSA'!$B$89+'Parameters &amp; DSA'!$B$93)*(S25+T25))/(1+cDC)^$A25,(('Parameters &amp; DSA'!$B$79+'Parameters &amp; DSA'!$B$85)*(S25+T25))))*($AD$2/$AF$2)</f>
        <v>159.22196016050458</v>
      </c>
      <c r="AF25" s="371">
        <f>(IF('Parameters &amp; DSA'!$H$1=1,(((W25-W24)*cM_Dialysis0)+(W25*cM_Dialysis1))/(1+'Parameters &amp; DSA'!$B$6)^$A25,(((W25-W24)*cM_Dialysis0)+(W25*cM_Dialysis1))))*($AD$2/$AG$2)</f>
        <v>57620.661237590619</v>
      </c>
      <c r="AG25" s="172">
        <f t="shared" si="19"/>
        <v>59898.240364622434</v>
      </c>
      <c r="AI25" s="88">
        <f t="shared" si="0"/>
        <v>8.4682994676995985E-2</v>
      </c>
      <c r="AJ25" s="27">
        <f t="shared" si="20"/>
        <v>7.7648403714076331E-2</v>
      </c>
      <c r="AK25" s="27">
        <f t="shared" si="1"/>
        <v>7.7958413862307757E-2</v>
      </c>
      <c r="AL25" s="27">
        <f t="shared" si="21"/>
        <v>7.1293764652901839E-2</v>
      </c>
      <c r="AM25" s="27">
        <f t="shared" si="2"/>
        <v>5.4403014548532073E-2</v>
      </c>
      <c r="AN25" s="27">
        <f t="shared" si="22"/>
        <v>4.9422777626509977E-2</v>
      </c>
      <c r="AO25" s="27">
        <f t="shared" si="3"/>
        <v>1.6313697721235386E-2</v>
      </c>
      <c r="AP25" s="27">
        <f t="shared" si="23"/>
        <v>1.4127981975065181E-2</v>
      </c>
      <c r="AQ25" s="27">
        <f t="shared" si="4"/>
        <v>9.5111726684666414E-2</v>
      </c>
      <c r="AR25" s="27">
        <f t="shared" si="24"/>
        <v>6.657820867926649E-2</v>
      </c>
      <c r="AS25" s="27">
        <f t="shared" si="25"/>
        <v>0.32846984749373764</v>
      </c>
      <c r="AT25" s="89">
        <f t="shared" si="26"/>
        <v>0.2790711366478198</v>
      </c>
      <c r="AU25" s="27"/>
    </row>
    <row r="26" spans="1:47">
      <c r="A26" s="80">
        <v>22</v>
      </c>
      <c r="C26" s="10">
        <f t="shared" si="27"/>
        <v>64</v>
      </c>
      <c r="D26" s="98" t="str" cm="1">
        <f t="array" ref="D26">_xlfn.IFS(C26&lt;=4,"1-4",C26&lt;=9,"5-9",C26&lt;=14,"10-14",C26&lt;=19,"15-19",C26&lt;=24,"20-24",C26&lt;=29,"25-29",C26&lt;=34,"30-34",C26&lt;=39,"35-39",C26&lt;=44,"40-44",C26&lt;=49,"45-49",C26&lt;=54,"50-54",C26&lt;=54,"50-54",C26&lt;=59,"55-59",C26&lt;=64,"60-64",C26&lt;=69,"65-69",C26&lt;=74,"70-74",C26&lt;=79,"75-79",C26&lt;=84,"80-84",C26&gt;84,"85+")</f>
        <v>60-64</v>
      </c>
      <c r="E26" s="83">
        <f>IF(D26="85+",1,VLOOKUP(D26,'Life table 2014'!$AF$3:$AR$21,7,FALSE))</f>
        <v>1.2786572991074552E-2</v>
      </c>
      <c r="F26" s="72"/>
      <c r="G26" s="316">
        <f t="shared" si="5"/>
        <v>8030</v>
      </c>
      <c r="H26" s="27">
        <f>'Parameters &amp; DSA'!$B$119*G26^'Parameters &amp; DSA'!$B$120</f>
        <v>0.94719731427061538</v>
      </c>
      <c r="I26" s="314">
        <f t="shared" si="31"/>
        <v>4.5146954658006E-2</v>
      </c>
      <c r="J26" s="72"/>
      <c r="K26" s="140">
        <f t="shared" si="6"/>
        <v>0.14355782631303593</v>
      </c>
      <c r="L26" s="141">
        <f t="shared" si="7"/>
        <v>0</v>
      </c>
      <c r="M26" s="141">
        <f t="shared" si="8"/>
        <v>1.1963152192752994E-2</v>
      </c>
      <c r="N26" s="27">
        <f t="shared" si="9"/>
        <v>0.12271820016558979</v>
      </c>
      <c r="O26" s="27">
        <f t="shared" si="10"/>
        <v>0</v>
      </c>
      <c r="P26" s="27">
        <f t="shared" si="11"/>
        <v>2.0453033360931631E-2</v>
      </c>
      <c r="Q26" s="27">
        <f t="shared" si="12"/>
        <v>7.4933669580216897E-2</v>
      </c>
      <c r="R26" s="27">
        <f t="shared" si="13"/>
        <v>0</v>
      </c>
      <c r="S26" s="27">
        <f t="shared" si="14"/>
        <v>2.4977889860072298E-2</v>
      </c>
      <c r="T26" s="27">
        <f t="shared" si="15"/>
        <v>3.7450290969448193E-3</v>
      </c>
      <c r="U26" s="27">
        <f t="shared" si="16"/>
        <v>1.1235087290834458E-2</v>
      </c>
      <c r="V26" s="27">
        <f t="shared" si="17"/>
        <v>1.4980116387779277E-2</v>
      </c>
      <c r="W26" s="27">
        <f t="shared" si="28"/>
        <v>0.16678745272489079</v>
      </c>
      <c r="X26" s="27">
        <f t="shared" si="29"/>
        <v>7.8859732420898422E-3</v>
      </c>
      <c r="Y26" s="142">
        <f t="shared" si="18"/>
        <v>0.39676256978486246</v>
      </c>
      <c r="Z26" s="89">
        <f t="shared" si="30"/>
        <v>1.0000000000000013</v>
      </c>
      <c r="AB26" s="171">
        <f>(IF('Parameters &amp; DSA'!$H$1=1,(('Parameters &amp; DSA'!$B$79+'Parameters &amp; DSA'!$B$85+'Parameters &amp; DSA'!$B$89+'Parameters &amp; DSA'!$B$93)*K26)/(1+cDC)^$A26,(('Parameters &amp; DSA'!$B$79+'Parameters &amp; DSA'!$B$85)*K26)))*($AD$2/$AF$2)</f>
        <v>731.23755107469265</v>
      </c>
      <c r="AC26" s="371">
        <f>(IF('Parameters &amp; DSA'!$H$1=1,(('Parameters &amp; DSA'!$B$79+'Parameters &amp; DSA'!$B$85+'Parameters &amp; DSA'!$B$89+'Parameters &amp; DSA'!$B$93)*($M26+$N26))/(1+cDC)^$A26,(('Parameters &amp; DSA'!$B$79+'Parameters &amp; DSA'!$B$85)*($M26+$N26))))*($AD$2/$AF$2)</f>
        <v>686.02363802299635</v>
      </c>
      <c r="AD26" s="371">
        <f>(IF('Parameters &amp; DSA'!$H$1=1,(('Parameters &amp; DSA'!$B$79+'Parameters &amp; DSA'!$B$85+'Parameters &amp; DSA'!$B$89+'Parameters &amp; DSA'!$B$93)*(P26+Q26))/(1+cDC)^$A26,(('Parameters &amp; DSA'!$B$79+'Parameters &amp; DSA'!$B$85)*(P26+Q26))))*($AD$2/$AF$2)</f>
        <v>485.86928943657921</v>
      </c>
      <c r="AE26" s="371">
        <f>(IF('Parameters &amp; DSA'!$H$1=1,(('Parameters &amp; DSA'!$B$79+'Parameters &amp; DSA'!$B$85+'Parameters &amp; DSA'!$B$89+'Parameters &amp; DSA'!$B$93)*(S26+T26))/(1+cDC)^$A26,(('Parameters &amp; DSA'!$B$79+'Parameters &amp; DSA'!$B$85)*(S26+T26))))*($AD$2/$AF$2)</f>
        <v>146.30534229493858</v>
      </c>
      <c r="AF26" s="371">
        <f>(IF('Parameters &amp; DSA'!$H$1=1,(((W26-W25)*cM_Dialysis0)+(W26*cM_Dialysis1))/(1+'Parameters &amp; DSA'!$B$6)^$A26,(((W26-W25)*cM_Dialysis0)+(W26*cM_Dialysis1))))*($AD$2/$AG$2)</f>
        <v>57410.985309733624</v>
      </c>
      <c r="AG26" s="172">
        <f t="shared" si="19"/>
        <v>59460.421130562827</v>
      </c>
      <c r="AI26" s="88">
        <f t="shared" si="0"/>
        <v>7.4921752995778162E-2</v>
      </c>
      <c r="AJ26" s="27">
        <f t="shared" si="20"/>
        <v>6.8698025450944764E-2</v>
      </c>
      <c r="AK26" s="27">
        <f t="shared" si="1"/>
        <v>7.0289187804544226E-2</v>
      </c>
      <c r="AL26" s="27">
        <f t="shared" si="21"/>
        <v>6.4280179196971307E-2</v>
      </c>
      <c r="AM26" s="27">
        <f t="shared" si="2"/>
        <v>4.9781604948900278E-2</v>
      </c>
      <c r="AN26" s="27">
        <f t="shared" si="22"/>
        <v>4.5224427574421119E-2</v>
      </c>
      <c r="AO26" s="27">
        <f t="shared" si="3"/>
        <v>1.499027600712549E-2</v>
      </c>
      <c r="AP26" s="27">
        <f t="shared" si="23"/>
        <v>1.2981872831580414E-2</v>
      </c>
      <c r="AQ26" s="27">
        <f t="shared" si="4"/>
        <v>9.4863131223559577E-2</v>
      </c>
      <c r="AR26" s="27">
        <f t="shared" si="24"/>
        <v>6.6404191856491698E-2</v>
      </c>
      <c r="AS26" s="27">
        <f t="shared" si="25"/>
        <v>0.30484595297990769</v>
      </c>
      <c r="AT26" s="89">
        <f t="shared" si="26"/>
        <v>0.25758869691040931</v>
      </c>
    </row>
    <row r="27" spans="1:47">
      <c r="A27" s="80">
        <v>23</v>
      </c>
      <c r="C27" s="10">
        <f t="shared" si="27"/>
        <v>65</v>
      </c>
      <c r="D27" s="98" t="str" cm="1">
        <f t="array" ref="D27">_xlfn.IFS(C27&lt;=4,"1-4",C27&lt;=9,"5-9",C27&lt;=14,"10-14",C27&lt;=19,"15-19",C27&lt;=24,"20-24",C27&lt;=29,"25-29",C27&lt;=34,"30-34",C27&lt;=39,"35-39",C27&lt;=44,"40-44",C27&lt;=49,"45-49",C27&lt;=54,"50-54",C27&lt;=54,"50-54",C27&lt;=59,"55-59",C27&lt;=64,"60-64",C27&lt;=69,"65-69",C27&lt;=74,"70-74",C27&lt;=79,"75-79",C27&lt;=84,"80-84",C27&gt;84,"85+")</f>
        <v>65-69</v>
      </c>
      <c r="E27" s="83">
        <f>IF(D27="85+",1,VLOOKUP(D27,'Life table 2014'!$AF$3:$AR$21,7,FALSE))</f>
        <v>1.9054958178566062E-2</v>
      </c>
      <c r="F27" s="72"/>
      <c r="G27" s="316">
        <f t="shared" si="5"/>
        <v>8395</v>
      </c>
      <c r="H27" s="27">
        <f>'Parameters &amp; DSA'!$B$119*G27^'Parameters &amp; DSA'!$B$120</f>
        <v>0.99355267335900466</v>
      </c>
      <c r="I27" s="314">
        <f t="shared" si="31"/>
        <v>4.5297360356096661E-2</v>
      </c>
      <c r="J27" s="72"/>
      <c r="K27" s="140">
        <f t="shared" si="6"/>
        <v>0.12998985040286323</v>
      </c>
      <c r="L27" s="141">
        <f t="shared" si="7"/>
        <v>0</v>
      </c>
      <c r="M27" s="141">
        <f t="shared" si="8"/>
        <v>1.0832487533571937E-2</v>
      </c>
      <c r="N27" s="27">
        <f t="shared" si="9"/>
        <v>0.11324143270433301</v>
      </c>
      <c r="O27" s="27">
        <f t="shared" si="10"/>
        <v>0</v>
      </c>
      <c r="P27" s="27">
        <f t="shared" si="11"/>
        <v>1.8873572117388833E-2</v>
      </c>
      <c r="Q27" s="27">
        <f t="shared" si="12"/>
        <v>7.0176834979360225E-2</v>
      </c>
      <c r="R27" s="27">
        <f t="shared" si="13"/>
        <v>0</v>
      </c>
      <c r="S27" s="27">
        <f t="shared" si="14"/>
        <v>2.3392278326453408E-2</v>
      </c>
      <c r="T27" s="27">
        <f t="shared" si="15"/>
        <v>3.5219506171906018E-3</v>
      </c>
      <c r="U27" s="27">
        <f t="shared" si="16"/>
        <v>1.0565851851571805E-2</v>
      </c>
      <c r="V27" s="27">
        <f t="shared" si="17"/>
        <v>1.4087802468762407E-2</v>
      </c>
      <c r="W27" s="27">
        <f t="shared" si="28"/>
        <v>0.17022729533953279</v>
      </c>
      <c r="X27" s="27">
        <f t="shared" si="29"/>
        <v>8.076700345475734E-3</v>
      </c>
      <c r="Y27" s="142">
        <f t="shared" si="18"/>
        <v>0.42701394331349718</v>
      </c>
      <c r="Z27" s="89">
        <f t="shared" si="30"/>
        <v>1.0000000000000013</v>
      </c>
      <c r="AB27" s="171">
        <f>(IF('Parameters &amp; DSA'!$H$1=1,(('Parameters &amp; DSA'!$B$79+'Parameters &amp; DSA'!$B$85+'Parameters &amp; DSA'!$B$89+'Parameters &amp; DSA'!$B$93)*K27)/(1+cDC)^$A27,(('Parameters &amp; DSA'!$B$79+'Parameters &amp; DSA'!$B$85)*K27)))*($AD$2/$AF$2)</f>
        <v>642.84138920421265</v>
      </c>
      <c r="AC27" s="371">
        <f>(IF('Parameters &amp; DSA'!$H$1=1,(('Parameters &amp; DSA'!$B$79+'Parameters &amp; DSA'!$B$85+'Parameters &amp; DSA'!$B$89+'Parameters &amp; DSA'!$B$93)*($M27+$N27))/(1+cDC)^$A27,(('Parameters &amp; DSA'!$B$79+'Parameters &amp; DSA'!$B$85)*($M27+$N27))))*($AD$2/$AF$2)</f>
        <v>613.58522225047989</v>
      </c>
      <c r="AD27" s="371">
        <f>(IF('Parameters &amp; DSA'!$H$1=1,(('Parameters &amp; DSA'!$B$79+'Parameters &amp; DSA'!$B$85+'Parameters &amp; DSA'!$B$89+'Parameters &amp; DSA'!$B$93)*(P27+Q27))/(1+cDC)^$A27,(('Parameters &amp; DSA'!$B$79+'Parameters &amp; DSA'!$B$85)*(P27+Q27))))*($AD$2/$AF$2)</f>
        <v>440.38274703648636</v>
      </c>
      <c r="AE27" s="371">
        <f>(IF('Parameters &amp; DSA'!$H$1=1,(('Parameters &amp; DSA'!$B$79+'Parameters &amp; DSA'!$B$85+'Parameters &amp; DSA'!$B$89+'Parameters &amp; DSA'!$B$93)*(S27+T27))/(1+cDC)^$A27,(('Parameters &amp; DSA'!$B$79+'Parameters &amp; DSA'!$B$85)*(S27+T27))))*($AD$2/$AF$2)</f>
        <v>133.09947099616974</v>
      </c>
      <c r="AF27" s="371">
        <f>(IF('Parameters &amp; DSA'!$H$1=1,(((W27-W26)*cM_Dialysis0)+(W27*cM_Dialysis1))/(1+'Parameters &amp; DSA'!$B$6)^$A27,(((W27-W26)*cM_Dialysis0)+(W27*cM_Dialysis1))))*($AD$2/$AG$2)</f>
        <v>56097.66803763347</v>
      </c>
      <c r="AG27" s="172">
        <f t="shared" si="19"/>
        <v>57927.576867120821</v>
      </c>
      <c r="AI27" s="88">
        <f t="shared" si="0"/>
        <v>6.5864784578741217E-2</v>
      </c>
      <c r="AJ27" s="27">
        <f t="shared" si="20"/>
        <v>6.0393416683220555E-2</v>
      </c>
      <c r="AK27" s="27">
        <f t="shared" si="1"/>
        <v>6.2867231579870536E-2</v>
      </c>
      <c r="AL27" s="27">
        <f t="shared" si="21"/>
        <v>5.7492724525553721E-2</v>
      </c>
      <c r="AM27" s="27">
        <f t="shared" si="2"/>
        <v>4.5121106470227865E-2</v>
      </c>
      <c r="AN27" s="27">
        <f t="shared" si="22"/>
        <v>4.0990566972181203E-2</v>
      </c>
      <c r="AO27" s="27">
        <f t="shared" si="3"/>
        <v>1.3637217721092077E-2</v>
      </c>
      <c r="AP27" s="27">
        <f t="shared" si="23"/>
        <v>1.1810097835933071E-2</v>
      </c>
      <c r="AQ27" s="27">
        <f t="shared" si="4"/>
        <v>9.3390939170475265E-2</v>
      </c>
      <c r="AR27" s="27">
        <f t="shared" si="24"/>
        <v>6.5373657419332681E-2</v>
      </c>
      <c r="AS27" s="27">
        <f t="shared" si="25"/>
        <v>0.28088127952040698</v>
      </c>
      <c r="AT27" s="89">
        <f t="shared" si="26"/>
        <v>0.23606046343622122</v>
      </c>
    </row>
    <row r="28" spans="1:47">
      <c r="A28" s="80">
        <v>24</v>
      </c>
      <c r="C28" s="10">
        <f t="shared" si="27"/>
        <v>66</v>
      </c>
      <c r="D28" s="98" t="str" cm="1">
        <f t="array" ref="D28">_xlfn.IFS(C28&lt;=4,"1-4",C28&lt;=9,"5-9",C28&lt;=14,"10-14",C28&lt;=19,"15-19",C28&lt;=24,"20-24",C28&lt;=29,"25-29",C28&lt;=34,"30-34",C28&lt;=39,"35-39",C28&lt;=44,"40-44",C28&lt;=49,"45-49",C28&lt;=54,"50-54",C28&lt;=54,"50-54",C28&lt;=59,"55-59",C28&lt;=64,"60-64",C28&lt;=69,"65-69",C28&lt;=74,"70-74",C28&lt;=79,"75-79",C28&lt;=84,"80-84",C28&gt;84,"85+")</f>
        <v>65-69</v>
      </c>
      <c r="E28" s="83">
        <f>IF(D28="85+",1,VLOOKUP(D28,'Life table 2014'!$AF$3:$AR$21,7,FALSE))</f>
        <v>1.9054958178566062E-2</v>
      </c>
      <c r="F28" s="72"/>
      <c r="G28" s="316">
        <f t="shared" si="5"/>
        <v>8760</v>
      </c>
      <c r="H28" s="27">
        <f>'Parameters &amp; DSA'!$B$119*G28^'Parameters &amp; DSA'!$B$120</f>
        <v>1.0400592111953153</v>
      </c>
      <c r="I28" s="314">
        <f t="shared" si="31"/>
        <v>4.5441680196473988E-2</v>
      </c>
      <c r="J28" s="72"/>
      <c r="K28" s="140">
        <f t="shared" si="6"/>
        <v>0.11770421468289104</v>
      </c>
      <c r="L28" s="141">
        <f t="shared" si="7"/>
        <v>0</v>
      </c>
      <c r="M28" s="141">
        <f t="shared" si="8"/>
        <v>9.8086845569075858E-3</v>
      </c>
      <c r="N28" s="27">
        <f t="shared" si="9"/>
        <v>0.10432259732290365</v>
      </c>
      <c r="O28" s="27">
        <f t="shared" si="10"/>
        <v>0</v>
      </c>
      <c r="P28" s="27">
        <f t="shared" si="11"/>
        <v>1.7387099553817273E-2</v>
      </c>
      <c r="Q28" s="27">
        <f t="shared" si="12"/>
        <v>6.5515166485302159E-2</v>
      </c>
      <c r="R28" s="27">
        <f t="shared" si="13"/>
        <v>0</v>
      </c>
      <c r="S28" s="27">
        <f t="shared" si="14"/>
        <v>2.1838388828434054E-2</v>
      </c>
      <c r="T28" s="27">
        <f t="shared" si="15"/>
        <v>3.3001724295893152E-3</v>
      </c>
      <c r="U28" s="27">
        <f t="shared" si="16"/>
        <v>9.9005172887679446E-3</v>
      </c>
      <c r="V28" s="27">
        <f t="shared" si="17"/>
        <v>1.3200689718357261E-2</v>
      </c>
      <c r="W28" s="27">
        <f t="shared" si="28"/>
        <v>0.17258699007180925</v>
      </c>
      <c r="X28" s="27">
        <f t="shared" si="29"/>
        <v>8.2159912560705716E-3</v>
      </c>
      <c r="Y28" s="142">
        <f t="shared" si="18"/>
        <v>0.45621948780515104</v>
      </c>
      <c r="Z28" s="89">
        <f t="shared" si="30"/>
        <v>1.0000000000000011</v>
      </c>
      <c r="AB28" s="171">
        <f>(IF('Parameters &amp; DSA'!$H$1=1,(('Parameters &amp; DSA'!$B$79+'Parameters &amp; DSA'!$B$85+'Parameters &amp; DSA'!$B$89+'Parameters &amp; DSA'!$B$93)*K28)/(1+cDC)^$A28,(('Parameters &amp; DSA'!$B$79+'Parameters &amp; DSA'!$B$85)*K28)))*($AD$2/$AF$2)</f>
        <v>565.13105907466036</v>
      </c>
      <c r="AC28" s="371">
        <f>(IF('Parameters &amp; DSA'!$H$1=1,(('Parameters &amp; DSA'!$B$79+'Parameters &amp; DSA'!$B$85+'Parameters &amp; DSA'!$B$89+'Parameters &amp; DSA'!$B$93)*($M28+$N28))/(1+cDC)^$A28,(('Parameters &amp; DSA'!$B$79+'Parameters &amp; DSA'!$B$85)*($M28+$N28))))*($AD$2/$AF$2)</f>
        <v>547.97640319044262</v>
      </c>
      <c r="AD28" s="371">
        <f>(IF('Parameters &amp; DSA'!$H$1=1,(('Parameters &amp; DSA'!$B$79+'Parameters &amp; DSA'!$B$85+'Parameters &amp; DSA'!$B$89+'Parameters &amp; DSA'!$B$93)*(P28+Q28))/(1+cDC)^$A28,(('Parameters &amp; DSA'!$B$79+'Parameters &amp; DSA'!$B$85)*(P28+Q28))))*($AD$2/$AF$2)</f>
        <v>398.03710965319243</v>
      </c>
      <c r="AE28" s="371">
        <f>(IF('Parameters &amp; DSA'!$H$1=1,(('Parameters &amp; DSA'!$B$79+'Parameters &amp; DSA'!$B$85+'Parameters &amp; DSA'!$B$89+'Parameters &amp; DSA'!$B$93)*(S28+T28))/(1+cDC)^$A28,(('Parameters &amp; DSA'!$B$79+'Parameters &amp; DSA'!$B$85)*(S28+T28))))*($AD$2/$AF$2)</f>
        <v>120.69730710692194</v>
      </c>
      <c r="AF28" s="371">
        <f>(IF('Parameters &amp; DSA'!$H$1=1,(((W28-W27)*cM_Dialysis0)+(W28*cM_Dialysis1))/(1+'Parameters &amp; DSA'!$B$6)^$A28,(((W28-W27)*cM_Dialysis0)+(W28*cM_Dialysis1))))*($AD$2/$AG$2)</f>
        <v>54840.721764079339</v>
      </c>
      <c r="AG28" s="172">
        <f t="shared" si="19"/>
        <v>56472.563643104557</v>
      </c>
      <c r="AI28" s="88">
        <f t="shared" si="0"/>
        <v>5.7902674111862333E-2</v>
      </c>
      <c r="AJ28" s="27">
        <f t="shared" si="20"/>
        <v>5.3092716344192159E-2</v>
      </c>
      <c r="AK28" s="27">
        <f t="shared" si="1"/>
        <v>5.6145027928353297E-2</v>
      </c>
      <c r="AL28" s="27">
        <f t="shared" si="21"/>
        <v>5.1345200719763964E-2</v>
      </c>
      <c r="AM28" s="27">
        <f t="shared" si="2"/>
        <v>4.0782421483636047E-2</v>
      </c>
      <c r="AN28" s="27">
        <f t="shared" si="22"/>
        <v>3.7049059960790956E-2</v>
      </c>
      <c r="AO28" s="27">
        <f t="shared" si="3"/>
        <v>1.2366506365859075E-2</v>
      </c>
      <c r="AP28" s="27">
        <f t="shared" si="23"/>
        <v>1.070963689635873E-2</v>
      </c>
      <c r="AQ28" s="27">
        <f t="shared" si="4"/>
        <v>9.1395227485024974E-2</v>
      </c>
      <c r="AR28" s="27">
        <f t="shared" si="24"/>
        <v>6.397665923951748E-2</v>
      </c>
      <c r="AS28" s="27">
        <f t="shared" si="25"/>
        <v>0.25859185737473572</v>
      </c>
      <c r="AT28" s="89">
        <f t="shared" si="26"/>
        <v>0.21617327316062329</v>
      </c>
    </row>
    <row r="29" spans="1:47">
      <c r="A29" s="80">
        <v>25</v>
      </c>
      <c r="C29" s="10">
        <f t="shared" si="27"/>
        <v>67</v>
      </c>
      <c r="D29" s="98" t="str" cm="1">
        <f t="array" ref="D29">_xlfn.IFS(C29&lt;=4,"1-4",C29&lt;=9,"5-9",C29&lt;=14,"10-14",C29&lt;=19,"15-19",C29&lt;=24,"20-24",C29&lt;=29,"25-29",C29&lt;=34,"30-34",C29&lt;=39,"35-39",C29&lt;=44,"40-44",C29&lt;=49,"45-49",C29&lt;=54,"50-54",C29&lt;=54,"50-54",C29&lt;=59,"55-59",C29&lt;=64,"60-64",C29&lt;=69,"65-69",C29&lt;=74,"70-74",C29&lt;=79,"75-79",C29&lt;=84,"80-84",C29&gt;84,"85+")</f>
        <v>65-69</v>
      </c>
      <c r="E29" s="83">
        <f>IF(D29="85+",1,VLOOKUP(D29,'Life table 2014'!$AF$3:$AR$21,7,FALSE))</f>
        <v>1.9054958178566062E-2</v>
      </c>
      <c r="F29" s="72"/>
      <c r="G29" s="316">
        <f t="shared" si="5"/>
        <v>9125</v>
      </c>
      <c r="H29" s="27">
        <f>'Parameters &amp; DSA'!$B$119*G29^'Parameters &amp; DSA'!$B$120</f>
        <v>1.0867110876902621</v>
      </c>
      <c r="I29" s="314">
        <f t="shared" si="31"/>
        <v>4.5580404341029612E-2</v>
      </c>
      <c r="J29" s="72"/>
      <c r="K29" s="140">
        <f t="shared" si="6"/>
        <v>0.10657972227200085</v>
      </c>
      <c r="L29" s="141">
        <f t="shared" si="7"/>
        <v>0</v>
      </c>
      <c r="M29" s="141">
        <f t="shared" si="8"/>
        <v>8.8816435226667378E-3</v>
      </c>
      <c r="N29" s="27">
        <f t="shared" si="9"/>
        <v>9.5962727208621687E-2</v>
      </c>
      <c r="O29" s="27">
        <f t="shared" si="10"/>
        <v>0</v>
      </c>
      <c r="P29" s="27">
        <f t="shared" si="11"/>
        <v>1.5993787868103612E-2</v>
      </c>
      <c r="Q29" s="27">
        <f t="shared" si="12"/>
        <v>6.0991925120126744E-2</v>
      </c>
      <c r="R29" s="27">
        <f t="shared" si="13"/>
        <v>0</v>
      </c>
      <c r="S29" s="27">
        <f t="shared" si="14"/>
        <v>2.0330641706708914E-2</v>
      </c>
      <c r="T29" s="27">
        <f t="shared" si="15"/>
        <v>3.0824433780728016E-3</v>
      </c>
      <c r="U29" s="27">
        <f t="shared" si="16"/>
        <v>9.2473301342184053E-3</v>
      </c>
      <c r="V29" s="27">
        <f t="shared" si="17"/>
        <v>1.2329773512291206E-2</v>
      </c>
      <c r="W29" s="27">
        <f t="shared" si="28"/>
        <v>0.17394058843012711</v>
      </c>
      <c r="X29" s="27">
        <f t="shared" si="29"/>
        <v>8.3069148915449493E-3</v>
      </c>
      <c r="Y29" s="142">
        <f t="shared" si="18"/>
        <v>0.4843525019555181</v>
      </c>
      <c r="Z29" s="89">
        <f t="shared" si="30"/>
        <v>1.0000000000000011</v>
      </c>
      <c r="AB29" s="171">
        <f>(IF('Parameters &amp; DSA'!$H$1=1,(('Parameters &amp; DSA'!$B$79+'Parameters &amp; DSA'!$B$85+'Parameters &amp; DSA'!$B$89+'Parameters &amp; DSA'!$B$93)*K29)/(1+cDC)^$A29,(('Parameters &amp; DSA'!$B$79+'Parameters &amp; DSA'!$B$85)*K29)))*($AD$2/$AF$2)</f>
        <v>496.81479645578838</v>
      </c>
      <c r="AC29" s="371">
        <f>(IF('Parameters &amp; DSA'!$H$1=1,(('Parameters &amp; DSA'!$B$79+'Parameters &amp; DSA'!$B$85+'Parameters &amp; DSA'!$B$89+'Parameters &amp; DSA'!$B$93)*($M29+$N29))/(1+cDC)^$A29,(('Parameters &amp; DSA'!$B$79+'Parameters &amp; DSA'!$B$85)*($M29+$N29))))*($AD$2/$AF$2)</f>
        <v>488.72556236791934</v>
      </c>
      <c r="AD29" s="371">
        <f>(IF('Parameters &amp; DSA'!$H$1=1,(('Parameters &amp; DSA'!$B$79+'Parameters &amp; DSA'!$B$85+'Parameters &amp; DSA'!$B$89+'Parameters &amp; DSA'!$B$93)*(P29+Q29))/(1+cDC)^$A29,(('Parameters &amp; DSA'!$B$79+'Parameters &amp; DSA'!$B$85)*(P29+Q29))))*($AD$2/$AF$2)</f>
        <v>358.86414894795894</v>
      </c>
      <c r="AE29" s="371">
        <f>(IF('Parameters &amp; DSA'!$H$1=1,(('Parameters &amp; DSA'!$B$79+'Parameters &amp; DSA'!$B$85+'Parameters &amp; DSA'!$B$89+'Parameters &amp; DSA'!$B$93)*(S29+T29))/(1+cDC)^$A29,(('Parameters &amp; DSA'!$B$79+'Parameters &amp; DSA'!$B$85)*(S29+T29))))*($AD$2/$AF$2)</f>
        <v>109.13865088813121</v>
      </c>
      <c r="AF29" s="371">
        <f>(IF('Parameters &amp; DSA'!$H$1=1,(((W29-W28)*cM_Dialysis0)+(W29*cM_Dialysis1))/(1+'Parameters &amp; DSA'!$B$6)^$A29,(((W29-W28)*cM_Dialysis0)+(W29*cM_Dialysis1))))*($AD$2/$AG$2)</f>
        <v>53327.596219016741</v>
      </c>
      <c r="AG29" s="172">
        <f t="shared" si="19"/>
        <v>54781.13937767654</v>
      </c>
      <c r="AI29" s="88">
        <f t="shared" si="0"/>
        <v>5.0903068927468556E-2</v>
      </c>
      <c r="AJ29" s="27">
        <f t="shared" si="20"/>
        <v>4.667456626258442E-2</v>
      </c>
      <c r="AK29" s="27">
        <f t="shared" si="1"/>
        <v>5.00742553669975E-2</v>
      </c>
      <c r="AL29" s="27">
        <f t="shared" si="21"/>
        <v>4.5793417290523962E-2</v>
      </c>
      <c r="AM29" s="27">
        <f t="shared" si="2"/>
        <v>3.6768805276758507E-2</v>
      </c>
      <c r="AN29" s="27">
        <f t="shared" si="22"/>
        <v>3.3402863827786088E-2</v>
      </c>
      <c r="AO29" s="27">
        <f t="shared" si="3"/>
        <v>1.1182219830088845E-2</v>
      </c>
      <c r="AP29" s="27">
        <f t="shared" si="23"/>
        <v>9.6840215443656091E-3</v>
      </c>
      <c r="AQ29" s="27">
        <f t="shared" si="4"/>
        <v>8.8963762252084078E-2</v>
      </c>
      <c r="AR29" s="27">
        <f t="shared" si="24"/>
        <v>6.2274633576458849E-2</v>
      </c>
      <c r="AS29" s="27">
        <f t="shared" si="25"/>
        <v>0.23789211165339749</v>
      </c>
      <c r="AT29" s="89">
        <f t="shared" si="26"/>
        <v>0.19782950250171893</v>
      </c>
    </row>
    <row r="30" spans="1:47">
      <c r="A30" s="80">
        <v>26</v>
      </c>
      <c r="C30" s="10">
        <f t="shared" si="27"/>
        <v>68</v>
      </c>
      <c r="D30" s="98" t="str" cm="1">
        <f t="array" ref="D30">_xlfn.IFS(C30&lt;=4,"1-4",C30&lt;=9,"5-9",C30&lt;=14,"10-14",C30&lt;=19,"15-19",C30&lt;=24,"20-24",C30&lt;=29,"25-29",C30&lt;=34,"30-34",C30&lt;=39,"35-39",C30&lt;=44,"40-44",C30&lt;=49,"45-49",C30&lt;=54,"50-54",C30&lt;=54,"50-54",C30&lt;=59,"55-59",C30&lt;=64,"60-64",C30&lt;=69,"65-69",C30&lt;=74,"70-74",C30&lt;=79,"75-79",C30&lt;=84,"80-84",C30&gt;84,"85+")</f>
        <v>65-69</v>
      </c>
      <c r="E30" s="83">
        <f>IF(D30="85+",1,VLOOKUP(D30,'Life table 2014'!$AF$3:$AR$21,7,FALSE))</f>
        <v>1.9054958178566062E-2</v>
      </c>
      <c r="F30" s="72"/>
      <c r="G30" s="316">
        <f t="shared" si="5"/>
        <v>9490</v>
      </c>
      <c r="H30" s="27">
        <f>'Parameters &amp; DSA'!$B$119*G30^'Parameters &amp; DSA'!$B$120</f>
        <v>1.1335029135285237</v>
      </c>
      <c r="I30" s="314">
        <f t="shared" si="31"/>
        <v>4.5713965390580147E-2</v>
      </c>
      <c r="J30" s="72"/>
      <c r="K30" s="140">
        <f t="shared" si="6"/>
        <v>9.65066308813151E-2</v>
      </c>
      <c r="L30" s="141">
        <f t="shared" si="7"/>
        <v>0</v>
      </c>
      <c r="M30" s="141">
        <f t="shared" si="8"/>
        <v>8.0422192401095917E-3</v>
      </c>
      <c r="N30" s="27">
        <f t="shared" si="9"/>
        <v>8.8154199112924839E-2</v>
      </c>
      <c r="O30" s="27">
        <f t="shared" si="10"/>
        <v>0</v>
      </c>
      <c r="P30" s="27">
        <f t="shared" si="11"/>
        <v>1.4692366518820806E-2</v>
      </c>
      <c r="Q30" s="27">
        <f t="shared" si="12"/>
        <v>5.6639065085169402E-2</v>
      </c>
      <c r="R30" s="27">
        <f t="shared" si="13"/>
        <v>0</v>
      </c>
      <c r="S30" s="27">
        <f t="shared" si="14"/>
        <v>1.8879688361723133E-2</v>
      </c>
      <c r="T30" s="27">
        <f t="shared" si="15"/>
        <v>2.870868715957499E-3</v>
      </c>
      <c r="U30" s="27">
        <f t="shared" si="16"/>
        <v>8.6126061478724973E-3</v>
      </c>
      <c r="V30" s="27">
        <f t="shared" si="17"/>
        <v>1.1483474863829996E-2</v>
      </c>
      <c r="W30" s="27">
        <f t="shared" si="28"/>
        <v>0.17436808706478829</v>
      </c>
      <c r="X30" s="27">
        <f t="shared" si="29"/>
        <v>8.3529009209108631E-3</v>
      </c>
      <c r="Y30" s="142">
        <f t="shared" si="18"/>
        <v>0.51139789308657913</v>
      </c>
      <c r="Z30" s="89">
        <f t="shared" si="30"/>
        <v>1.0000000000000011</v>
      </c>
      <c r="AB30" s="171">
        <f>(IF('Parameters &amp; DSA'!$H$1=1,(('Parameters &amp; DSA'!$B$79+'Parameters &amp; DSA'!$B$85+'Parameters &amp; DSA'!$B$89+'Parameters &amp; DSA'!$B$93)*K30)/(1+cDC)^$A30,(('Parameters &amp; DSA'!$B$79+'Parameters &amp; DSA'!$B$85)*K30)))*($AD$2/$AF$2)</f>
        <v>436.75699293816029</v>
      </c>
      <c r="AC30" s="371">
        <f>(IF('Parameters &amp; DSA'!$H$1=1,(('Parameters &amp; DSA'!$B$79+'Parameters &amp; DSA'!$B$85+'Parameters &amp; DSA'!$B$89+'Parameters &amp; DSA'!$B$93)*($M30+$N30))/(1+cDC)^$A30,(('Parameters &amp; DSA'!$B$79+'Parameters &amp; DSA'!$B$85)*($M30+$N30))))*($AD$2/$AF$2)</f>
        <v>435.35307395574097</v>
      </c>
      <c r="AD30" s="371">
        <f>(IF('Parameters &amp; DSA'!$H$1=1,(('Parameters &amp; DSA'!$B$79+'Parameters &amp; DSA'!$B$85+'Parameters &amp; DSA'!$B$89+'Parameters &amp; DSA'!$B$93)*(P30+Q30))/(1+cDC)^$A30,(('Parameters &amp; DSA'!$B$79+'Parameters &amp; DSA'!$B$85)*(P30+Q30))))*($AD$2/$AF$2)</f>
        <v>322.82239349591384</v>
      </c>
      <c r="AE30" s="371">
        <f>(IF('Parameters &amp; DSA'!$H$1=1,(('Parameters &amp; DSA'!$B$79+'Parameters &amp; DSA'!$B$85+'Parameters &amp; DSA'!$B$89+'Parameters &amp; DSA'!$B$93)*(S30+T30))/(1+cDC)^$A30,(('Parameters &amp; DSA'!$B$79+'Parameters &amp; DSA'!$B$85)*(S30+T30))))*($AD$2/$AF$2)</f>
        <v>98.435805055307085</v>
      </c>
      <c r="AF30" s="371">
        <f>(IF('Parameters &amp; DSA'!$H$1=1,(((W30-W29)*cM_Dialysis0)+(W30*cM_Dialysis1))/(1+'Parameters &amp; DSA'!$B$6)^$A30,(((W30-W29)*cM_Dialysis0)+(W30*cM_Dialysis1))))*($AD$2/$AG$2)</f>
        <v>51607.981826064686</v>
      </c>
      <c r="AG30" s="172">
        <f t="shared" si="19"/>
        <v>52901.350091509812</v>
      </c>
      <c r="AI30" s="88">
        <f t="shared" si="0"/>
        <v>4.474961590251976E-2</v>
      </c>
      <c r="AJ30" s="27">
        <f t="shared" si="20"/>
        <v>4.1032278734382213E-2</v>
      </c>
      <c r="AK30" s="27">
        <f t="shared" si="1"/>
        <v>4.4605771988770644E-2</v>
      </c>
      <c r="AL30" s="27">
        <f t="shared" si="21"/>
        <v>4.0792433462605041E-2</v>
      </c>
      <c r="AM30" s="27">
        <f t="shared" si="2"/>
        <v>3.3076008735410563E-2</v>
      </c>
      <c r="AN30" s="27">
        <f t="shared" si="22"/>
        <v>3.0048118437341377E-2</v>
      </c>
      <c r="AO30" s="27">
        <f t="shared" si="3"/>
        <v>1.0085618635770755E-2</v>
      </c>
      <c r="AP30" s="27">
        <f t="shared" si="23"/>
        <v>8.7343434167027351E-3</v>
      </c>
      <c r="AQ30" s="27">
        <f t="shared" si="4"/>
        <v>8.6178389352510987E-2</v>
      </c>
      <c r="AR30" s="27">
        <f t="shared" si="24"/>
        <v>6.0324872546757689E-2</v>
      </c>
      <c r="AS30" s="27">
        <f t="shared" si="25"/>
        <v>0.21869540461498271</v>
      </c>
      <c r="AT30" s="89">
        <f t="shared" si="26"/>
        <v>0.18093204659778905</v>
      </c>
    </row>
    <row r="31" spans="1:47">
      <c r="A31" s="80">
        <v>27</v>
      </c>
      <c r="C31" s="10">
        <f t="shared" si="27"/>
        <v>69</v>
      </c>
      <c r="D31" s="98" t="str" cm="1">
        <f t="array" ref="D31">_xlfn.IFS(C31&lt;=4,"1-4",C31&lt;=9,"5-9",C31&lt;=14,"10-14",C31&lt;=19,"15-19",C31&lt;=24,"20-24",C31&lt;=29,"25-29",C31&lt;=34,"30-34",C31&lt;=39,"35-39",C31&lt;=44,"40-44",C31&lt;=49,"45-49",C31&lt;=54,"50-54",C31&lt;=54,"50-54",C31&lt;=59,"55-59",C31&lt;=64,"60-64",C31&lt;=69,"65-69",C31&lt;=74,"70-74",C31&lt;=79,"75-79",C31&lt;=84,"80-84",C31&gt;84,"85+")</f>
        <v>65-69</v>
      </c>
      <c r="E31" s="83">
        <f>IF(D31="85+",1,VLOOKUP(D31,'Life table 2014'!$AF$3:$AR$21,7,FALSE))</f>
        <v>1.9054958178566062E-2</v>
      </c>
      <c r="F31" s="72"/>
      <c r="G31" s="316">
        <f t="shared" si="5"/>
        <v>9855</v>
      </c>
      <c r="H31" s="27">
        <f>'Parameters &amp; DSA'!$B$119*G31^'Parameters &amp; DSA'!$B$120</f>
        <v>1.1804296993268069</v>
      </c>
      <c r="I31" s="314">
        <f t="shared" si="31"/>
        <v>4.5842747105277137E-2</v>
      </c>
      <c r="J31" s="72"/>
      <c r="K31" s="140">
        <f t="shared" si="6"/>
        <v>8.7385570214692926E-2</v>
      </c>
      <c r="L31" s="141">
        <f t="shared" si="7"/>
        <v>0</v>
      </c>
      <c r="M31" s="141">
        <f t="shared" si="8"/>
        <v>7.2821308512244108E-3</v>
      </c>
      <c r="N31" s="27">
        <f t="shared" si="9"/>
        <v>8.0882913963762446E-2</v>
      </c>
      <c r="O31" s="27">
        <f t="shared" si="10"/>
        <v>0</v>
      </c>
      <c r="P31" s="27">
        <f t="shared" si="11"/>
        <v>1.3480485660627073E-2</v>
      </c>
      <c r="Q31" s="27">
        <f t="shared" si="12"/>
        <v>5.2479160618469196E-2</v>
      </c>
      <c r="R31" s="27">
        <f t="shared" si="13"/>
        <v>0</v>
      </c>
      <c r="S31" s="27">
        <f t="shared" si="14"/>
        <v>1.7493053539489732E-2</v>
      </c>
      <c r="T31" s="27">
        <f t="shared" si="15"/>
        <v>2.6670126402756145E-3</v>
      </c>
      <c r="U31" s="27">
        <f t="shared" si="16"/>
        <v>8.0010379208268444E-3</v>
      </c>
      <c r="V31" s="27">
        <f t="shared" si="17"/>
        <v>1.0668050561102458E-2</v>
      </c>
      <c r="W31" s="27">
        <f t="shared" si="28"/>
        <v>0.1739525692536546</v>
      </c>
      <c r="X31" s="27">
        <f t="shared" si="29"/>
        <v>8.3575989349926987E-3</v>
      </c>
      <c r="Y31" s="142">
        <f t="shared" si="18"/>
        <v>0.53735041584088317</v>
      </c>
      <c r="Z31" s="89">
        <f t="shared" si="30"/>
        <v>1.0000000000000013</v>
      </c>
      <c r="AB31" s="171">
        <f>(IF('Parameters &amp; DSA'!$H$1=1,(('Parameters &amp; DSA'!$B$79+'Parameters &amp; DSA'!$B$85+'Parameters &amp; DSA'!$B$89+'Parameters &amp; DSA'!$B$93)*K31)/(1+cDC)^$A31,(('Parameters &amp; DSA'!$B$79+'Parameters &amp; DSA'!$B$85)*K31)))*($AD$2/$AF$2)</f>
        <v>383.95931892773177</v>
      </c>
      <c r="AC31" s="371">
        <f>(IF('Parameters &amp; DSA'!$H$1=1,(('Parameters &amp; DSA'!$B$79+'Parameters &amp; DSA'!$B$85+'Parameters &amp; DSA'!$B$89+'Parameters &amp; DSA'!$B$93)*($M31+$N31))/(1+cDC)^$A31,(('Parameters &amp; DSA'!$B$79+'Parameters &amp; DSA'!$B$85)*($M31+$N31))))*($AD$2/$AF$2)</f>
        <v>387.38421546288089</v>
      </c>
      <c r="AD31" s="371">
        <f>(IF('Parameters &amp; DSA'!$H$1=1,(('Parameters &amp; DSA'!$B$79+'Parameters &amp; DSA'!$B$85+'Parameters &amp; DSA'!$B$89+'Parameters &amp; DSA'!$B$93)*(P31+Q31))/(1+cDC)^$A31,(('Parameters &amp; DSA'!$B$79+'Parameters &amp; DSA'!$B$85)*(P31+Q31))))*($AD$2/$AF$2)</f>
        <v>289.81696634597967</v>
      </c>
      <c r="AE31" s="371">
        <f>(IF('Parameters &amp; DSA'!$H$1=1,(('Parameters &amp; DSA'!$B$79+'Parameters &amp; DSA'!$B$85+'Parameters &amp; DSA'!$B$89+'Parameters &amp; DSA'!$B$93)*(S31+T31))/(1+cDC)^$A31,(('Parameters &amp; DSA'!$B$79+'Parameters &amp; DSA'!$B$85)*(S31+T31))))*($AD$2/$AF$2)</f>
        <v>88.580360131576938</v>
      </c>
      <c r="AF31" s="371">
        <f>(IF('Parameters &amp; DSA'!$H$1=1,(((W31-W30)*cM_Dialysis0)+(W31*cM_Dialysis1))/(1+'Parameters &amp; DSA'!$B$6)^$A31,(((W31-W30)*cM_Dialysis0)+(W31*cM_Dialysis1))))*($AD$2/$AG$2)</f>
        <v>49727.175495261501</v>
      </c>
      <c r="AG31" s="172">
        <f t="shared" si="19"/>
        <v>50876.916356129674</v>
      </c>
      <c r="AI31" s="88">
        <f t="shared" si="0"/>
        <v>3.9340027342485762E-2</v>
      </c>
      <c r="AJ31" s="27">
        <f t="shared" si="20"/>
        <v>3.6072063073153672E-2</v>
      </c>
      <c r="AK31" s="27">
        <f t="shared" si="1"/>
        <v>3.9690938276785305E-2</v>
      </c>
      <c r="AL31" s="27">
        <f t="shared" si="21"/>
        <v>3.6297767901690585E-2</v>
      </c>
      <c r="AM31" s="27">
        <f t="shared" si="2"/>
        <v>2.9694310877015257E-2</v>
      </c>
      <c r="AN31" s="27">
        <f t="shared" si="22"/>
        <v>2.6975992698676298E-2</v>
      </c>
      <c r="AO31" s="27">
        <f t="shared" si="3"/>
        <v>9.0758411576393246E-3</v>
      </c>
      <c r="AP31" s="27">
        <f t="shared" si="23"/>
        <v>7.8598563290023446E-3</v>
      </c>
      <c r="AQ31" s="27">
        <f t="shared" si="4"/>
        <v>8.3114182509253925E-2</v>
      </c>
      <c r="AR31" s="27">
        <f t="shared" si="24"/>
        <v>5.8179927756477741E-2</v>
      </c>
      <c r="AS31" s="27">
        <f t="shared" si="25"/>
        <v>0.20091530016317954</v>
      </c>
      <c r="AT31" s="89">
        <f t="shared" si="26"/>
        <v>0.16538560775900063</v>
      </c>
    </row>
    <row r="32" spans="1:47">
      <c r="A32" s="80">
        <v>28</v>
      </c>
      <c r="C32" s="10">
        <f t="shared" si="27"/>
        <v>70</v>
      </c>
      <c r="D32" s="98" t="str" cm="1">
        <f t="array" ref="D32">_xlfn.IFS(C32&lt;=4,"1-4",C32&lt;=9,"5-9",C32&lt;=14,"10-14",C32&lt;=19,"15-19",C32&lt;=24,"20-24",C32&lt;=29,"25-29",C32&lt;=34,"30-34",C32&lt;=39,"35-39",C32&lt;=44,"40-44",C32&lt;=49,"45-49",C32&lt;=54,"50-54",C32&lt;=54,"50-54",C32&lt;=59,"55-59",C32&lt;=64,"60-64",C32&lt;=69,"65-69",C32&lt;=74,"70-74",C32&lt;=79,"75-79",C32&lt;=84,"80-84",C32&gt;84,"85+")</f>
        <v>70-74</v>
      </c>
      <c r="E32" s="83">
        <f>IF(D32="85+",1,VLOOKUP(D32,'Life table 2014'!$AF$3:$AR$21,7,FALSE))</f>
        <v>2.9749702885658147E-2</v>
      </c>
      <c r="F32" s="72"/>
      <c r="G32" s="316">
        <f t="shared" si="5"/>
        <v>10220</v>
      </c>
      <c r="H32" s="27">
        <f>'Parameters &amp; DSA'!$B$119*G32^'Parameters &amp; DSA'!$B$120</f>
        <v>1.2274868122027784</v>
      </c>
      <c r="I32" s="314">
        <f t="shared" si="31"/>
        <v>4.5967091528803516E-2</v>
      </c>
      <c r="J32" s="72"/>
      <c r="K32" s="140">
        <f t="shared" si="6"/>
        <v>7.8263885043980297E-2</v>
      </c>
      <c r="L32" s="141">
        <f t="shared" si="7"/>
        <v>0</v>
      </c>
      <c r="M32" s="141">
        <f t="shared" si="8"/>
        <v>6.5219904203316914E-3</v>
      </c>
      <c r="N32" s="27">
        <f t="shared" si="9"/>
        <v>7.332185222300594E-2</v>
      </c>
      <c r="O32" s="27">
        <f t="shared" si="10"/>
        <v>0</v>
      </c>
      <c r="P32" s="27">
        <f t="shared" si="11"/>
        <v>1.2220308703834323E-2</v>
      </c>
      <c r="Q32" s="27">
        <f t="shared" si="12"/>
        <v>4.7998024799887545E-2</v>
      </c>
      <c r="R32" s="27">
        <f t="shared" si="13"/>
        <v>0</v>
      </c>
      <c r="S32" s="27">
        <f t="shared" si="14"/>
        <v>1.5999341599962514E-2</v>
      </c>
      <c r="T32" s="27">
        <f t="shared" si="15"/>
        <v>2.4450387750952654E-3</v>
      </c>
      <c r="U32" s="27">
        <f t="shared" si="16"/>
        <v>7.3351163252857957E-3</v>
      </c>
      <c r="V32" s="27">
        <f t="shared" si="17"/>
        <v>9.7801551003810615E-3</v>
      </c>
      <c r="W32" s="27">
        <f t="shared" si="28"/>
        <v>0.17089420834776139</v>
      </c>
      <c r="X32" s="27">
        <f t="shared" si="29"/>
        <v>8.2340028809405937E-3</v>
      </c>
      <c r="Y32" s="142">
        <f t="shared" si="18"/>
        <v>0.56698607577953475</v>
      </c>
      <c r="Z32" s="89">
        <f t="shared" si="30"/>
        <v>1.0000000000000011</v>
      </c>
      <c r="AB32" s="171">
        <f>(IF('Parameters &amp; DSA'!$H$1=1,(('Parameters &amp; DSA'!$B$79+'Parameters &amp; DSA'!$B$85+'Parameters &amp; DSA'!$B$89+'Parameters &amp; DSA'!$B$93)*K32)/(1+cDC)^$A32,(('Parameters &amp; DSA'!$B$79+'Parameters &amp; DSA'!$B$85)*K32)))*($AD$2/$AF$2)</f>
        <v>333.86405670152544</v>
      </c>
      <c r="AC32" s="371">
        <f>(IF('Parameters &amp; DSA'!$H$1=1,(('Parameters &amp; DSA'!$B$79+'Parameters &amp; DSA'!$B$85+'Parameters &amp; DSA'!$B$89+'Parameters &amp; DSA'!$B$93)*($M32+$N32))/(1+cDC)^$A32,(('Parameters &amp; DSA'!$B$79+'Parameters &amp; DSA'!$B$85)*($M32+$N32))))*($AD$2/$AF$2)</f>
        <v>340.60396046737372</v>
      </c>
      <c r="AD32" s="371">
        <f>(IF('Parameters &amp; DSA'!$H$1=1,(('Parameters &amp; DSA'!$B$79+'Parameters &amp; DSA'!$B$85+'Parameters &amp; DSA'!$B$89+'Parameters &amp; DSA'!$B$93)*(P32+Q32))/(1+cDC)^$A32,(('Parameters &amp; DSA'!$B$79+'Parameters &amp; DSA'!$B$85)*(P32+Q32))))*($AD$2/$AF$2)</f>
        <v>256.8839650633256</v>
      </c>
      <c r="AE32" s="371">
        <f>(IF('Parameters &amp; DSA'!$H$1=1,(('Parameters &amp; DSA'!$B$79+'Parameters &amp; DSA'!$B$85+'Parameters &amp; DSA'!$B$89+'Parameters &amp; DSA'!$B$93)*(S32+T32))/(1+cDC)^$A32,(('Parameters &amp; DSA'!$B$79+'Parameters &amp; DSA'!$B$85)*(S32+T32))))*($AD$2/$AF$2)</f>
        <v>78.68144613447646</v>
      </c>
      <c r="AF32" s="371">
        <f>(IF('Parameters &amp; DSA'!$H$1=1,(((W32-W31)*cM_Dialysis0)+(W32*cM_Dialysis1))/(1+'Parameters &amp; DSA'!$B$6)^$A32,(((W32-W31)*cM_Dialysis0)+(W32*cM_Dialysis1))))*($AD$2/$AG$2)</f>
        <v>46640.802211362097</v>
      </c>
      <c r="AG32" s="172">
        <f t="shared" si="19"/>
        <v>47650.835639728801</v>
      </c>
      <c r="AI32" s="88">
        <f t="shared" si="0"/>
        <v>3.4207324765526341E-2</v>
      </c>
      <c r="AJ32" s="27">
        <f t="shared" si="20"/>
        <v>3.1365732559451499E-2</v>
      </c>
      <c r="AK32" s="27">
        <f t="shared" si="1"/>
        <v>3.4897887503200387E-2</v>
      </c>
      <c r="AL32" s="27">
        <f t="shared" si="21"/>
        <v>3.191447408012929E-2</v>
      </c>
      <c r="AM32" s="27">
        <f t="shared" si="2"/>
        <v>2.6320033689140612E-2</v>
      </c>
      <c r="AN32" s="27">
        <f t="shared" si="22"/>
        <v>2.3910608317122137E-2</v>
      </c>
      <c r="AO32" s="27">
        <f t="shared" si="3"/>
        <v>8.0616098885705704E-3</v>
      </c>
      <c r="AP32" s="27">
        <f t="shared" si="23"/>
        <v>6.9815121710559303E-3</v>
      </c>
      <c r="AQ32" s="27">
        <f t="shared" si="4"/>
        <v>7.8968564157047519E-2</v>
      </c>
      <c r="AR32" s="27">
        <f t="shared" si="24"/>
        <v>5.5277994909933258E-2</v>
      </c>
      <c r="AS32" s="27">
        <f t="shared" si="25"/>
        <v>0.18245542000348544</v>
      </c>
      <c r="AT32" s="89">
        <f t="shared" si="26"/>
        <v>0.1494503220376921</v>
      </c>
    </row>
    <row r="33" spans="1:46">
      <c r="A33" s="80">
        <v>29</v>
      </c>
      <c r="C33" s="10">
        <f t="shared" si="27"/>
        <v>71</v>
      </c>
      <c r="D33" s="98" t="str" cm="1">
        <f t="array" ref="D33">_xlfn.IFS(C33&lt;=4,"1-4",C33&lt;=9,"5-9",C33&lt;=14,"10-14",C33&lt;=19,"15-19",C33&lt;=24,"20-24",C33&lt;=29,"25-29",C33&lt;=34,"30-34",C33&lt;=39,"35-39",C33&lt;=44,"40-44",C33&lt;=49,"45-49",C33&lt;=54,"50-54",C33&lt;=54,"50-54",C33&lt;=59,"55-59",C33&lt;=64,"60-64",C33&lt;=69,"65-69",C33&lt;=74,"70-74",C33&lt;=79,"75-79",C33&lt;=84,"80-84",C33&gt;84,"85+")</f>
        <v>70-74</v>
      </c>
      <c r="E33" s="83">
        <f>IF(D33="85+",1,VLOOKUP(D33,'Life table 2014'!$AF$3:$AR$21,7,FALSE))</f>
        <v>2.9749702885658147E-2</v>
      </c>
      <c r="F33" s="72"/>
      <c r="G33" s="316">
        <f t="shared" si="5"/>
        <v>10585</v>
      </c>
      <c r="H33" s="27">
        <f>'Parameters &amp; DSA'!$B$119*G33^'Parameters &amp; DSA'!$B$120</f>
        <v>1.274669938447587</v>
      </c>
      <c r="I33" s="314">
        <f t="shared" si="31"/>
        <v>4.6087304855179201E-2</v>
      </c>
      <c r="J33" s="72"/>
      <c r="K33" s="140">
        <f t="shared" si="6"/>
        <v>7.0094360969764236E-2</v>
      </c>
      <c r="L33" s="141">
        <f t="shared" si="7"/>
        <v>0</v>
      </c>
      <c r="M33" s="141">
        <f t="shared" si="8"/>
        <v>5.8411967474803527E-3</v>
      </c>
      <c r="N33" s="27">
        <f t="shared" si="9"/>
        <v>6.6401581754956363E-2</v>
      </c>
      <c r="O33" s="27">
        <f t="shared" si="10"/>
        <v>0</v>
      </c>
      <c r="P33" s="27">
        <f t="shared" si="11"/>
        <v>1.1066930292492727E-2</v>
      </c>
      <c r="Q33" s="27">
        <f t="shared" si="12"/>
        <v>4.3820141980287504E-2</v>
      </c>
      <c r="R33" s="27">
        <f t="shared" si="13"/>
        <v>0</v>
      </c>
      <c r="S33" s="27">
        <f t="shared" si="14"/>
        <v>1.4606713993429167E-2</v>
      </c>
      <c r="T33" s="27">
        <f t="shared" si="15"/>
        <v>2.2369581923737183E-3</v>
      </c>
      <c r="U33" s="27">
        <f t="shared" si="16"/>
        <v>6.710874577121155E-3</v>
      </c>
      <c r="V33" s="27">
        <f t="shared" si="17"/>
        <v>8.9478327694948734E-3</v>
      </c>
      <c r="W33" s="27">
        <f t="shared" si="28"/>
        <v>0.16722028001016032</v>
      </c>
      <c r="X33" s="27">
        <f t="shared" si="29"/>
        <v>8.0790748063444828E-3</v>
      </c>
      <c r="Y33" s="142">
        <f t="shared" si="18"/>
        <v>0.59497405390609626</v>
      </c>
      <c r="Z33" s="89">
        <f t="shared" si="30"/>
        <v>1.0000000000000011</v>
      </c>
      <c r="AB33" s="171">
        <f>(IF('Parameters &amp; DSA'!$H$1=1,(('Parameters &amp; DSA'!$B$79+'Parameters &amp; DSA'!$B$85+'Parameters &amp; DSA'!$B$89+'Parameters &amp; DSA'!$B$93)*K33)/(1+cDC)^$A33,(('Parameters &amp; DSA'!$B$79+'Parameters &amp; DSA'!$B$85)*K33)))*($AD$2/$AF$2)</f>
        <v>290.30473506538124</v>
      </c>
      <c r="AC33" s="371">
        <f>(IF('Parameters &amp; DSA'!$H$1=1,(('Parameters &amp; DSA'!$B$79+'Parameters &amp; DSA'!$B$85+'Parameters &amp; DSA'!$B$89+'Parameters &amp; DSA'!$B$93)*($M33+$N33))/(1+cDC)^$A33,(('Parameters &amp; DSA'!$B$79+'Parameters &amp; DSA'!$B$85)*($M33+$N33))))*($AD$2/$AF$2)</f>
        <v>299.20268026387362</v>
      </c>
      <c r="AD33" s="371">
        <f>(IF('Parameters &amp; DSA'!$H$1=1,(('Parameters &amp; DSA'!$B$79+'Parameters &amp; DSA'!$B$85+'Parameters &amp; DSA'!$B$89+'Parameters &amp; DSA'!$B$93)*(P33+Q33))/(1+cDC)^$A33,(('Parameters &amp; DSA'!$B$79+'Parameters &amp; DSA'!$B$85)*(P33+Q33))))*($AD$2/$AF$2)</f>
        <v>227.3218095466645</v>
      </c>
      <c r="AE33" s="371">
        <f>(IF('Parameters &amp; DSA'!$H$1=1,(('Parameters &amp; DSA'!$B$79+'Parameters &amp; DSA'!$B$85+'Parameters &amp; DSA'!$B$89+'Parameters &amp; DSA'!$B$93)*(S33+T33))/(1+cDC)^$A33,(('Parameters &amp; DSA'!$B$79+'Parameters &amp; DSA'!$B$85)*(S33+T33))))*($AD$2/$AF$2)</f>
        <v>69.760216425068649</v>
      </c>
      <c r="AF33" s="371">
        <f>(IF('Parameters &amp; DSA'!$H$1=1,(((W33-W32)*cM_Dialysis0)+(W33*cM_Dialysis1))/(1+'Parameters &amp; DSA'!$B$6)^$A33,(((W33-W32)*cM_Dialysis0)+(W33*cM_Dialysis1))))*($AD$2/$AG$2)</f>
        <v>44111.860018564126</v>
      </c>
      <c r="AG33" s="172">
        <f t="shared" si="19"/>
        <v>44998.449459865114</v>
      </c>
      <c r="AI33" s="88">
        <f t="shared" si="0"/>
        <v>2.9744287095359572E-2</v>
      </c>
      <c r="AJ33" s="27">
        <f t="shared" si="20"/>
        <v>2.7273438089634179E-2</v>
      </c>
      <c r="AK33" s="27">
        <f t="shared" si="1"/>
        <v>3.0655960260053652E-2</v>
      </c>
      <c r="AL33" s="27">
        <f t="shared" si="21"/>
        <v>2.8035188348613717E-2</v>
      </c>
      <c r="AM33" s="27">
        <f t="shared" si="2"/>
        <v>2.3291129456327456E-2</v>
      </c>
      <c r="AN33" s="27">
        <f t="shared" si="22"/>
        <v>2.1158980276055089E-2</v>
      </c>
      <c r="AO33" s="27">
        <f t="shared" si="3"/>
        <v>7.1475510198424569E-3</v>
      </c>
      <c r="AP33" s="27">
        <f t="shared" si="23"/>
        <v>6.1899192751835568E-3</v>
      </c>
      <c r="AQ33" s="27">
        <f t="shared" si="4"/>
        <v>7.4756297811546663E-2</v>
      </c>
      <c r="AR33" s="27">
        <f t="shared" si="24"/>
        <v>5.2329408468082664E-2</v>
      </c>
      <c r="AS33" s="27">
        <f t="shared" si="25"/>
        <v>0.16559522564312981</v>
      </c>
      <c r="AT33" s="89">
        <f t="shared" si="26"/>
        <v>0.13498693445756921</v>
      </c>
    </row>
    <row r="34" spans="1:46">
      <c r="A34" s="80">
        <v>30</v>
      </c>
      <c r="C34" s="10">
        <f t="shared" si="27"/>
        <v>72</v>
      </c>
      <c r="D34" s="98" t="str" cm="1">
        <f t="array" ref="D34">_xlfn.IFS(C34&lt;=4,"1-4",C34&lt;=9,"5-9",C34&lt;=14,"10-14",C34&lt;=19,"15-19",C34&lt;=24,"20-24",C34&lt;=29,"25-29",C34&lt;=34,"30-34",C34&lt;=39,"35-39",C34&lt;=44,"40-44",C34&lt;=49,"45-49",C34&lt;=54,"50-54",C34&lt;=54,"50-54",C34&lt;=59,"55-59",C34&lt;=64,"60-64",C34&lt;=69,"65-69",C34&lt;=74,"70-74",C34&lt;=79,"75-79",C34&lt;=84,"80-84",C34&gt;84,"85+")</f>
        <v>70-74</v>
      </c>
      <c r="E34" s="83">
        <f>IF(D34="85+",1,VLOOKUP(D34,'Life table 2014'!$AF$3:$AR$21,7,FALSE))</f>
        <v>2.9749702885658147E-2</v>
      </c>
      <c r="F34" s="72"/>
      <c r="G34" s="316">
        <f t="shared" si="5"/>
        <v>10950</v>
      </c>
      <c r="H34" s="27">
        <f>'Parameters &amp; DSA'!$B$119*G34^'Parameters &amp; DSA'!$B$120</f>
        <v>1.3219750512627304</v>
      </c>
      <c r="I34" s="314">
        <f t="shared" si="31"/>
        <v>4.6203662296091852E-2</v>
      </c>
      <c r="J34" s="72"/>
      <c r="K34" s="140">
        <f t="shared" si="6"/>
        <v>6.2777607283341863E-2</v>
      </c>
      <c r="L34" s="141">
        <f t="shared" si="7"/>
        <v>0</v>
      </c>
      <c r="M34" s="141">
        <f t="shared" si="8"/>
        <v>5.2314672736118216E-3</v>
      </c>
      <c r="N34" s="27">
        <f t="shared" si="9"/>
        <v>6.0080209119732698E-2</v>
      </c>
      <c r="O34" s="27">
        <f t="shared" si="10"/>
        <v>0</v>
      </c>
      <c r="P34" s="27">
        <f t="shared" si="11"/>
        <v>1.0013368186622115E-2</v>
      </c>
      <c r="Q34" s="27">
        <f t="shared" si="12"/>
        <v>3.9940648635301029E-2</v>
      </c>
      <c r="R34" s="27">
        <f t="shared" si="13"/>
        <v>0</v>
      </c>
      <c r="S34" s="27">
        <f t="shared" si="14"/>
        <v>1.3313549545100344E-2</v>
      </c>
      <c r="T34" s="27">
        <f t="shared" si="15"/>
        <v>2.0428222428464779E-3</v>
      </c>
      <c r="U34" s="27">
        <f t="shared" si="16"/>
        <v>6.1284667285394336E-3</v>
      </c>
      <c r="V34" s="27">
        <f t="shared" si="17"/>
        <v>8.1712889713859115E-3</v>
      </c>
      <c r="W34" s="27">
        <f t="shared" si="28"/>
        <v>0.16302970281463564</v>
      </c>
      <c r="X34" s="27">
        <f t="shared" si="29"/>
        <v>7.8974609518976929E-3</v>
      </c>
      <c r="Y34" s="142">
        <f t="shared" si="18"/>
        <v>0.62137340824698617</v>
      </c>
      <c r="Z34" s="89">
        <f t="shared" si="30"/>
        <v>1.0000000000000011</v>
      </c>
      <c r="AB34" s="171">
        <f>(IF('Parameters &amp; DSA'!$H$1=1,(('Parameters &amp; DSA'!$B$79+'Parameters &amp; DSA'!$B$85+'Parameters &amp; DSA'!$B$89+'Parameters &amp; DSA'!$B$93)*K34)/(1+cDC)^$A34,(('Parameters &amp; DSA'!$B$79+'Parameters &amp; DSA'!$B$85)*K34)))*($AD$2/$AF$2)</f>
        <v>252.42860832043598</v>
      </c>
      <c r="AC34" s="371">
        <f>(IF('Parameters &amp; DSA'!$H$1=1,(('Parameters &amp; DSA'!$B$79+'Parameters &amp; DSA'!$B$85+'Parameters &amp; DSA'!$B$89+'Parameters &amp; DSA'!$B$93)*($M34+$N34))/(1+cDC)^$A34,(('Parameters &amp; DSA'!$B$79+'Parameters &amp; DSA'!$B$85)*($M34+$N34))))*($AD$2/$AF$2)</f>
        <v>262.61809413404256</v>
      </c>
      <c r="AD34" s="371">
        <f>(IF('Parameters &amp; DSA'!$H$1=1,(('Parameters &amp; DSA'!$B$79+'Parameters &amp; DSA'!$B$85+'Parameters &amp; DSA'!$B$89+'Parameters &amp; DSA'!$B$93)*(P34+Q34))/(1+cDC)^$A34,(('Parameters &amp; DSA'!$B$79+'Parameters &amp; DSA'!$B$85)*(P34+Q34))))*($AD$2/$AF$2)</f>
        <v>200.86498183118468</v>
      </c>
      <c r="AE34" s="371">
        <f>(IF('Parameters &amp; DSA'!$H$1=1,(('Parameters &amp; DSA'!$B$79+'Parameters &amp; DSA'!$B$85+'Parameters &amp; DSA'!$B$89+'Parameters &amp; DSA'!$B$93)*(S34+T34))/(1+cDC)^$A34,(('Parameters &amp; DSA'!$B$79+'Parameters &amp; DSA'!$B$85)*(S34+T34))))*($AD$2/$AF$2)</f>
        <v>61.747934128595368</v>
      </c>
      <c r="AF34" s="371">
        <f>(IF('Parameters &amp; DSA'!$H$1=1,(((W34-W33)*cM_Dialysis0)+(W34*cM_Dialysis1))/(1+'Parameters &amp; DSA'!$B$6)^$A34,(((W34-W33)*cM_Dialysis0)+(W34*cM_Dialysis1))))*($AD$2/$AG$2)</f>
        <v>41582.927930722348</v>
      </c>
      <c r="AG34" s="172">
        <f t="shared" si="19"/>
        <v>42360.58754913661</v>
      </c>
      <c r="AI34" s="88">
        <f t="shared" si="0"/>
        <v>2.5863542994826211E-2</v>
      </c>
      <c r="AJ34" s="27">
        <f t="shared" si="20"/>
        <v>2.3715066237308895E-2</v>
      </c>
      <c r="AK34" s="27">
        <f t="shared" si="1"/>
        <v>2.6907545915845564E-2</v>
      </c>
      <c r="AL34" s="27">
        <f t="shared" si="21"/>
        <v>2.460722519700911E-2</v>
      </c>
      <c r="AM34" s="27">
        <f t="shared" si="2"/>
        <v>2.058039351526722E-2</v>
      </c>
      <c r="AN34" s="27">
        <f t="shared" si="22"/>
        <v>1.8696394319541707E-2</v>
      </c>
      <c r="AO34" s="27">
        <f t="shared" si="3"/>
        <v>6.3266218508377051E-3</v>
      </c>
      <c r="AP34" s="27">
        <f t="shared" si="23"/>
        <v>5.478978524613729E-3</v>
      </c>
      <c r="AQ34" s="27">
        <f t="shared" si="4"/>
        <v>7.0532541831832413E-2</v>
      </c>
      <c r="AR34" s="27">
        <f t="shared" si="24"/>
        <v>4.9372779282282689E-2</v>
      </c>
      <c r="AS34" s="27">
        <f t="shared" si="25"/>
        <v>0.15021064610860912</v>
      </c>
      <c r="AT34" s="89">
        <f t="shared" si="26"/>
        <v>0.12187044356075612</v>
      </c>
    </row>
    <row r="35" spans="1:46">
      <c r="A35" s="80">
        <v>31</v>
      </c>
      <c r="C35" s="10">
        <f t="shared" si="27"/>
        <v>73</v>
      </c>
      <c r="D35" s="98" t="str" cm="1">
        <f t="array" ref="D35">_xlfn.IFS(C35&lt;=4,"1-4",C35&lt;=9,"5-9",C35&lt;=14,"10-14",C35&lt;=19,"15-19",C35&lt;=24,"20-24",C35&lt;=29,"25-29",C35&lt;=34,"30-34",C35&lt;=39,"35-39",C35&lt;=44,"40-44",C35&lt;=49,"45-49",C35&lt;=54,"50-54",C35&lt;=54,"50-54",C35&lt;=59,"55-59",C35&lt;=64,"60-64",C35&lt;=69,"65-69",C35&lt;=74,"70-74",C35&lt;=79,"75-79",C35&lt;=84,"80-84",C35&gt;84,"85+")</f>
        <v>70-74</v>
      </c>
      <c r="E35" s="83">
        <f>IF(D35="85+",1,VLOOKUP(D35,'Life table 2014'!$AF$3:$AR$21,7,FALSE))</f>
        <v>2.9749702885658147E-2</v>
      </c>
      <c r="F35" s="72"/>
      <c r="G35" s="316">
        <f t="shared" si="5"/>
        <v>11315</v>
      </c>
      <c r="H35" s="27">
        <f>'Parameters &amp; DSA'!$B$119*G35^'Parameters &amp; DSA'!$B$120</f>
        <v>1.3693983827277445</v>
      </c>
      <c r="I35" s="314">
        <f t="shared" si="31"/>
        <v>4.6316412146687913E-2</v>
      </c>
      <c r="J35" s="72"/>
      <c r="K35" s="140">
        <f t="shared" si="6"/>
        <v>5.6224608109652227E-2</v>
      </c>
      <c r="L35" s="141">
        <f t="shared" si="7"/>
        <v>0</v>
      </c>
      <c r="M35" s="141">
        <f t="shared" si="8"/>
        <v>4.6853840091376862E-3</v>
      </c>
      <c r="N35" s="27">
        <f t="shared" si="9"/>
        <v>5.4316005793438524E-2</v>
      </c>
      <c r="O35" s="27">
        <f t="shared" si="10"/>
        <v>0</v>
      </c>
      <c r="P35" s="27">
        <f t="shared" si="11"/>
        <v>9.0526676322397522E-3</v>
      </c>
      <c r="Q35" s="27">
        <f t="shared" si="12"/>
        <v>3.6350924747644321E-2</v>
      </c>
      <c r="R35" s="27">
        <f t="shared" si="13"/>
        <v>0</v>
      </c>
      <c r="S35" s="27">
        <f t="shared" si="14"/>
        <v>1.2116974915881441E-2</v>
      </c>
      <c r="T35" s="27">
        <f t="shared" si="15"/>
        <v>1.8624405362317128E-3</v>
      </c>
      <c r="U35" s="27">
        <f t="shared" si="16"/>
        <v>5.5873216086951387E-3</v>
      </c>
      <c r="V35" s="27">
        <f t="shared" si="17"/>
        <v>7.4497621449268513E-3</v>
      </c>
      <c r="W35" s="27">
        <f t="shared" si="28"/>
        <v>0.15841429521217179</v>
      </c>
      <c r="X35" s="27">
        <f t="shared" si="29"/>
        <v>7.6935179344856091E-3</v>
      </c>
      <c r="Y35" s="142">
        <f t="shared" si="18"/>
        <v>0.6462460973554961</v>
      </c>
      <c r="Z35" s="89">
        <f t="shared" si="30"/>
        <v>1.0000000000000011</v>
      </c>
      <c r="AB35" s="171">
        <f>(IF('Parameters &amp; DSA'!$H$1=1,(('Parameters &amp; DSA'!$B$79+'Parameters &amp; DSA'!$B$85+'Parameters &amp; DSA'!$B$89+'Parameters &amp; DSA'!$B$93)*K35)/(1+cDC)^$A35,(('Parameters &amp; DSA'!$B$79+'Parameters &amp; DSA'!$B$85)*K35)))*($AD$2/$AF$2)</f>
        <v>219.49418869878667</v>
      </c>
      <c r="AC35" s="371">
        <f>(IF('Parameters &amp; DSA'!$H$1=1,(('Parameters &amp; DSA'!$B$79+'Parameters &amp; DSA'!$B$85+'Parameters &amp; DSA'!$B$89+'Parameters &amp; DSA'!$B$93)*($M35+$N35))/(1+cDC)^$A35,(('Parameters &amp; DSA'!$B$79+'Parameters &amp; DSA'!$B$85)*($M35+$N35))))*($AD$2/$AF$2)</f>
        <v>230.33441445355473</v>
      </c>
      <c r="AD35" s="371">
        <f>(IF('Parameters &amp; DSA'!$H$1=1,(('Parameters &amp; DSA'!$B$79+'Parameters &amp; DSA'!$B$85+'Parameters &amp; DSA'!$B$89+'Parameters &amp; DSA'!$B$93)*(P35+Q35))/(1+cDC)^$A35,(('Parameters &amp; DSA'!$B$79+'Parameters &amp; DSA'!$B$85)*(P35+Q35))))*($AD$2/$AF$2)</f>
        <v>177.25022918785288</v>
      </c>
      <c r="AE35" s="371">
        <f>(IF('Parameters &amp; DSA'!$H$1=1,(('Parameters &amp; DSA'!$B$79+'Parameters &amp; DSA'!$B$85+'Parameters &amp; DSA'!$B$89+'Parameters &amp; DSA'!$B$93)*(S35+T35))/(1+cDC)^$A35,(('Parameters &amp; DSA'!$B$79+'Parameters &amp; DSA'!$B$85)*(S35+T35))))*($AD$2/$AF$2)</f>
        <v>54.573976703593935</v>
      </c>
      <c r="AF35" s="371">
        <f>(IF('Parameters &amp; DSA'!$H$1=1,(((W35-W34)*cM_Dialysis0)+(W35*cM_Dialysis1))/(1+'Parameters &amp; DSA'!$B$6)^$A35,(((W35-W34)*cM_Dialysis0)+(W35*cM_Dialysis1))))*($AD$2/$AG$2)</f>
        <v>39080.734472830918</v>
      </c>
      <c r="AG35" s="172">
        <f t="shared" si="19"/>
        <v>39762.387281874704</v>
      </c>
      <c r="AI35" s="88">
        <f t="shared" si="0"/>
        <v>2.2489120485579998E-2</v>
      </c>
      <c r="AJ35" s="27">
        <f t="shared" si="20"/>
        <v>2.0620955993579014E-2</v>
      </c>
      <c r="AK35" s="27">
        <f t="shared" si="1"/>
        <v>2.3599797467668198E-2</v>
      </c>
      <c r="AL35" s="27">
        <f t="shared" si="21"/>
        <v>2.1582255502116739E-2</v>
      </c>
      <c r="AM35" s="27">
        <f t="shared" si="2"/>
        <v>1.8160853296086951E-2</v>
      </c>
      <c r="AN35" s="27">
        <f t="shared" si="22"/>
        <v>1.6498347038461945E-2</v>
      </c>
      <c r="AO35" s="27">
        <f t="shared" si="3"/>
        <v>5.5915864777113539E-3</v>
      </c>
      <c r="AP35" s="27">
        <f t="shared" si="23"/>
        <v>4.8424234847929959E-3</v>
      </c>
      <c r="AQ35" s="27">
        <f t="shared" si="4"/>
        <v>6.6343490787098613E-2</v>
      </c>
      <c r="AR35" s="27">
        <f t="shared" si="24"/>
        <v>4.6440443550969025E-2</v>
      </c>
      <c r="AS35" s="27">
        <f t="shared" si="25"/>
        <v>0.13618484851414511</v>
      </c>
      <c r="AT35" s="89">
        <f t="shared" si="26"/>
        <v>0.10998442556991972</v>
      </c>
    </row>
    <row r="36" spans="1:46">
      <c r="A36" s="80">
        <v>32</v>
      </c>
      <c r="C36" s="10">
        <f t="shared" si="27"/>
        <v>74</v>
      </c>
      <c r="D36" s="98" t="str" cm="1">
        <f t="array" ref="D36">_xlfn.IFS(C36&lt;=4,"1-4",C36&lt;=9,"5-9",C36&lt;=14,"10-14",C36&lt;=19,"15-19",C36&lt;=24,"20-24",C36&lt;=29,"25-29",C36&lt;=34,"30-34",C36&lt;=39,"35-39",C36&lt;=44,"40-44",C36&lt;=49,"45-49",C36&lt;=54,"50-54",C36&lt;=54,"50-54",C36&lt;=59,"55-59",C36&lt;=64,"60-64",C36&lt;=69,"65-69",C36&lt;=74,"70-74",C36&lt;=79,"75-79",C36&lt;=84,"80-84",C36&gt;84,"85+")</f>
        <v>70-74</v>
      </c>
      <c r="E36" s="83">
        <f>IF(D36="85+",1,VLOOKUP(D36,'Life table 2014'!$AF$3:$AR$21,7,FALSE))</f>
        <v>2.9749702885658147E-2</v>
      </c>
      <c r="F36" s="72"/>
      <c r="G36" s="316">
        <f t="shared" si="5"/>
        <v>11680</v>
      </c>
      <c r="H36" s="27">
        <f>'Parameters &amp; DSA'!$B$119*G36^'Parameters &amp; DSA'!$B$120</f>
        <v>1.4169363993249124</v>
      </c>
      <c r="I36" s="314">
        <f t="shared" si="31"/>
        <v>4.6425779203486339E-2</v>
      </c>
      <c r="J36" s="72"/>
      <c r="K36" s="140">
        <f t="shared" si="6"/>
        <v>5.035563943710232E-2</v>
      </c>
      <c r="L36" s="141">
        <f t="shared" si="7"/>
        <v>0</v>
      </c>
      <c r="M36" s="141">
        <f t="shared" si="8"/>
        <v>4.1963032864251928E-3</v>
      </c>
      <c r="N36" s="27">
        <f t="shared" si="9"/>
        <v>4.9068099416664575E-2</v>
      </c>
      <c r="O36" s="27">
        <f t="shared" si="10"/>
        <v>0</v>
      </c>
      <c r="P36" s="27">
        <f t="shared" si="11"/>
        <v>8.1780165694440941E-3</v>
      </c>
      <c r="Q36" s="27">
        <f t="shared" si="12"/>
        <v>3.3039636747480741E-2</v>
      </c>
      <c r="R36" s="27">
        <f t="shared" si="13"/>
        <v>0</v>
      </c>
      <c r="S36" s="27">
        <f t="shared" si="14"/>
        <v>1.1013212249160248E-2</v>
      </c>
      <c r="T36" s="27">
        <f t="shared" si="15"/>
        <v>1.6954414994872012E-3</v>
      </c>
      <c r="U36" s="27">
        <f t="shared" si="16"/>
        <v>5.0863244984616033E-3</v>
      </c>
      <c r="V36" s="27">
        <f t="shared" si="17"/>
        <v>6.7817659979488047E-3</v>
      </c>
      <c r="W36" s="27">
        <f t="shared" si="28"/>
        <v>0.15345836648988384</v>
      </c>
      <c r="X36" s="27">
        <f t="shared" si="29"/>
        <v>7.4712844414313688E-3</v>
      </c>
      <c r="Y36" s="142">
        <f t="shared" si="18"/>
        <v>0.6696559093665112</v>
      </c>
      <c r="Z36" s="89">
        <f t="shared" si="30"/>
        <v>1.0000000000000011</v>
      </c>
      <c r="AB36" s="171">
        <f>(IF('Parameters &amp; DSA'!$H$1=1,(('Parameters &amp; DSA'!$B$79+'Parameters &amp; DSA'!$B$85+'Parameters &amp; DSA'!$B$89+'Parameters &amp; DSA'!$B$93)*K36)/(1+cDC)^$A36,(('Parameters &amp; DSA'!$B$79+'Parameters &amp; DSA'!$B$85)*K36)))*($AD$2/$AF$2)</f>
        <v>190.85673051519277</v>
      </c>
      <c r="AC36" s="371">
        <f>(IF('Parameters &amp; DSA'!$H$1=1,(('Parameters &amp; DSA'!$B$79+'Parameters &amp; DSA'!$B$85+'Parameters &amp; DSA'!$B$89+'Parameters &amp; DSA'!$B$93)*($M36+$N36))/(1+cDC)^$A36,(('Parameters &amp; DSA'!$B$79+'Parameters &amp; DSA'!$B$85)*($M36+$N36))))*($AD$2/$AF$2)</f>
        <v>201.88145491537614</v>
      </c>
      <c r="AD36" s="371">
        <f>(IF('Parameters &amp; DSA'!$H$1=1,(('Parameters &amp; DSA'!$B$79+'Parameters &amp; DSA'!$B$85+'Parameters &amp; DSA'!$B$89+'Parameters &amp; DSA'!$B$93)*(P36+Q36))/(1+cDC)^$A36,(('Parameters &amp; DSA'!$B$79+'Parameters &amp; DSA'!$B$85)*(P36+Q36))))*($AD$2/$AF$2)</f>
        <v>156.22215584022072</v>
      </c>
      <c r="AE36" s="371">
        <f>(IF('Parameters &amp; DSA'!$H$1=1,(('Parameters &amp; DSA'!$B$79+'Parameters &amp; DSA'!$B$85+'Parameters &amp; DSA'!$B$89+'Parameters &amp; DSA'!$B$93)*(S36+T36))/(1+cDC)^$A36,(('Parameters &amp; DSA'!$B$79+'Parameters &amp; DSA'!$B$85)*(S36+T36))))*($AD$2/$AF$2)</f>
        <v>48.168033031258751</v>
      </c>
      <c r="AF36" s="371">
        <f>(IF('Parameters &amp; DSA'!$H$1=1,(((W36-W35)*cM_Dialysis0)+(W36*cM_Dialysis1))/(1+'Parameters &amp; DSA'!$B$6)^$A36,(((W36-W35)*cM_Dialysis0)+(W36*cM_Dialysis1))))*($AD$2/$AG$2)</f>
        <v>36627.145836129901</v>
      </c>
      <c r="AG36" s="172">
        <f t="shared" si="19"/>
        <v>37224.274210431948</v>
      </c>
      <c r="AI36" s="88">
        <f t="shared" ref="AI36:AI67" si="32">K36/((1+cDO)^$A36)</f>
        <v>1.9554959671074741E-2</v>
      </c>
      <c r="AJ36" s="27">
        <f t="shared" si="20"/>
        <v>1.7930535037686463E-2</v>
      </c>
      <c r="AK36" s="27">
        <f t="shared" ref="AK36:AK67" si="33">(M36+N36)/((1+cDO)^$A36)</f>
        <v>2.0684540170794859E-2</v>
      </c>
      <c r="AL36" s="27">
        <f t="shared" si="21"/>
        <v>1.891622296850164E-2</v>
      </c>
      <c r="AM36" s="27">
        <f t="shared" ref="AM36:AM67" si="34">(P36+Q36)/((1+cDO)^$A36)</f>
        <v>1.6006341243180257E-2</v>
      </c>
      <c r="AN36" s="27">
        <f t="shared" si="22"/>
        <v>1.4541066344219309E-2</v>
      </c>
      <c r="AO36" s="27">
        <f t="shared" ref="AO36:AO67" si="35">(S36+T36)/((1+cDO)^$A36)</f>
        <v>4.935240904623381E-3</v>
      </c>
      <c r="AP36" s="27">
        <f t="shared" si="23"/>
        <v>4.2740153541255786E-3</v>
      </c>
      <c r="AQ36" s="27">
        <f t="shared" ref="AQ36:AQ67" si="36">(V36+W36)/((1+cDO)^$A36)</f>
        <v>6.222717780003937E-2</v>
      </c>
      <c r="AR36" s="27">
        <f t="shared" si="24"/>
        <v>4.3559024460027559E-2</v>
      </c>
      <c r="AS36" s="27">
        <f t="shared" si="25"/>
        <v>0.12340825978971262</v>
      </c>
      <c r="AT36" s="89">
        <f t="shared" si="26"/>
        <v>9.9220864164560552E-2</v>
      </c>
    </row>
    <row r="37" spans="1:46">
      <c r="A37" s="80">
        <v>33</v>
      </c>
      <c r="C37" s="10">
        <f t="shared" si="27"/>
        <v>75</v>
      </c>
      <c r="D37" s="98" t="str" cm="1">
        <f t="array" ref="D37">_xlfn.IFS(C37&lt;=4,"1-4",C37&lt;=9,"5-9",C37&lt;=14,"10-14",C37&lt;=19,"15-19",C37&lt;=24,"20-24",C37&lt;=29,"25-29",C37&lt;=34,"30-34",C37&lt;=39,"35-39",C37&lt;=44,"40-44",C37&lt;=49,"45-49",C37&lt;=54,"50-54",C37&lt;=54,"50-54",C37&lt;=59,"55-59",C37&lt;=64,"60-64",C37&lt;=69,"65-69",C37&lt;=74,"70-74",C37&lt;=79,"75-79",C37&lt;=84,"80-84",C37&gt;84,"85+")</f>
        <v>75-79</v>
      </c>
      <c r="E37" s="83">
        <f>IF(D37="85+",1,VLOOKUP(D37,'Life table 2014'!$AF$3:$AR$21,7,FALSE))</f>
        <v>4.5413021429770106E-2</v>
      </c>
      <c r="F37" s="72"/>
      <c r="G37" s="316">
        <f t="shared" si="5"/>
        <v>12045</v>
      </c>
      <c r="H37" s="27">
        <f>'Parameters &amp; DSA'!$B$119*G37^'Parameters &amp; DSA'!$B$120</f>
        <v>1.4645857804723601</v>
      </c>
      <c r="I37" s="314">
        <f t="shared" si="31"/>
        <v>4.6531967654819373E-2</v>
      </c>
      <c r="J37" s="72"/>
      <c r="K37" s="140">
        <f t="shared" ref="K37:K68" si="37">(K36*(1-E37))*p3a_3aMDCT</f>
        <v>4.4371234803909615E-2</v>
      </c>
      <c r="L37" s="141">
        <f t="shared" ref="L37:L68" si="38">(K36*(1-E37))*p3a_DeathMDCT</f>
        <v>0</v>
      </c>
      <c r="M37" s="141">
        <f t="shared" ref="M37:M68" si="39">(K36*(1-E37))*p3a_3bMDCT</f>
        <v>3.6976029003258012E-3</v>
      </c>
      <c r="N37" s="27">
        <f t="shared" ref="N37:N68" si="40">(SUM(M36:N36)*(1-E37))*p3b_3bMDCT</f>
        <v>4.3581861635734673E-2</v>
      </c>
      <c r="O37" s="27">
        <f t="shared" ref="O37:O68" si="41">(SUM(M36:N36)*(1-E37))*p3b_DeathMDCT</f>
        <v>0</v>
      </c>
      <c r="P37" s="27">
        <f t="shared" ref="P37:P68" si="42">(SUM(M36:N36)*(1-E37))*p3b_4MDCT</f>
        <v>7.2636436059557788E-3</v>
      </c>
      <c r="Q37" s="27">
        <f t="shared" ref="Q37:Q68" si="43">(SUM(P36:Q36)*(1-E37))*p4_4MDCT</f>
        <v>2.9509376357668871E-2</v>
      </c>
      <c r="R37" s="27">
        <f t="shared" ref="R37:R68" si="44">(SUM(P36:Q36)*(1-E37))*p4_DeathMDCT</f>
        <v>0</v>
      </c>
      <c r="S37" s="27">
        <f t="shared" ref="S37:S68" si="45">(SUM(P36:Q36)*(1-E37))*p4_5MDCT</f>
        <v>9.8364587858896235E-3</v>
      </c>
      <c r="T37" s="27">
        <f t="shared" ref="T37:T68" si="46">(SUM(S36:T36)*(1-E37))*p5_5MDCT</f>
        <v>1.5164394229520743E-3</v>
      </c>
      <c r="U37" s="27">
        <f t="shared" ref="U37:U68" si="47">(SUM(S36:T36)*(1-E37))*p5_DeathMDCT</f>
        <v>4.549318268856223E-3</v>
      </c>
      <c r="V37" s="27">
        <f t="shared" ref="V37:V68" si="48">(SUM(S36:T36)*(1-E37))*p5_DialysisMDCT</f>
        <v>6.065757691808297E-3</v>
      </c>
      <c r="W37" s="27">
        <f t="shared" si="28"/>
        <v>0.14584546785211638</v>
      </c>
      <c r="X37" s="27">
        <f t="shared" si="29"/>
        <v>7.1176760651371204E-3</v>
      </c>
      <c r="Y37" s="142">
        <f t="shared" ref="Y37:Y68" si="49">(SUM(K36:K36,M36:N36,P36:Q36,S36:T36,V36:W36)*E37)+SUM(L36,O36,R36,U36,X36)+Y36</f>
        <v>0.69664516260964671</v>
      </c>
      <c r="Z37" s="89">
        <f t="shared" si="30"/>
        <v>1.0000000000000011</v>
      </c>
      <c r="AB37" s="171">
        <f>(IF('Parameters &amp; DSA'!$H$1=1,(('Parameters &amp; DSA'!$B$79+'Parameters &amp; DSA'!$B$85+'Parameters &amp; DSA'!$B$89+'Parameters &amp; DSA'!$B$93)*K37)/(1+cDC)^$A37,(('Parameters &amp; DSA'!$B$79+'Parameters &amp; DSA'!$B$85)*K37)))*($AD$2/$AF$2)</f>
        <v>163.27648966896831</v>
      </c>
      <c r="AC37" s="371">
        <f>(IF('Parameters &amp; DSA'!$H$1=1,(('Parameters &amp; DSA'!$B$79+'Parameters &amp; DSA'!$B$85+'Parameters &amp; DSA'!$B$89+'Parameters &amp; DSA'!$B$93)*($M37+$N37))/(1+cDC)^$A37,(('Parameters &amp; DSA'!$B$79+'Parameters &amp; DSA'!$B$85)*($M37+$N37))))*($AD$2/$AF$2)</f>
        <v>173.97814230304544</v>
      </c>
      <c r="AD37" s="371">
        <f>(IF('Parameters &amp; DSA'!$H$1=1,(('Parameters &amp; DSA'!$B$79+'Parameters &amp; DSA'!$B$85+'Parameters &amp; DSA'!$B$89+'Parameters &amp; DSA'!$B$93)*(P37+Q37))/(1+cDC)^$A37,(('Parameters &amp; DSA'!$B$79+'Parameters &amp; DSA'!$B$85)*(P37+Q37))))*($AD$2/$AF$2)</f>
        <v>135.3167122961944</v>
      </c>
      <c r="AE37" s="371">
        <f>(IF('Parameters &amp; DSA'!$H$1=1,(('Parameters &amp; DSA'!$B$79+'Parameters &amp; DSA'!$B$85+'Parameters &amp; DSA'!$B$89+'Parameters &amp; DSA'!$B$93)*(S37+T37))/(1+cDC)^$A37,(('Parameters &amp; DSA'!$B$79+'Parameters &amp; DSA'!$B$85)*(S37+T37))))*($AD$2/$AF$2)</f>
        <v>41.776195215226714</v>
      </c>
      <c r="AF37" s="371">
        <f>(IF('Parameters &amp; DSA'!$H$1=1,(((W37-W36)*cM_Dialysis0)+(W37*cM_Dialysis1))/(1+'Parameters &amp; DSA'!$B$6)^$A37,(((W37-W36)*cM_Dialysis0)+(W37*cM_Dialysis1))))*($AD$2/$AG$2)</f>
        <v>33050.556210539638</v>
      </c>
      <c r="AG37" s="172">
        <f t="shared" si="19"/>
        <v>33564.90375002307</v>
      </c>
      <c r="AI37" s="88">
        <f t="shared" si="32"/>
        <v>1.6729120121111815E-2</v>
      </c>
      <c r="AJ37" s="27">
        <f t="shared" si="20"/>
        <v>1.5339437131387093E-2</v>
      </c>
      <c r="AK37" s="27">
        <f t="shared" si="33"/>
        <v>1.7825599061667547E-2</v>
      </c>
      <c r="AL37" s="27">
        <f t="shared" si="21"/>
        <v>1.63016921630054E-2</v>
      </c>
      <c r="AM37" s="27">
        <f t="shared" si="34"/>
        <v>1.3864393697993617E-2</v>
      </c>
      <c r="AN37" s="27">
        <f t="shared" si="22"/>
        <v>1.2595199959940708E-2</v>
      </c>
      <c r="AO37" s="27">
        <f t="shared" si="35"/>
        <v>4.28034060124316E-3</v>
      </c>
      <c r="AP37" s="27">
        <f t="shared" si="23"/>
        <v>3.7068588553523609E-3</v>
      </c>
      <c r="AQ37" s="27">
        <f t="shared" si="36"/>
        <v>5.7274519203727552E-2</v>
      </c>
      <c r="AR37" s="27">
        <f t="shared" si="24"/>
        <v>4.0092163442609283E-2</v>
      </c>
      <c r="AS37" s="27">
        <f t="shared" si="25"/>
        <v>0.10997397268574369</v>
      </c>
      <c r="AT37" s="89">
        <f t="shared" si="26"/>
        <v>8.8035351552294833E-2</v>
      </c>
    </row>
    <row r="38" spans="1:46">
      <c r="A38" s="80">
        <v>34</v>
      </c>
      <c r="C38" s="10">
        <f t="shared" si="27"/>
        <v>76</v>
      </c>
      <c r="D38" s="98" t="str" cm="1">
        <f t="array" ref="D38">_xlfn.IFS(C38&lt;=4,"1-4",C38&lt;=9,"5-9",C38&lt;=14,"10-14",C38&lt;=19,"15-19",C38&lt;=24,"20-24",C38&lt;=29,"25-29",C38&lt;=34,"30-34",C38&lt;=39,"35-39",C38&lt;=44,"40-44",C38&lt;=49,"45-49",C38&lt;=54,"50-54",C38&lt;=54,"50-54",C38&lt;=59,"55-59",C38&lt;=64,"60-64",C38&lt;=69,"65-69",C38&lt;=74,"70-74",C38&lt;=79,"75-79",C38&lt;=84,"80-84",C38&gt;84,"85+")</f>
        <v>75-79</v>
      </c>
      <c r="E38" s="83">
        <f>IF(D38="85+",1,VLOOKUP(D38,'Life table 2014'!$AF$3:$AR$21,7,FALSE))</f>
        <v>4.5413021429770106E-2</v>
      </c>
      <c r="F38" s="72"/>
      <c r="G38" s="316">
        <f t="shared" si="5"/>
        <v>12410</v>
      </c>
      <c r="H38" s="27">
        <f>'Parameters &amp; DSA'!$B$119*G38^'Parameters &amp; DSA'!$B$120</f>
        <v>1.5123433996154885</v>
      </c>
      <c r="I38" s="314">
        <f t="shared" si="31"/>
        <v>4.66351635386274E-2</v>
      </c>
      <c r="J38" s="72"/>
      <c r="K38" s="140">
        <f t="shared" si="37"/>
        <v>3.9098033507902433E-2</v>
      </c>
      <c r="L38" s="141">
        <f t="shared" si="38"/>
        <v>0</v>
      </c>
      <c r="M38" s="141">
        <f t="shared" si="39"/>
        <v>3.2581694589918697E-3</v>
      </c>
      <c r="N38" s="27">
        <f t="shared" si="40"/>
        <v>3.8684881028482547E-2</v>
      </c>
      <c r="O38" s="27">
        <f t="shared" si="41"/>
        <v>0</v>
      </c>
      <c r="P38" s="27">
        <f t="shared" si="42"/>
        <v>6.4474801714137575E-3</v>
      </c>
      <c r="Q38" s="27">
        <f t="shared" si="43"/>
        <v>2.6327284514984398E-2</v>
      </c>
      <c r="R38" s="27">
        <f t="shared" si="44"/>
        <v>0</v>
      </c>
      <c r="S38" s="27">
        <f t="shared" si="45"/>
        <v>8.7757615049947994E-3</v>
      </c>
      <c r="T38" s="27">
        <f t="shared" si="46"/>
        <v>1.3546660998991964E-3</v>
      </c>
      <c r="U38" s="27">
        <f t="shared" si="47"/>
        <v>4.0639982996975889E-3</v>
      </c>
      <c r="V38" s="27">
        <f t="shared" si="48"/>
        <v>5.4186643995967855E-3</v>
      </c>
      <c r="W38" s="27">
        <f t="shared" si="28"/>
        <v>0.13824979718539709</v>
      </c>
      <c r="X38" s="27">
        <f t="shared" si="29"/>
        <v>6.7626806174786881E-3</v>
      </c>
      <c r="Y38" s="142">
        <f t="shared" si="49"/>
        <v>0.72155858321116195</v>
      </c>
      <c r="Z38" s="89">
        <f t="shared" si="30"/>
        <v>1.0000000000000011</v>
      </c>
      <c r="AB38" s="171">
        <f>(IF('Parameters &amp; DSA'!$H$1=1,(('Parameters &amp; DSA'!$B$79+'Parameters &amp; DSA'!$B$85+'Parameters &amp; DSA'!$B$89+'Parameters &amp; DSA'!$B$93)*K38)/(1+cDC)^$A38,(('Parameters &amp; DSA'!$B$79+'Parameters &amp; DSA'!$B$85)*K38)))*($AD$2/$AF$2)</f>
        <v>139.68180219087719</v>
      </c>
      <c r="AC38" s="371">
        <f>(IF('Parameters &amp; DSA'!$H$1=1,(('Parameters &amp; DSA'!$B$79+'Parameters &amp; DSA'!$B$85+'Parameters &amp; DSA'!$B$89+'Parameters &amp; DSA'!$B$93)*($M38+$N38))/(1+cDC)^$A38,(('Parameters &amp; DSA'!$B$79+'Parameters &amp; DSA'!$B$85)*($M38+$N38))))*($AD$2/$AF$2)</f>
        <v>149.84592205357924</v>
      </c>
      <c r="AD38" s="371">
        <f>(IF('Parameters &amp; DSA'!$H$1=1,(('Parameters &amp; DSA'!$B$79+'Parameters &amp; DSA'!$B$85+'Parameters &amp; DSA'!$B$89+'Parameters &amp; DSA'!$B$93)*(P38+Q38))/(1+cDC)^$A38,(('Parameters &amp; DSA'!$B$79+'Parameters &amp; DSA'!$B$85)*(P38+Q38))))*($AD$2/$AF$2)</f>
        <v>117.09126488043727</v>
      </c>
      <c r="AE38" s="371">
        <f>(IF('Parameters &amp; DSA'!$H$1=1,(('Parameters &amp; DSA'!$B$79+'Parameters &amp; DSA'!$B$85+'Parameters &amp; DSA'!$B$89+'Parameters &amp; DSA'!$B$93)*(S38+T38))/(1+cDC)^$A38,(('Parameters &amp; DSA'!$B$79+'Parameters &amp; DSA'!$B$85)*(S38+T38))))*($AD$2/$AF$2)</f>
        <v>36.192009107818684</v>
      </c>
      <c r="AF38" s="371">
        <f>(IF('Parameters &amp; DSA'!$H$1=1,(((W38-W37)*cM_Dialysis0)+(W38*cM_Dialysis1))/(1+'Parameters &amp; DSA'!$B$6)^$A38,(((W38-W37)*cM_Dialysis0)+(W38*cM_Dialysis1))))*($AD$2/$AG$2)</f>
        <v>30322.187127876114</v>
      </c>
      <c r="AG38" s="172">
        <f t="shared" si="19"/>
        <v>30764.998126108825</v>
      </c>
      <c r="AI38" s="88">
        <f t="shared" si="32"/>
        <v>1.4311635755534487E-2</v>
      </c>
      <c r="AJ38" s="27">
        <f t="shared" si="20"/>
        <v>1.3122772466812963E-2</v>
      </c>
      <c r="AK38" s="27">
        <f t="shared" si="33"/>
        <v>1.5353039710588021E-2</v>
      </c>
      <c r="AL38" s="27">
        <f t="shared" si="21"/>
        <v>1.4040511416337794E-2</v>
      </c>
      <c r="AM38" s="27">
        <f t="shared" si="34"/>
        <v>1.1997035453721201E-2</v>
      </c>
      <c r="AN38" s="27">
        <f t="shared" si="22"/>
        <v>1.0898786038367018E-2</v>
      </c>
      <c r="AO38" s="27">
        <f t="shared" si="35"/>
        <v>3.7081913569834853E-3</v>
      </c>
      <c r="AP38" s="27">
        <f t="shared" si="23"/>
        <v>3.2113663956982951E-3</v>
      </c>
      <c r="AQ38" s="27">
        <f t="shared" si="36"/>
        <v>5.2589107617058276E-2</v>
      </c>
      <c r="AR38" s="27">
        <f t="shared" si="24"/>
        <v>3.6812375331940789E-2</v>
      </c>
      <c r="AS38" s="27">
        <f t="shared" si="25"/>
        <v>9.7959009893885479E-2</v>
      </c>
      <c r="AT38" s="89">
        <f t="shared" si="26"/>
        <v>7.8085811649156858E-2</v>
      </c>
    </row>
    <row r="39" spans="1:46">
      <c r="A39" s="80">
        <v>35</v>
      </c>
      <c r="C39" s="10">
        <f t="shared" si="27"/>
        <v>77</v>
      </c>
      <c r="D39" s="98" t="str" cm="1">
        <f t="array" ref="D39">_xlfn.IFS(C39&lt;=4,"1-4",C39&lt;=9,"5-9",C39&lt;=14,"10-14",C39&lt;=19,"15-19",C39&lt;=24,"20-24",C39&lt;=29,"25-29",C39&lt;=34,"30-34",C39&lt;=39,"35-39",C39&lt;=44,"40-44",C39&lt;=49,"45-49",C39&lt;=54,"50-54",C39&lt;=54,"50-54",C39&lt;=59,"55-59",C39&lt;=64,"60-64",C39&lt;=69,"65-69",C39&lt;=74,"70-74",C39&lt;=79,"75-79",C39&lt;=84,"80-84",C39&gt;84,"85+")</f>
        <v>75-79</v>
      </c>
      <c r="E39" s="83">
        <f>IF(D39="85+",1,VLOOKUP(D39,'Life table 2014'!$AF$3:$AR$21,7,FALSE))</f>
        <v>4.5413021429770106E-2</v>
      </c>
      <c r="F39" s="72"/>
      <c r="G39" s="316">
        <f t="shared" si="5"/>
        <v>12775</v>
      </c>
      <c r="H39" s="27">
        <f>'Parameters &amp; DSA'!$B$119*G39^'Parameters &amp; DSA'!$B$120</f>
        <v>1.5602063075054746</v>
      </c>
      <c r="I39" s="314">
        <f t="shared" si="31"/>
        <v>4.6735536843374281E-2</v>
      </c>
      <c r="J39" s="72"/>
      <c r="K39" s="140">
        <f t="shared" si="37"/>
        <v>3.4451514160934948E-2</v>
      </c>
      <c r="L39" s="141">
        <f t="shared" si="38"/>
        <v>0</v>
      </c>
      <c r="M39" s="141">
        <f t="shared" si="39"/>
        <v>2.8709595134112456E-3</v>
      </c>
      <c r="N39" s="27">
        <f t="shared" si="40"/>
        <v>3.4318534145877266E-2</v>
      </c>
      <c r="O39" s="27">
        <f t="shared" si="41"/>
        <v>0</v>
      </c>
      <c r="P39" s="27">
        <f t="shared" si="42"/>
        <v>5.7197556909795444E-3</v>
      </c>
      <c r="Q39" s="27">
        <f t="shared" si="43"/>
        <v>2.3464772696504314E-2</v>
      </c>
      <c r="R39" s="27">
        <f t="shared" si="44"/>
        <v>0</v>
      </c>
      <c r="S39" s="27">
        <f t="shared" si="45"/>
        <v>7.821590898834772E-3</v>
      </c>
      <c r="T39" s="27">
        <f t="shared" si="46"/>
        <v>1.2087967848725262E-3</v>
      </c>
      <c r="U39" s="27">
        <f t="shared" si="47"/>
        <v>3.6263903546175785E-3</v>
      </c>
      <c r="V39" s="27">
        <f t="shared" si="48"/>
        <v>4.8351871394901047E-3</v>
      </c>
      <c r="W39" s="27">
        <f t="shared" si="28"/>
        <v>0.13073454220165492</v>
      </c>
      <c r="X39" s="27">
        <f t="shared" si="29"/>
        <v>6.4095004585975231E-3</v>
      </c>
      <c r="Y39" s="142">
        <f t="shared" si="49"/>
        <v>0.74453845595422641</v>
      </c>
      <c r="Z39" s="89">
        <f t="shared" si="30"/>
        <v>1.0000000000000011</v>
      </c>
      <c r="AB39" s="171">
        <f>(IF('Parameters &amp; DSA'!$H$1=1,(('Parameters &amp; DSA'!$B$79+'Parameters &amp; DSA'!$B$85+'Parameters &amp; DSA'!$B$89+'Parameters &amp; DSA'!$B$93)*K39)/(1+cDC)^$A39,(('Parameters &amp; DSA'!$B$79+'Parameters &amp; DSA'!$B$85)*K39)))*($AD$2/$AF$2)</f>
        <v>119.49672547988109</v>
      </c>
      <c r="AC39" s="371">
        <f>(IF('Parameters &amp; DSA'!$H$1=1,(('Parameters &amp; DSA'!$B$79+'Parameters &amp; DSA'!$B$85+'Parameters &amp; DSA'!$B$89+'Parameters &amp; DSA'!$B$93)*($M39+$N39))/(1+cDC)^$A39,(('Parameters &amp; DSA'!$B$79+'Parameters &amp; DSA'!$B$85)*($M39+$N39))))*($AD$2/$AF$2)</f>
        <v>128.99353839080072</v>
      </c>
      <c r="AD39" s="371">
        <f>(IF('Parameters &amp; DSA'!$H$1=1,(('Parameters &amp; DSA'!$B$79+'Parameters &amp; DSA'!$B$85+'Parameters &amp; DSA'!$B$89+'Parameters &amp; DSA'!$B$93)*(P39+Q39))/(1+cDC)^$A39,(('Parameters &amp; DSA'!$B$79+'Parameters &amp; DSA'!$B$85)*(P39+Q39))))*($AD$2/$AF$2)</f>
        <v>101.22793328292752</v>
      </c>
      <c r="AE39" s="371">
        <f>(IF('Parameters &amp; DSA'!$H$1=1,(('Parameters &amp; DSA'!$B$79+'Parameters &amp; DSA'!$B$85+'Parameters &amp; DSA'!$B$89+'Parameters &amp; DSA'!$B$93)*(S39+T39))/(1+cDC)^$A39,(('Parameters &amp; DSA'!$B$79+'Parameters &amp; DSA'!$B$85)*(S39+T39))))*($AD$2/$AF$2)</f>
        <v>31.322331813226331</v>
      </c>
      <c r="AF39" s="371">
        <f>(IF('Parameters &amp; DSA'!$H$1=1,(((W39-W38)*cM_Dialysis0)+(W39*cM_Dialysis1))/(1+'Parameters &amp; DSA'!$B$6)^$A39,(((W39-W38)*cM_Dialysis0)+(W39*cM_Dialysis1))))*($AD$2/$AG$2)</f>
        <v>27758.207474948311</v>
      </c>
      <c r="AG39" s="172">
        <f t="shared" si="19"/>
        <v>28139.248003915145</v>
      </c>
      <c r="AI39" s="88">
        <f t="shared" si="32"/>
        <v>1.2243496162156834E-2</v>
      </c>
      <c r="AJ39" s="27">
        <f t="shared" si="20"/>
        <v>1.1226432609015315E-2</v>
      </c>
      <c r="AK39" s="27">
        <f t="shared" si="33"/>
        <v>1.3216528619411428E-2</v>
      </c>
      <c r="AL39" s="27">
        <f t="shared" si="21"/>
        <v>1.2086650231043669E-2</v>
      </c>
      <c r="AM39" s="27">
        <f t="shared" si="34"/>
        <v>1.0371696861779349E-2</v>
      </c>
      <c r="AN39" s="27">
        <f t="shared" si="22"/>
        <v>9.4222364672827373E-3</v>
      </c>
      <c r="AO39" s="27">
        <f t="shared" si="35"/>
        <v>3.2092498585629126E-3</v>
      </c>
      <c r="AP39" s="27">
        <f t="shared" si="23"/>
        <v>2.77927327881271E-3</v>
      </c>
      <c r="AQ39" s="27">
        <f t="shared" si="36"/>
        <v>4.817923105321955E-2</v>
      </c>
      <c r="AR39" s="27">
        <f t="shared" si="24"/>
        <v>3.372546173725368E-2</v>
      </c>
      <c r="AS39" s="27">
        <f t="shared" si="25"/>
        <v>8.7220202555130077E-2</v>
      </c>
      <c r="AT39" s="89">
        <f t="shared" si="26"/>
        <v>6.9240054323408101E-2</v>
      </c>
    </row>
    <row r="40" spans="1:46">
      <c r="A40" s="80">
        <v>36</v>
      </c>
      <c r="C40" s="10">
        <f t="shared" si="27"/>
        <v>78</v>
      </c>
      <c r="D40" s="98" t="str" cm="1">
        <f t="array" ref="D40">_xlfn.IFS(C40&lt;=4,"1-4",C40&lt;=9,"5-9",C40&lt;=14,"10-14",C40&lt;=19,"15-19",C40&lt;=24,"20-24",C40&lt;=29,"25-29",C40&lt;=34,"30-34",C40&lt;=39,"35-39",C40&lt;=44,"40-44",C40&lt;=49,"45-49",C40&lt;=54,"50-54",C40&lt;=54,"50-54",C40&lt;=59,"55-59",C40&lt;=64,"60-64",C40&lt;=69,"65-69",C40&lt;=74,"70-74",C40&lt;=79,"75-79",C40&lt;=84,"80-84",C40&gt;84,"85+")</f>
        <v>75-79</v>
      </c>
      <c r="E40" s="83">
        <f>IF(D40="85+",1,VLOOKUP(D40,'Life table 2014'!$AF$3:$AR$21,7,FALSE))</f>
        <v>4.5413021429770106E-2</v>
      </c>
      <c r="F40" s="72"/>
      <c r="G40" s="316">
        <f t="shared" si="5"/>
        <v>13140</v>
      </c>
      <c r="H40" s="27">
        <f>'Parameters &amp; DSA'!$B$119*G40^'Parameters &amp; DSA'!$B$120</f>
        <v>1.6081717173564076</v>
      </c>
      <c r="I40" s="314">
        <f t="shared" si="31"/>
        <v>4.683324331251093E-2</v>
      </c>
      <c r="J40" s="72"/>
      <c r="K40" s="140">
        <f t="shared" si="37"/>
        <v>3.0357200132359735E-2</v>
      </c>
      <c r="L40" s="141">
        <f t="shared" si="38"/>
        <v>0</v>
      </c>
      <c r="M40" s="141">
        <f t="shared" si="39"/>
        <v>2.5297666776966446E-3</v>
      </c>
      <c r="N40" s="27">
        <f t="shared" si="40"/>
        <v>3.0429091188665953E-2</v>
      </c>
      <c r="O40" s="27">
        <f t="shared" si="41"/>
        <v>0</v>
      </c>
      <c r="P40" s="27">
        <f t="shared" si="42"/>
        <v>5.0715151981109916E-3</v>
      </c>
      <c r="Q40" s="27">
        <f t="shared" si="43"/>
        <v>2.089437808080399E-2</v>
      </c>
      <c r="R40" s="27">
        <f t="shared" si="44"/>
        <v>0</v>
      </c>
      <c r="S40" s="27">
        <f t="shared" si="45"/>
        <v>6.96479269360133E-3</v>
      </c>
      <c r="T40" s="27">
        <f t="shared" si="46"/>
        <v>1.0775363117884959E-3</v>
      </c>
      <c r="U40" s="27">
        <f t="shared" si="47"/>
        <v>3.2326089353654879E-3</v>
      </c>
      <c r="V40" s="27">
        <f t="shared" si="48"/>
        <v>4.3101452471539835E-3</v>
      </c>
      <c r="W40" s="27">
        <f t="shared" si="28"/>
        <v>0.12335226319602526</v>
      </c>
      <c r="X40" s="27">
        <f t="shared" si="29"/>
        <v>6.060835121322234E-3</v>
      </c>
      <c r="Y40" s="142">
        <f t="shared" si="49"/>
        <v>0.76571986721710705</v>
      </c>
      <c r="Z40" s="89">
        <f t="shared" si="30"/>
        <v>1.0000000000000011</v>
      </c>
      <c r="AB40" s="171">
        <f>(IF('Parameters &amp; DSA'!$H$1=1,(('Parameters &amp; DSA'!$B$79+'Parameters &amp; DSA'!$B$85+'Parameters &amp; DSA'!$B$89+'Parameters &amp; DSA'!$B$93)*K40)/(1+cDC)^$A40,(('Parameters &amp; DSA'!$B$79+'Parameters &amp; DSA'!$B$85)*K40)))*($AD$2/$AF$2)</f>
        <v>102.22854499615464</v>
      </c>
      <c r="AC40" s="371">
        <f>(IF('Parameters &amp; DSA'!$H$1=1,(('Parameters &amp; DSA'!$B$79+'Parameters &amp; DSA'!$B$85+'Parameters &amp; DSA'!$B$89+'Parameters &amp; DSA'!$B$93)*($M40+$N40))/(1+cDC)^$A40,(('Parameters &amp; DSA'!$B$79+'Parameters &amp; DSA'!$B$85)*($M40+$N40))))*($AD$2/$AF$2)</f>
        <v>110.98968513969498</v>
      </c>
      <c r="AD40" s="371">
        <f>(IF('Parameters &amp; DSA'!$H$1=1,(('Parameters &amp; DSA'!$B$79+'Parameters &amp; DSA'!$B$85+'Parameters &amp; DSA'!$B$89+'Parameters &amp; DSA'!$B$93)*(P40+Q40))/(1+cDC)^$A40,(('Parameters &amp; DSA'!$B$79+'Parameters &amp; DSA'!$B$85)*(P40+Q40))))*($AD$2/$AF$2)</f>
        <v>87.440721735050616</v>
      </c>
      <c r="AE40" s="371">
        <f>(IF('Parameters &amp; DSA'!$H$1=1,(('Parameters &amp; DSA'!$B$79+'Parameters &amp; DSA'!$B$85+'Parameters &amp; DSA'!$B$89+'Parameters &amp; DSA'!$B$93)*(S40+T40))/(1+cDC)^$A40,(('Parameters &amp; DSA'!$B$79+'Parameters &amp; DSA'!$B$85)*(S40+T40))))*($AD$2/$AF$2)</f>
        <v>27.082721364839696</v>
      </c>
      <c r="AF40" s="371">
        <f>(IF('Parameters &amp; DSA'!$H$1=1,(((W40-W39)*cM_Dialysis0)+(W40*cM_Dialysis1))/(1+'Parameters &amp; DSA'!$B$6)^$A40,(((W40-W39)*cM_Dialysis0)+(W40*cM_Dialysis1))))*($AD$2/$AG$2)</f>
        <v>25359.427017011763</v>
      </c>
      <c r="AG40" s="172">
        <f t="shared" si="19"/>
        <v>25687.168690247505</v>
      </c>
      <c r="AI40" s="88">
        <f t="shared" si="32"/>
        <v>1.0474218379599252E-2</v>
      </c>
      <c r="AJ40" s="27">
        <f t="shared" si="20"/>
        <v>9.6041282010714563E-3</v>
      </c>
      <c r="AK40" s="27">
        <f t="shared" si="33"/>
        <v>1.1371874656729746E-2</v>
      </c>
      <c r="AL40" s="27">
        <f t="shared" si="21"/>
        <v>1.0399695366700852E-2</v>
      </c>
      <c r="AM40" s="27">
        <f t="shared" si="34"/>
        <v>8.9590751267871593E-3</v>
      </c>
      <c r="AN40" s="27">
        <f t="shared" si="22"/>
        <v>8.1389309288256318E-3</v>
      </c>
      <c r="AO40" s="27">
        <f t="shared" si="35"/>
        <v>2.7748642798333836E-3</v>
      </c>
      <c r="AP40" s="27">
        <f t="shared" si="23"/>
        <v>2.4030868536755951E-3</v>
      </c>
      <c r="AQ40" s="27">
        <f t="shared" si="36"/>
        <v>4.4047670373727379E-2</v>
      </c>
      <c r="AR40" s="27">
        <f t="shared" si="24"/>
        <v>3.0833369261609164E-2</v>
      </c>
      <c r="AS40" s="27">
        <f t="shared" si="25"/>
        <v>7.7627702816676913E-2</v>
      </c>
      <c r="AT40" s="89">
        <f t="shared" si="26"/>
        <v>6.1379210611882701E-2</v>
      </c>
    </row>
    <row r="41" spans="1:46">
      <c r="A41" s="80">
        <v>37</v>
      </c>
      <c r="C41" s="10">
        <f t="shared" si="27"/>
        <v>79</v>
      </c>
      <c r="D41" s="98" t="str" cm="1">
        <f t="array" ref="D41">_xlfn.IFS(C41&lt;=4,"1-4",C41&lt;=9,"5-9",C41&lt;=14,"10-14",C41&lt;=19,"15-19",C41&lt;=24,"20-24",C41&lt;=29,"25-29",C41&lt;=34,"30-34",C41&lt;=39,"35-39",C41&lt;=44,"40-44",C41&lt;=49,"45-49",C41&lt;=54,"50-54",C41&lt;=54,"50-54",C41&lt;=59,"55-59",C41&lt;=64,"60-64",C41&lt;=69,"65-69",C41&lt;=74,"70-74",C41&lt;=79,"75-79",C41&lt;=84,"80-84",C41&gt;84,"85+")</f>
        <v>75-79</v>
      </c>
      <c r="E41" s="83">
        <f>IF(D41="85+",1,VLOOKUP(D41,'Life table 2014'!$AF$3:$AR$21,7,FALSE))</f>
        <v>4.5413021429770106E-2</v>
      </c>
      <c r="F41" s="72"/>
      <c r="G41" s="316">
        <f t="shared" si="5"/>
        <v>13505</v>
      </c>
      <c r="H41" s="27">
        <f>'Parameters &amp; DSA'!$B$119*G41^'Parameters &amp; DSA'!$B$120</f>
        <v>1.6562369916235906</v>
      </c>
      <c r="I41" s="314">
        <f t="shared" si="31"/>
        <v>4.6928426001495382E-2</v>
      </c>
      <c r="J41" s="72"/>
      <c r="K41" s="140">
        <f t="shared" si="37"/>
        <v>2.674946580203175E-2</v>
      </c>
      <c r="L41" s="141">
        <f t="shared" si="38"/>
        <v>0</v>
      </c>
      <c r="M41" s="141">
        <f t="shared" si="39"/>
        <v>2.2291221501693124E-3</v>
      </c>
      <c r="N41" s="27">
        <f t="shared" si="40"/>
        <v>2.696751132666577E-2</v>
      </c>
      <c r="O41" s="27">
        <f t="shared" si="41"/>
        <v>0</v>
      </c>
      <c r="P41" s="27">
        <f t="shared" si="42"/>
        <v>4.4945852211109609E-3</v>
      </c>
      <c r="Q41" s="27">
        <f t="shared" si="43"/>
        <v>1.8590027708247369E-2</v>
      </c>
      <c r="R41" s="27">
        <f t="shared" si="44"/>
        <v>0</v>
      </c>
      <c r="S41" s="27">
        <f t="shared" si="45"/>
        <v>6.1966759027491233E-3</v>
      </c>
      <c r="T41" s="27">
        <f t="shared" si="46"/>
        <v>9.5963781824034955E-4</v>
      </c>
      <c r="U41" s="27">
        <f t="shared" si="47"/>
        <v>2.8789134547210484E-3</v>
      </c>
      <c r="V41" s="27">
        <f t="shared" si="48"/>
        <v>3.8385512729613982E-3</v>
      </c>
      <c r="W41" s="27">
        <f t="shared" si="28"/>
        <v>0.11614594608961291</v>
      </c>
      <c r="X41" s="27">
        <f t="shared" si="29"/>
        <v>5.7189266631601622E-3</v>
      </c>
      <c r="Y41" s="142">
        <f t="shared" si="49"/>
        <v>0.78523063659033099</v>
      </c>
      <c r="Z41" s="89">
        <f t="shared" si="30"/>
        <v>1.0000000000000011</v>
      </c>
      <c r="AB41" s="171">
        <f>(IF('Parameters &amp; DSA'!$H$1=1,(('Parameters &amp; DSA'!$B$79+'Parameters &amp; DSA'!$B$85+'Parameters &amp; DSA'!$B$89+'Parameters &amp; DSA'!$B$93)*K41)/(1+cDC)^$A41,(('Parameters &amp; DSA'!$B$79+'Parameters &amp; DSA'!$B$85)*K41)))*($AD$2/$AF$2)</f>
        <v>87.455747176857415</v>
      </c>
      <c r="AC41" s="371">
        <f>(IF('Parameters &amp; DSA'!$H$1=1,(('Parameters &amp; DSA'!$B$79+'Parameters &amp; DSA'!$B$85+'Parameters &amp; DSA'!$B$89+'Parameters &amp; DSA'!$B$93)*($M41+$N41))/(1+cDC)^$A41,(('Parameters &amp; DSA'!$B$79+'Parameters &amp; DSA'!$B$85)*($M41+$N41))))*($AD$2/$AF$2)</f>
        <v>95.456612653981168</v>
      </c>
      <c r="AD41" s="371">
        <f>(IF('Parameters &amp; DSA'!$H$1=1,(('Parameters &amp; DSA'!$B$79+'Parameters &amp; DSA'!$B$85+'Parameters &amp; DSA'!$B$89+'Parameters &amp; DSA'!$B$93)*(P41+Q41))/(1+cDC)^$A41,(('Parameters &amp; DSA'!$B$79+'Parameters &amp; DSA'!$B$85)*(P41+Q41))))*($AD$2/$AF$2)</f>
        <v>75.473734203403509</v>
      </c>
      <c r="AE41" s="371">
        <f>(IF('Parameters &amp; DSA'!$H$1=1,(('Parameters &amp; DSA'!$B$79+'Parameters &amp; DSA'!$B$85+'Parameters &amp; DSA'!$B$89+'Parameters &amp; DSA'!$B$93)*(S41+T41))/(1+cDC)^$A41,(('Parameters &amp; DSA'!$B$79+'Parameters &amp; DSA'!$B$85)*(S41+T41))))*($AD$2/$AF$2)</f>
        <v>23.397131297238616</v>
      </c>
      <c r="AF41" s="371">
        <f>(IF('Parameters &amp; DSA'!$H$1=1,(((W41-W40)*cM_Dialysis0)+(W41*cM_Dialysis1))/(1+'Parameters &amp; DSA'!$B$6)^$A41,(((W41-W40)*cM_Dialysis0)+(W41*cM_Dialysis1))))*($AD$2/$AG$2)</f>
        <v>23124.168846547233</v>
      </c>
      <c r="AG41" s="172">
        <f t="shared" si="19"/>
        <v>23405.952071878713</v>
      </c>
      <c r="AI41" s="88">
        <f t="shared" si="32"/>
        <v>8.9606146161610948E-3</v>
      </c>
      <c r="AJ41" s="27">
        <f t="shared" si="20"/>
        <v>8.2162590481809766E-3</v>
      </c>
      <c r="AK41" s="27">
        <f t="shared" si="33"/>
        <v>9.7803740310715079E-3</v>
      </c>
      <c r="AL41" s="27">
        <f t="shared" si="21"/>
        <v>8.9442518112300105E-3</v>
      </c>
      <c r="AM41" s="27">
        <f t="shared" si="34"/>
        <v>7.732951437389759E-3</v>
      </c>
      <c r="AN41" s="27">
        <f t="shared" si="22"/>
        <v>7.0250507707762125E-3</v>
      </c>
      <c r="AO41" s="27">
        <f t="shared" si="35"/>
        <v>2.3972429879800389E-3</v>
      </c>
      <c r="AP41" s="27">
        <f t="shared" si="23"/>
        <v>2.0760594135532779E-3</v>
      </c>
      <c r="AQ41" s="27">
        <f t="shared" si="36"/>
        <v>4.0192759314773459E-2</v>
      </c>
      <c r="AR41" s="27">
        <f t="shared" si="24"/>
        <v>2.8134931520341418E-2</v>
      </c>
      <c r="AS41" s="27">
        <f t="shared" si="25"/>
        <v>6.9063942387375857E-2</v>
      </c>
      <c r="AT41" s="89">
        <f t="shared" si="26"/>
        <v>5.4396552564081893E-2</v>
      </c>
    </row>
    <row r="42" spans="1:46">
      <c r="A42" s="80">
        <v>38</v>
      </c>
      <c r="C42" s="10">
        <f t="shared" si="27"/>
        <v>80</v>
      </c>
      <c r="D42" s="98" t="str" cm="1">
        <f t="array" ref="D42">_xlfn.IFS(C42&lt;=4,"1-4",C42&lt;=9,"5-9",C42&lt;=14,"10-14",C42&lt;=19,"15-19",C42&lt;=24,"20-24",C42&lt;=29,"25-29",C42&lt;=34,"30-34",C42&lt;=39,"35-39",C42&lt;=44,"40-44",C42&lt;=49,"45-49",C42&lt;=54,"50-54",C42&lt;=54,"50-54",C42&lt;=59,"55-59",C42&lt;=64,"60-64",C42&lt;=69,"65-69",C42&lt;=74,"70-74",C42&lt;=79,"75-79",C42&lt;=84,"80-84",C42&gt;84,"85+")</f>
        <v>80-84</v>
      </c>
      <c r="E42" s="83">
        <f>IF(D42="85+",1,VLOOKUP(D42,'Life table 2014'!$AF$3:$AR$21,7,FALSE))</f>
        <v>7.0484562672628037E-2</v>
      </c>
      <c r="F42" s="72"/>
      <c r="G42" s="316">
        <f t="shared" si="5"/>
        <v>13870</v>
      </c>
      <c r="H42" s="27">
        <f>'Parameters &amp; DSA'!$B$119*G42^'Parameters &amp; DSA'!$B$120</f>
        <v>1.7043996301867963</v>
      </c>
      <c r="I42" s="314">
        <f t="shared" si="31"/>
        <v>4.7021216627036733E-2</v>
      </c>
      <c r="J42" s="72"/>
      <c r="K42" s="140">
        <f t="shared" si="37"/>
        <v>2.2951422833768421E-2</v>
      </c>
      <c r="L42" s="141">
        <f t="shared" si="38"/>
        <v>0</v>
      </c>
      <c r="M42" s="141">
        <f t="shared" si="39"/>
        <v>1.9126185694807018E-3</v>
      </c>
      <c r="N42" s="27">
        <f t="shared" si="40"/>
        <v>2.3261761315463442E-2</v>
      </c>
      <c r="O42" s="27">
        <f t="shared" si="41"/>
        <v>0</v>
      </c>
      <c r="P42" s="27">
        <f t="shared" si="42"/>
        <v>3.8769602192439069E-3</v>
      </c>
      <c r="Q42" s="27">
        <f t="shared" si="43"/>
        <v>1.609312806192421E-2</v>
      </c>
      <c r="R42" s="27">
        <f t="shared" si="44"/>
        <v>0</v>
      </c>
      <c r="S42" s="27">
        <f t="shared" si="45"/>
        <v>5.3643760206414032E-3</v>
      </c>
      <c r="T42" s="27">
        <f t="shared" si="46"/>
        <v>8.3148800975217532E-4</v>
      </c>
      <c r="U42" s="27">
        <f t="shared" si="47"/>
        <v>2.4944640292565261E-3</v>
      </c>
      <c r="V42" s="27">
        <f t="shared" si="48"/>
        <v>3.3259520390087013E-3</v>
      </c>
      <c r="W42" s="27">
        <f t="shared" si="28"/>
        <v>0.10628328650301699</v>
      </c>
      <c r="X42" s="27">
        <f t="shared" si="29"/>
        <v>5.2441560354611737E-3</v>
      </c>
      <c r="Y42" s="142">
        <f t="shared" si="49"/>
        <v>0.80836038636298346</v>
      </c>
      <c r="Z42" s="89">
        <f t="shared" si="30"/>
        <v>1.0000000000000011</v>
      </c>
      <c r="AB42" s="171">
        <f>(IF('Parameters &amp; DSA'!$H$1=1,(('Parameters &amp; DSA'!$B$79+'Parameters &amp; DSA'!$B$85+'Parameters &amp; DSA'!$B$89+'Parameters &amp; DSA'!$B$93)*K42)/(1+cDC)^$A42,(('Parameters &amp; DSA'!$B$79+'Parameters &amp; DSA'!$B$85)*K42)))*($AD$2/$AF$2)</f>
        <v>72.852696415732979</v>
      </c>
      <c r="AC42" s="371">
        <f>(IF('Parameters &amp; DSA'!$H$1=1,(('Parameters &amp; DSA'!$B$79+'Parameters &amp; DSA'!$B$85+'Parameters &amp; DSA'!$B$89+'Parameters &amp; DSA'!$B$93)*($M42+$N42))/(1+cDC)^$A42,(('Parameters &amp; DSA'!$B$79+'Parameters &amp; DSA'!$B$85)*($M42+$N42))))*($AD$2/$AF$2)</f>
        <v>79.908834780986851</v>
      </c>
      <c r="AD42" s="371">
        <f>(IF('Parameters &amp; DSA'!$H$1=1,(('Parameters &amp; DSA'!$B$79+'Parameters &amp; DSA'!$B$85+'Parameters &amp; DSA'!$B$89+'Parameters &amp; DSA'!$B$93)*(P42+Q42))/(1+cDC)^$A42,(('Parameters &amp; DSA'!$B$79+'Parameters &amp; DSA'!$B$85)*(P42+Q42))))*($AD$2/$AF$2)</f>
        <v>63.389306601191208</v>
      </c>
      <c r="AE42" s="371">
        <f>(IF('Parameters &amp; DSA'!$H$1=1,(('Parameters &amp; DSA'!$B$79+'Parameters &amp; DSA'!$B$85+'Parameters &amp; DSA'!$B$89+'Parameters &amp; DSA'!$B$93)*(S42+T42))/(1+cDC)^$A42,(('Parameters &amp; DSA'!$B$79+'Parameters &amp; DSA'!$B$85)*(S42+T42))))*($AD$2/$AF$2)</f>
        <v>19.666989907714996</v>
      </c>
      <c r="AF42" s="371">
        <f>(IF('Parameters &amp; DSA'!$H$1=1,(((W42-W41)*cM_Dialysis0)+(W42*cM_Dialysis1))/(1+'Parameters &amp; DSA'!$B$6)^$A42,(((W42-W41)*cM_Dialysis0)+(W42*cM_Dialysis1))))*($AD$2/$AG$2)</f>
        <v>19820.028333348171</v>
      </c>
      <c r="AG42" s="172">
        <f t="shared" si="19"/>
        <v>20055.846161053796</v>
      </c>
      <c r="AI42" s="88">
        <f t="shared" si="32"/>
        <v>7.464402939802558E-3</v>
      </c>
      <c r="AJ42" s="27">
        <f t="shared" si="20"/>
        <v>6.8443372269140412E-3</v>
      </c>
      <c r="AK42" s="27">
        <f t="shared" si="33"/>
        <v>8.1873667084556082E-3</v>
      </c>
      <c r="AL42" s="27">
        <f t="shared" si="21"/>
        <v>7.4874303660230805E-3</v>
      </c>
      <c r="AM42" s="27">
        <f t="shared" si="34"/>
        <v>6.49479497431196E-3</v>
      </c>
      <c r="AN42" s="27">
        <f t="shared" si="22"/>
        <v>5.9002393600605298E-3</v>
      </c>
      <c r="AO42" s="27">
        <f t="shared" si="35"/>
        <v>2.0150570192555323E-3</v>
      </c>
      <c r="AP42" s="27">
        <f t="shared" si="23"/>
        <v>1.7450788737928683E-3</v>
      </c>
      <c r="AQ42" s="27">
        <f t="shared" si="36"/>
        <v>3.5647790915988305E-2</v>
      </c>
      <c r="AR42" s="27">
        <f t="shared" si="24"/>
        <v>2.4953453641191812E-2</v>
      </c>
      <c r="AS42" s="27">
        <f t="shared" si="25"/>
        <v>5.9809412557813961E-2</v>
      </c>
      <c r="AT42" s="89">
        <f t="shared" si="26"/>
        <v>4.6930539467982327E-2</v>
      </c>
    </row>
    <row r="43" spans="1:46">
      <c r="A43" s="80">
        <v>39</v>
      </c>
      <c r="C43" s="10">
        <f t="shared" si="27"/>
        <v>81</v>
      </c>
      <c r="D43" s="98" t="str" cm="1">
        <f t="array" ref="D43">_xlfn.IFS(C43&lt;=4,"1-4",C43&lt;=9,"5-9",C43&lt;=14,"10-14",C43&lt;=19,"15-19",C43&lt;=24,"20-24",C43&lt;=29,"25-29",C43&lt;=34,"30-34",C43&lt;=39,"35-39",C43&lt;=44,"40-44",C43&lt;=49,"45-49",C43&lt;=54,"50-54",C43&lt;=54,"50-54",C43&lt;=59,"55-59",C43&lt;=64,"60-64",C43&lt;=69,"65-69",C43&lt;=74,"70-74",C43&lt;=79,"75-79",C43&lt;=84,"80-84",C43&gt;84,"85+")</f>
        <v>80-84</v>
      </c>
      <c r="E43" s="83">
        <f>IF(D43="85+",1,VLOOKUP(D43,'Life table 2014'!$AF$3:$AR$21,7,FALSE))</f>
        <v>7.0484562672628037E-2</v>
      </c>
      <c r="F43" s="72"/>
      <c r="G43" s="316">
        <f t="shared" si="5"/>
        <v>14235</v>
      </c>
      <c r="H43" s="27">
        <f>'Parameters &amp; DSA'!$B$119*G43^'Parameters &amp; DSA'!$B$120</f>
        <v>1.7526572597560892</v>
      </c>
      <c r="I43" s="314">
        <f t="shared" si="31"/>
        <v>4.711173674108271E-2</v>
      </c>
      <c r="J43" s="72"/>
      <c r="K43" s="140">
        <f t="shared" si="37"/>
        <v>1.9692647845491403E-2</v>
      </c>
      <c r="L43" s="141">
        <f t="shared" si="38"/>
        <v>0</v>
      </c>
      <c r="M43" s="141">
        <f t="shared" si="39"/>
        <v>1.6410539871242835E-3</v>
      </c>
      <c r="N43" s="27">
        <f t="shared" si="40"/>
        <v>2.005712119559936E-2</v>
      </c>
      <c r="O43" s="27">
        <f t="shared" si="41"/>
        <v>0</v>
      </c>
      <c r="P43" s="27">
        <f t="shared" si="42"/>
        <v>3.3428535325998928E-3</v>
      </c>
      <c r="Q43" s="27">
        <f t="shared" si="43"/>
        <v>1.3921879006602156E-2</v>
      </c>
      <c r="R43" s="27">
        <f t="shared" si="44"/>
        <v>0</v>
      </c>
      <c r="S43" s="27">
        <f t="shared" si="45"/>
        <v>4.6406263355340521E-3</v>
      </c>
      <c r="T43" s="27">
        <f t="shared" si="46"/>
        <v>7.1989390797902756E-4</v>
      </c>
      <c r="U43" s="27">
        <f t="shared" si="47"/>
        <v>2.1596817239370827E-3</v>
      </c>
      <c r="V43" s="27">
        <f t="shared" si="48"/>
        <v>2.8795756319161103E-3</v>
      </c>
      <c r="W43" s="27">
        <f t="shared" si="28"/>
        <v>9.7083571643534247E-2</v>
      </c>
      <c r="X43" s="27">
        <f t="shared" si="29"/>
        <v>4.7999076549770127E-3</v>
      </c>
      <c r="Y43" s="142">
        <f t="shared" si="49"/>
        <v>0.82906118753470648</v>
      </c>
      <c r="Z43" s="89">
        <f t="shared" si="30"/>
        <v>1.0000000000000011</v>
      </c>
      <c r="AB43" s="171">
        <f>(IF('Parameters &amp; DSA'!$H$1=1,(('Parameters &amp; DSA'!$B$79+'Parameters &amp; DSA'!$B$85+'Parameters &amp; DSA'!$B$89+'Parameters &amp; DSA'!$B$93)*K43)/(1+cDC)^$A43,(('Parameters &amp; DSA'!$B$79+'Parameters &amp; DSA'!$B$85)*K43)))*($AD$2/$AF$2)</f>
        <v>60.688011324285249</v>
      </c>
      <c r="AC43" s="371">
        <f>(IF('Parameters &amp; DSA'!$H$1=1,(('Parameters &amp; DSA'!$B$79+'Parameters &amp; DSA'!$B$85+'Parameters &amp; DSA'!$B$89+'Parameters &amp; DSA'!$B$93)*($M43+$N43))/(1+cDC)^$A43,(('Parameters &amp; DSA'!$B$79+'Parameters &amp; DSA'!$B$85)*($M43+$N43))))*($AD$2/$AF$2)</f>
        <v>66.868564935361945</v>
      </c>
      <c r="AD43" s="371">
        <f>(IF('Parameters &amp; DSA'!$H$1=1,(('Parameters &amp; DSA'!$B$79+'Parameters &amp; DSA'!$B$85+'Parameters &amp; DSA'!$B$89+'Parameters &amp; DSA'!$B$93)*(P43+Q43))/(1+cDC)^$A43,(('Parameters &amp; DSA'!$B$79+'Parameters &amp; DSA'!$B$85)*(P43+Q43))))*($AD$2/$AF$2)</f>
        <v>53.205759432179818</v>
      </c>
      <c r="AE43" s="371">
        <f>(IF('Parameters &amp; DSA'!$H$1=1,(('Parameters &amp; DSA'!$B$79+'Parameters &amp; DSA'!$B$85+'Parameters &amp; DSA'!$B$89+'Parameters &amp; DSA'!$B$93)*(S43+T43))/(1+cDC)^$A43,(('Parameters &amp; DSA'!$B$79+'Parameters &amp; DSA'!$B$85)*(S43+T43))))*($AD$2/$AF$2)</f>
        <v>16.519836021790407</v>
      </c>
      <c r="AF43" s="371">
        <f>(IF('Parameters &amp; DSA'!$H$1=1,(((W43-W42)*cM_Dialysis0)+(W43*cM_Dialysis1))/(1+'Parameters &amp; DSA'!$B$6)^$A43,(((W43-W42)*cM_Dialysis0)+(W43*cM_Dialysis1))))*($AD$2/$AG$2)</f>
        <v>17536.087446549805</v>
      </c>
      <c r="AG43" s="172">
        <f t="shared" si="19"/>
        <v>17733.369618263423</v>
      </c>
      <c r="AI43" s="88">
        <f t="shared" si="32"/>
        <v>6.2180233872845062E-3</v>
      </c>
      <c r="AJ43" s="27">
        <f t="shared" si="20"/>
        <v>5.7014940499097982E-3</v>
      </c>
      <c r="AK43" s="27">
        <f t="shared" si="33"/>
        <v>6.8512757556095502E-3</v>
      </c>
      <c r="AL43" s="27">
        <f t="shared" si="21"/>
        <v>6.2655615615176416E-3</v>
      </c>
      <c r="AM43" s="27">
        <f t="shared" si="34"/>
        <v>5.4514005199431991E-3</v>
      </c>
      <c r="AN43" s="27">
        <f t="shared" si="22"/>
        <v>4.9523607815858302E-3</v>
      </c>
      <c r="AO43" s="27">
        <f t="shared" si="35"/>
        <v>1.6926032752780696E-3</v>
      </c>
      <c r="AP43" s="27">
        <f t="shared" si="23"/>
        <v>1.4658276114150038E-3</v>
      </c>
      <c r="AQ43" s="27">
        <f t="shared" si="36"/>
        <v>3.1563718221245901E-2</v>
      </c>
      <c r="AR43" s="27">
        <f t="shared" si="24"/>
        <v>2.2094602754872128E-2</v>
      </c>
      <c r="AS43" s="27">
        <f t="shared" si="25"/>
        <v>5.1777021159361225E-2</v>
      </c>
      <c r="AT43" s="89">
        <f t="shared" si="26"/>
        <v>4.04798467593004E-2</v>
      </c>
    </row>
    <row r="44" spans="1:46">
      <c r="A44" s="80">
        <v>40</v>
      </c>
      <c r="C44" s="10">
        <f t="shared" si="27"/>
        <v>82</v>
      </c>
      <c r="D44" s="98" t="str" cm="1">
        <f t="array" ref="D44">_xlfn.IFS(C44&lt;=4,"1-4",C44&lt;=9,"5-9",C44&lt;=14,"10-14",C44&lt;=19,"15-19",C44&lt;=24,"20-24",C44&lt;=29,"25-29",C44&lt;=34,"30-34",C44&lt;=39,"35-39",C44&lt;=44,"40-44",C44&lt;=49,"45-49",C44&lt;=54,"50-54",C44&lt;=54,"50-54",C44&lt;=59,"55-59",C44&lt;=64,"60-64",C44&lt;=69,"65-69",C44&lt;=74,"70-74",C44&lt;=79,"75-79",C44&lt;=84,"80-84",C44&gt;84,"85+")</f>
        <v>80-84</v>
      </c>
      <c r="E44" s="83">
        <f>IF(D44="85+",1,VLOOKUP(D44,'Life table 2014'!$AF$3:$AR$21,7,FALSE))</f>
        <v>7.0484562672628037E-2</v>
      </c>
      <c r="F44" s="72"/>
      <c r="G44" s="316">
        <f t="shared" si="5"/>
        <v>14600</v>
      </c>
      <c r="H44" s="27">
        <f>'Parameters &amp; DSA'!$B$119*G44^'Parameters &amp; DSA'!$B$120</f>
        <v>1.8010076243455548</v>
      </c>
      <c r="I44" s="314">
        <f t="shared" si="31"/>
        <v>4.7200098756208453E-2</v>
      </c>
      <c r="J44" s="72"/>
      <c r="K44" s="140">
        <f t="shared" si="37"/>
        <v>1.6896572468525418E-2</v>
      </c>
      <c r="L44" s="141">
        <f t="shared" si="38"/>
        <v>0</v>
      </c>
      <c r="M44" s="141">
        <f t="shared" si="39"/>
        <v>1.4080477057104516E-3</v>
      </c>
      <c r="N44" s="27">
        <f t="shared" si="40"/>
        <v>1.7287533252150256E-2</v>
      </c>
      <c r="O44" s="27">
        <f t="shared" si="41"/>
        <v>0</v>
      </c>
      <c r="P44" s="27">
        <f t="shared" si="42"/>
        <v>2.8812555420250426E-3</v>
      </c>
      <c r="Q44" s="27">
        <f t="shared" si="43"/>
        <v>1.2035876562387377E-2</v>
      </c>
      <c r="R44" s="27">
        <f t="shared" si="44"/>
        <v>0</v>
      </c>
      <c r="S44" s="27">
        <f t="shared" si="45"/>
        <v>4.0119588541291254E-3</v>
      </c>
      <c r="T44" s="27">
        <f t="shared" si="46"/>
        <v>6.2283578980641143E-4</v>
      </c>
      <c r="U44" s="27">
        <f t="shared" si="47"/>
        <v>1.8685073694192343E-3</v>
      </c>
      <c r="V44" s="27">
        <f t="shared" si="48"/>
        <v>2.4913431592256457E-3</v>
      </c>
      <c r="W44" s="27">
        <f t="shared" si="28"/>
        <v>8.8531583360341393E-2</v>
      </c>
      <c r="X44" s="27">
        <f t="shared" si="29"/>
        <v>4.3857051960193441E-3</v>
      </c>
      <c r="Y44" s="142">
        <f t="shared" si="49"/>
        <v>0.84757878074026138</v>
      </c>
      <c r="Z44" s="89">
        <f t="shared" si="30"/>
        <v>1.0000000000000011</v>
      </c>
      <c r="AB44" s="171">
        <f>(IF('Parameters &amp; DSA'!$H$1=1,(('Parameters &amp; DSA'!$B$79+'Parameters &amp; DSA'!$B$85+'Parameters &amp; DSA'!$B$89+'Parameters &amp; DSA'!$B$93)*K44)/(1+cDC)^$A44,(('Parameters &amp; DSA'!$B$79+'Parameters &amp; DSA'!$B$85)*K44)))*($AD$2/$AF$2)</f>
        <v>50.554542243424805</v>
      </c>
      <c r="AC44" s="371">
        <f>(IF('Parameters &amp; DSA'!$H$1=1,(('Parameters &amp; DSA'!$B$79+'Parameters &amp; DSA'!$B$85+'Parameters &amp; DSA'!$B$89+'Parameters &amp; DSA'!$B$93)*($M44+$N44))/(1+cDC)^$A44,(('Parameters &amp; DSA'!$B$79+'Parameters &amp; DSA'!$B$85)*($M44+$N44))))*($AD$2/$AF$2)</f>
        <v>55.937175368562855</v>
      </c>
      <c r="AD44" s="371">
        <f>(IF('Parameters &amp; DSA'!$H$1=1,(('Parameters &amp; DSA'!$B$79+'Parameters &amp; DSA'!$B$85+'Parameters &amp; DSA'!$B$89+'Parameters &amp; DSA'!$B$93)*(P44+Q44))/(1+cDC)^$A44,(('Parameters &amp; DSA'!$B$79+'Parameters &amp; DSA'!$B$85)*(P44+Q44))))*($AD$2/$AF$2)</f>
        <v>44.632056976528304</v>
      </c>
      <c r="AE44" s="371">
        <f>(IF('Parameters &amp; DSA'!$H$1=1,(('Parameters &amp; DSA'!$B$79+'Parameters &amp; DSA'!$B$85+'Parameters &amp; DSA'!$B$89+'Parameters &amp; DSA'!$B$93)*(S44+T44))/(1+cDC)^$A44,(('Parameters &amp; DSA'!$B$79+'Parameters &amp; DSA'!$B$85)*(S44+T44))))*($AD$2/$AF$2)</f>
        <v>13.86730486629201</v>
      </c>
      <c r="AF44" s="371">
        <f>(IF('Parameters &amp; DSA'!$H$1=1,(((W44-W43)*cM_Dialysis0)+(W44*cM_Dialysis1))/(1+'Parameters &amp; DSA'!$B$6)^$A44,(((W44-W43)*cM_Dialysis0)+(W44*cM_Dialysis1))))*($AD$2/$AG$2)</f>
        <v>15491.609356592428</v>
      </c>
      <c r="AG44" s="172">
        <f t="shared" si="19"/>
        <v>15656.600436047236</v>
      </c>
      <c r="AI44" s="88">
        <f t="shared" si="32"/>
        <v>5.1797598758568358E-3</v>
      </c>
      <c r="AJ44" s="27">
        <f t="shared" si="20"/>
        <v>4.7494787768973708E-3</v>
      </c>
      <c r="AK44" s="27">
        <f t="shared" si="33"/>
        <v>5.7312582348727206E-3</v>
      </c>
      <c r="AL44" s="27">
        <f t="shared" si="21"/>
        <v>5.241294114625099E-3</v>
      </c>
      <c r="AM44" s="27">
        <f t="shared" si="34"/>
        <v>4.5729488913342003E-3</v>
      </c>
      <c r="AN44" s="27">
        <f t="shared" si="22"/>
        <v>4.1543256017952364E-3</v>
      </c>
      <c r="AO44" s="27">
        <f t="shared" si="35"/>
        <v>1.4208280036802393E-3</v>
      </c>
      <c r="AP44" s="27">
        <f t="shared" si="23"/>
        <v>1.2304648994159594E-3</v>
      </c>
      <c r="AQ44" s="27">
        <f t="shared" si="36"/>
        <v>2.7903700791824831E-2</v>
      </c>
      <c r="AR44" s="27">
        <f t="shared" si="24"/>
        <v>1.953259055427738E-2</v>
      </c>
      <c r="AS44" s="27">
        <f t="shared" si="25"/>
        <v>4.4808495797568827E-2</v>
      </c>
      <c r="AT44" s="89">
        <f t="shared" si="26"/>
        <v>3.4908153947011043E-2</v>
      </c>
    </row>
    <row r="45" spans="1:46">
      <c r="A45" s="80">
        <v>41</v>
      </c>
      <c r="C45" s="10">
        <f t="shared" si="27"/>
        <v>83</v>
      </c>
      <c r="D45" s="98" t="str" cm="1">
        <f t="array" ref="D45">_xlfn.IFS(C45&lt;=4,"1-4",C45&lt;=9,"5-9",C45&lt;=14,"10-14",C45&lt;=19,"15-19",C45&lt;=24,"20-24",C45&lt;=29,"25-29",C45&lt;=34,"30-34",C45&lt;=39,"35-39",C45&lt;=44,"40-44",C45&lt;=49,"45-49",C45&lt;=54,"50-54",C45&lt;=54,"50-54",C45&lt;=59,"55-59",C45&lt;=64,"60-64",C45&lt;=69,"65-69",C45&lt;=74,"70-74",C45&lt;=79,"75-79",C45&lt;=84,"80-84",C45&gt;84,"85+")</f>
        <v>80-84</v>
      </c>
      <c r="E45" s="83">
        <f>IF(D45="85+",1,VLOOKUP(D45,'Life table 2014'!$AF$3:$AR$21,7,FALSE))</f>
        <v>7.0484562672628037E-2</v>
      </c>
      <c r="F45" s="72"/>
      <c r="G45" s="316">
        <f t="shared" si="5"/>
        <v>14965</v>
      </c>
      <c r="H45" s="27">
        <f>'Parameters &amp; DSA'!$B$119*G45^'Parameters &amp; DSA'!$B$120</f>
        <v>1.8494485766832074</v>
      </c>
      <c r="I45" s="314">
        <f t="shared" si="31"/>
        <v>4.7286406844448181E-2</v>
      </c>
      <c r="J45" s="72"/>
      <c r="K45" s="140">
        <f t="shared" si="37"/>
        <v>1.4497499951460035E-2</v>
      </c>
      <c r="L45" s="141">
        <f t="shared" si="38"/>
        <v>0</v>
      </c>
      <c r="M45" s="141">
        <f t="shared" si="39"/>
        <v>1.2081249959550028E-3</v>
      </c>
      <c r="N45" s="27">
        <f t="shared" si="40"/>
        <v>1.48952838086873E-2</v>
      </c>
      <c r="O45" s="27">
        <f t="shared" si="41"/>
        <v>0</v>
      </c>
      <c r="P45" s="27">
        <f t="shared" si="42"/>
        <v>2.482547301447883E-3</v>
      </c>
      <c r="Q45" s="27">
        <f t="shared" si="43"/>
        <v>1.0399278428777317E-2</v>
      </c>
      <c r="R45" s="27">
        <f t="shared" si="44"/>
        <v>0</v>
      </c>
      <c r="S45" s="27">
        <f t="shared" si="45"/>
        <v>3.4664261429257727E-3</v>
      </c>
      <c r="T45" s="27">
        <f t="shared" si="46"/>
        <v>5.385141462975377E-4</v>
      </c>
      <c r="U45" s="27">
        <f t="shared" si="47"/>
        <v>1.615542438892613E-3</v>
      </c>
      <c r="V45" s="27">
        <f t="shared" si="48"/>
        <v>2.1540565851901508E-3</v>
      </c>
      <c r="W45" s="27">
        <f t="shared" si="28"/>
        <v>8.0606444143605793E-2</v>
      </c>
      <c r="X45" s="27">
        <f t="shared" si="29"/>
        <v>4.0007712070468E-3</v>
      </c>
      <c r="Y45" s="142">
        <f t="shared" si="49"/>
        <v>0.86413551084971485</v>
      </c>
      <c r="Z45" s="89">
        <f t="shared" si="30"/>
        <v>1.0000000000000011</v>
      </c>
      <c r="AB45" s="171">
        <f>(IF('Parameters &amp; DSA'!$H$1=1,(('Parameters &amp; DSA'!$B$79+'Parameters &amp; DSA'!$B$85+'Parameters &amp; DSA'!$B$89+'Parameters &amp; DSA'!$B$93)*K45)/(1+cDC)^$A45,(('Parameters &amp; DSA'!$B$79+'Parameters &amp; DSA'!$B$85)*K45)))*($AD$2/$AF$2)</f>
        <v>42.113123921387995</v>
      </c>
      <c r="AC45" s="371">
        <f>(IF('Parameters &amp; DSA'!$H$1=1,(('Parameters &amp; DSA'!$B$79+'Parameters &amp; DSA'!$B$85+'Parameters &amp; DSA'!$B$89+'Parameters &amp; DSA'!$B$93)*($M45+$N45))/(1+cDC)^$A45,(('Parameters &amp; DSA'!$B$79+'Parameters &amp; DSA'!$B$85)*($M45+$N45))))*($AD$2/$AF$2)</f>
        <v>46.778055031369341</v>
      </c>
      <c r="AD45" s="371">
        <f>(IF('Parameters &amp; DSA'!$H$1=1,(('Parameters &amp; DSA'!$B$79+'Parameters &amp; DSA'!$B$85+'Parameters &amp; DSA'!$B$89+'Parameters &amp; DSA'!$B$93)*(P45+Q45))/(1+cDC)^$A45,(('Parameters &amp; DSA'!$B$79+'Parameters &amp; DSA'!$B$85)*(P45+Q45))))*($AD$2/$AF$2)</f>
        <v>37.419825840803945</v>
      </c>
      <c r="AE45" s="371">
        <f>(IF('Parameters &amp; DSA'!$H$1=1,(('Parameters &amp; DSA'!$B$79+'Parameters &amp; DSA'!$B$85+'Parameters &amp; DSA'!$B$89+'Parameters &amp; DSA'!$B$93)*(S45+T45))/(1+cDC)^$A45,(('Parameters &amp; DSA'!$B$79+'Parameters &amp; DSA'!$B$85)*(S45+T45))))*($AD$2/$AF$2)</f>
        <v>11.633767702191649</v>
      </c>
      <c r="AF45" s="371">
        <f>(IF('Parameters &amp; DSA'!$H$1=1,(((W45-W44)*cM_Dialysis0)+(W45*cM_Dialysis1))/(1+'Parameters &amp; DSA'!$B$6)^$A45,(((W45-W44)*cM_Dialysis0)+(W45*cM_Dialysis1))))*($AD$2/$AG$2)</f>
        <v>13665.889657231832</v>
      </c>
      <c r="AG45" s="172">
        <f t="shared" si="19"/>
        <v>13803.834429727585</v>
      </c>
      <c r="AI45" s="88">
        <f t="shared" si="32"/>
        <v>4.3148619264446663E-3</v>
      </c>
      <c r="AJ45" s="27">
        <f t="shared" si="20"/>
        <v>3.9564276406734858E-3</v>
      </c>
      <c r="AK45" s="27">
        <f t="shared" si="33"/>
        <v>4.7928253678060674E-3</v>
      </c>
      <c r="AL45" s="27">
        <f t="shared" si="21"/>
        <v>4.3830876856774002E-3</v>
      </c>
      <c r="AM45" s="27">
        <f t="shared" si="34"/>
        <v>3.8339920381131789E-3</v>
      </c>
      <c r="AN45" s="27">
        <f t="shared" si="22"/>
        <v>3.4830153713713689E-3</v>
      </c>
      <c r="AO45" s="27">
        <f t="shared" si="35"/>
        <v>1.191982371409742E-3</v>
      </c>
      <c r="AP45" s="27">
        <f t="shared" si="23"/>
        <v>1.0322800964953163E-3</v>
      </c>
      <c r="AQ45" s="27">
        <f t="shared" si="36"/>
        <v>2.4631842373085459E-2</v>
      </c>
      <c r="AR45" s="27">
        <f t="shared" si="24"/>
        <v>1.7242289661159819E-2</v>
      </c>
      <c r="AS45" s="27">
        <f t="shared" si="25"/>
        <v>3.8765504076859116E-2</v>
      </c>
      <c r="AT45" s="89">
        <f t="shared" si="26"/>
        <v>3.009710045537739E-2</v>
      </c>
    </row>
    <row r="46" spans="1:46">
      <c r="A46" s="80">
        <v>42</v>
      </c>
      <c r="C46" s="10">
        <f t="shared" si="27"/>
        <v>84</v>
      </c>
      <c r="D46" s="98" t="str" cm="1">
        <f t="array" ref="D46">_xlfn.IFS(C46&lt;=4,"1-4",C46&lt;=9,"5-9",C46&lt;=14,"10-14",C46&lt;=19,"15-19",C46&lt;=24,"20-24",C46&lt;=29,"25-29",C46&lt;=34,"30-34",C46&lt;=39,"35-39",C46&lt;=44,"40-44",C46&lt;=49,"45-49",C46&lt;=54,"50-54",C46&lt;=54,"50-54",C46&lt;=59,"55-59",C46&lt;=64,"60-64",C46&lt;=69,"65-69",C46&lt;=74,"70-74",C46&lt;=79,"75-79",C46&lt;=84,"80-84",C46&gt;84,"85+")</f>
        <v>80-84</v>
      </c>
      <c r="E46" s="83">
        <f>IF(D46="85+",1,VLOOKUP(D46,'Life table 2014'!$AF$3:$AR$21,7,FALSE))</f>
        <v>7.0484562672628037E-2</v>
      </c>
      <c r="F46" s="72"/>
      <c r="G46" s="316">
        <f t="shared" si="5"/>
        <v>15330</v>
      </c>
      <c r="H46" s="27">
        <f>'Parameters &amp; DSA'!$B$119*G46^'Parameters &amp; DSA'!$B$120</f>
        <v>1.8979780704444795</v>
      </c>
      <c r="I46" s="314">
        <f t="shared" si="31"/>
        <v>4.7370757727959067E-2</v>
      </c>
      <c r="J46" s="72"/>
      <c r="K46" s="140">
        <f t="shared" si="37"/>
        <v>1.2439061545416857E-2</v>
      </c>
      <c r="L46" s="141">
        <f t="shared" si="38"/>
        <v>0</v>
      </c>
      <c r="M46" s="141">
        <f t="shared" si="39"/>
        <v>1.0365884621180714E-3</v>
      </c>
      <c r="N46" s="27">
        <f t="shared" si="40"/>
        <v>1.2830028923578752E-2</v>
      </c>
      <c r="O46" s="27">
        <f t="shared" si="41"/>
        <v>0</v>
      </c>
      <c r="P46" s="27">
        <f t="shared" si="42"/>
        <v>2.1383381539297917E-3</v>
      </c>
      <c r="Q46" s="27">
        <f t="shared" si="43"/>
        <v>8.9803919079039507E-3</v>
      </c>
      <c r="R46" s="27">
        <f t="shared" si="44"/>
        <v>0</v>
      </c>
      <c r="S46" s="27">
        <f t="shared" si="45"/>
        <v>2.9934639693013172E-3</v>
      </c>
      <c r="T46" s="27">
        <f t="shared" si="46"/>
        <v>4.6533172805092714E-4</v>
      </c>
      <c r="U46" s="27">
        <f t="shared" si="47"/>
        <v>1.3959951841527815E-3</v>
      </c>
      <c r="V46" s="27">
        <f t="shared" si="48"/>
        <v>1.8613269122037086E-3</v>
      </c>
      <c r="W46" s="27">
        <f t="shared" si="28"/>
        <v>7.3283065025843433E-2</v>
      </c>
      <c r="X46" s="27">
        <f t="shared" si="29"/>
        <v>3.6440980025156063E-3</v>
      </c>
      <c r="Y46" s="142">
        <f t="shared" si="49"/>
        <v>0.87893231018498585</v>
      </c>
      <c r="Z46" s="89">
        <f t="shared" si="30"/>
        <v>1.0000000000000011</v>
      </c>
      <c r="AB46" s="171">
        <f>(IF('Parameters &amp; DSA'!$H$1=1,(('Parameters &amp; DSA'!$B$79+'Parameters &amp; DSA'!$B$85+'Parameters &amp; DSA'!$B$89+'Parameters &amp; DSA'!$B$93)*K46)/(1+cDC)^$A46,(('Parameters &amp; DSA'!$B$79+'Parameters &amp; DSA'!$B$85)*K46)))*($AD$2/$AF$2)</f>
        <v>35.081223718306887</v>
      </c>
      <c r="AC46" s="371">
        <f>(IF('Parameters &amp; DSA'!$H$1=1,(('Parameters &amp; DSA'!$B$79+'Parameters &amp; DSA'!$B$85+'Parameters &amp; DSA'!$B$89+'Parameters &amp; DSA'!$B$93)*($M46+$N46))/(1+cDC)^$A46,(('Parameters &amp; DSA'!$B$79+'Parameters &amp; DSA'!$B$85)*($M46+$N46))))*($AD$2/$AF$2)</f>
        <v>39.107283531612424</v>
      </c>
      <c r="AD46" s="371">
        <f>(IF('Parameters &amp; DSA'!$H$1=1,(('Parameters &amp; DSA'!$B$79+'Parameters &amp; DSA'!$B$85+'Parameters &amp; DSA'!$B$89+'Parameters &amp; DSA'!$B$93)*(P46+Q46))/(1+cDC)^$A46,(('Parameters &amp; DSA'!$B$79+'Parameters &amp; DSA'!$B$85)*(P46+Q46))))*($AD$2/$AF$2)</f>
        <v>31.357563055580339</v>
      </c>
      <c r="AE46" s="371">
        <f>(IF('Parameters &amp; DSA'!$H$1=1,(('Parameters &amp; DSA'!$B$79+'Parameters &amp; DSA'!$B$85+'Parameters &amp; DSA'!$B$89+'Parameters &amp; DSA'!$B$93)*(S46+T46))/(1+cDC)^$A46,(('Parameters &amp; DSA'!$B$79+'Parameters &amp; DSA'!$B$85)*(S46+T46))))*($AD$2/$AF$2)</f>
        <v>9.7546575528793298</v>
      </c>
      <c r="AF46" s="371">
        <f>(IF('Parameters &amp; DSA'!$H$1=1,(((W46-W45)*cM_Dialysis0)+(W46*cM_Dialysis1))/(1+'Parameters &amp; DSA'!$B$6)^$A46,(((W46-W45)*cM_Dialysis0)+(W46*cM_Dialysis1))))*($AD$2/$AG$2)</f>
        <v>12039.13903494899</v>
      </c>
      <c r="AG46" s="172">
        <f t="shared" si="19"/>
        <v>12154.439762807369</v>
      </c>
      <c r="AI46" s="88">
        <f t="shared" si="32"/>
        <v>3.594381571829521E-3</v>
      </c>
      <c r="AJ46" s="27">
        <f t="shared" si="20"/>
        <v>3.2957973729721142E-3</v>
      </c>
      <c r="AK46" s="27">
        <f t="shared" si="33"/>
        <v>4.0068869996968256E-3</v>
      </c>
      <c r="AL46" s="27">
        <f t="shared" si="21"/>
        <v>3.6643390314701442E-3</v>
      </c>
      <c r="AM46" s="27">
        <f t="shared" si="34"/>
        <v>3.2128596108704928E-3</v>
      </c>
      <c r="AN46" s="27">
        <f t="shared" si="22"/>
        <v>2.9187435183687309E-3</v>
      </c>
      <c r="AO46" s="27">
        <f t="shared" si="35"/>
        <v>9.9945092078644561E-4</v>
      </c>
      <c r="AP46" s="27">
        <f t="shared" si="23"/>
        <v>8.6554408663910929E-4</v>
      </c>
      <c r="AQ46" s="27">
        <f t="shared" si="36"/>
        <v>2.1713665184651194E-2</v>
      </c>
      <c r="AR46" s="27">
        <f t="shared" si="24"/>
        <v>1.5199565629255835E-2</v>
      </c>
      <c r="AS46" s="27">
        <f t="shared" si="25"/>
        <v>3.3527244287834476E-2</v>
      </c>
      <c r="AT46" s="89">
        <f t="shared" si="26"/>
        <v>2.5943989638705936E-2</v>
      </c>
    </row>
    <row r="47" spans="1:46">
      <c r="A47" s="80">
        <v>43</v>
      </c>
      <c r="C47" s="10">
        <f t="shared" si="27"/>
        <v>85</v>
      </c>
      <c r="D47" s="98" t="str" cm="1">
        <f t="array" ref="D47">_xlfn.IFS(C47&lt;=4,"1-4",C47&lt;=9,"5-9",C47&lt;=14,"10-14",C47&lt;=19,"15-19",C47&lt;=24,"20-24",C47&lt;=29,"25-29",C47&lt;=34,"30-34",C47&lt;=39,"35-39",C47&lt;=44,"40-44",C47&lt;=49,"45-49",C47&lt;=54,"50-54",C47&lt;=54,"50-54",C47&lt;=59,"55-59",C47&lt;=64,"60-64",C47&lt;=69,"65-69",C47&lt;=74,"70-74",C47&lt;=79,"75-79",C47&lt;=84,"80-84",C47&gt;84,"85+")</f>
        <v>85+</v>
      </c>
      <c r="E47" s="83">
        <f>IF(D47="85+",1,VLOOKUP(D47,'Life table 2014'!$AF$3:$AR$21,7,FALSE))</f>
        <v>1</v>
      </c>
      <c r="F47" s="72"/>
      <c r="G47" s="316">
        <f t="shared" si="5"/>
        <v>15695</v>
      </c>
      <c r="H47" s="27">
        <f>'Parameters &amp; DSA'!$B$119*G47^'Parameters &amp; DSA'!$B$120</f>
        <v>1.9465941532125437</v>
      </c>
      <c r="I47" s="314">
        <f t="shared" si="31"/>
        <v>4.7453241376748334E-2</v>
      </c>
      <c r="J47" s="72"/>
      <c r="K47" s="140">
        <f t="shared" si="37"/>
        <v>0</v>
      </c>
      <c r="L47" s="141">
        <f t="shared" si="38"/>
        <v>0</v>
      </c>
      <c r="M47" s="141">
        <f t="shared" si="39"/>
        <v>0</v>
      </c>
      <c r="N47" s="27">
        <f t="shared" si="40"/>
        <v>0</v>
      </c>
      <c r="O47" s="27">
        <f t="shared" si="41"/>
        <v>0</v>
      </c>
      <c r="P47" s="27">
        <f t="shared" si="42"/>
        <v>0</v>
      </c>
      <c r="Q47" s="27">
        <f t="shared" si="43"/>
        <v>0</v>
      </c>
      <c r="R47" s="27">
        <f t="shared" si="44"/>
        <v>0</v>
      </c>
      <c r="S47" s="27">
        <f t="shared" si="45"/>
        <v>0</v>
      </c>
      <c r="T47" s="27">
        <f t="shared" si="46"/>
        <v>0</v>
      </c>
      <c r="U47" s="27">
        <f t="shared" si="47"/>
        <v>0</v>
      </c>
      <c r="V47" s="27">
        <f t="shared" si="48"/>
        <v>0</v>
      </c>
      <c r="W47" s="27">
        <f t="shared" si="28"/>
        <v>0</v>
      </c>
      <c r="X47" s="27">
        <f t="shared" si="29"/>
        <v>0</v>
      </c>
      <c r="Y47" s="142">
        <f t="shared" si="49"/>
        <v>1.0000000000000011</v>
      </c>
      <c r="Z47" s="89">
        <f t="shared" si="30"/>
        <v>1.0000000000000011</v>
      </c>
      <c r="AB47" s="171">
        <f>(IF('Parameters &amp; DSA'!$H$1=1,(('Parameters &amp; DSA'!$B$79+'Parameters &amp; DSA'!$B$85+'Parameters &amp; DSA'!$B$89+'Parameters &amp; DSA'!$B$93)*K47)/(1+cDC)^$A47,(('Parameters &amp; DSA'!$B$79+'Parameters &amp; DSA'!$B$85)*K47)))*($AD$2/$AF$2)</f>
        <v>0</v>
      </c>
      <c r="AC47" s="371">
        <f>(IF('Parameters &amp; DSA'!$H$1=1,(('Parameters &amp; DSA'!$B$79+'Parameters &amp; DSA'!$B$85+'Parameters &amp; DSA'!$B$89+'Parameters &amp; DSA'!$B$93)*($M47+$N47))/(1+cDC)^$A47,(('Parameters &amp; DSA'!$B$79+'Parameters &amp; DSA'!$B$85)*($M47+$N47))))*($AD$2/$AF$2)</f>
        <v>0</v>
      </c>
      <c r="AD47" s="371">
        <f>(IF('Parameters &amp; DSA'!$H$1=1,(('Parameters &amp; DSA'!$B$79+'Parameters &amp; DSA'!$B$85+'Parameters &amp; DSA'!$B$89+'Parameters &amp; DSA'!$B$93)*(P47+Q47))/(1+cDC)^$A47,(('Parameters &amp; DSA'!$B$79+'Parameters &amp; DSA'!$B$85)*(P47+Q47))))*($AD$2/$AF$2)</f>
        <v>0</v>
      </c>
      <c r="AE47" s="371">
        <f>(IF('Parameters &amp; DSA'!$H$1=1,(('Parameters &amp; DSA'!$B$79+'Parameters &amp; DSA'!$B$85+'Parameters &amp; DSA'!$B$89+'Parameters &amp; DSA'!$B$93)*(S47+T47))/(1+cDC)^$A47,(('Parameters &amp; DSA'!$B$79+'Parameters &amp; DSA'!$B$85)*(S47+T47))))*($AD$2/$AF$2)</f>
        <v>0</v>
      </c>
      <c r="AF47" s="371">
        <f>(IF('Parameters &amp; DSA'!$H$1=1,(((W47-W46)*cM_Dialysis0)+(W47*cM_Dialysis1))/(1+'Parameters &amp; DSA'!$B$6)^$A47,(((W47-W46)*cM_Dialysis0)+(W47*cM_Dialysis1))))*($AD$2/$AG$2)</f>
        <v>-14007.391540801385</v>
      </c>
      <c r="AG47" s="172">
        <f t="shared" si="19"/>
        <v>-14007.391540801385</v>
      </c>
      <c r="AI47" s="88">
        <f t="shared" si="32"/>
        <v>0</v>
      </c>
      <c r="AJ47" s="27">
        <f t="shared" si="20"/>
        <v>0</v>
      </c>
      <c r="AK47" s="27">
        <f t="shared" si="33"/>
        <v>0</v>
      </c>
      <c r="AL47" s="27">
        <f t="shared" si="21"/>
        <v>0</v>
      </c>
      <c r="AM47" s="27">
        <f t="shared" si="34"/>
        <v>0</v>
      </c>
      <c r="AN47" s="27">
        <f t="shared" si="22"/>
        <v>0</v>
      </c>
      <c r="AO47" s="27">
        <f t="shared" si="35"/>
        <v>0</v>
      </c>
      <c r="AP47" s="27">
        <f t="shared" si="23"/>
        <v>0</v>
      </c>
      <c r="AQ47" s="27">
        <f t="shared" si="36"/>
        <v>0</v>
      </c>
      <c r="AR47" s="27">
        <f t="shared" si="24"/>
        <v>0</v>
      </c>
      <c r="AS47" s="27">
        <f t="shared" si="25"/>
        <v>0</v>
      </c>
      <c r="AT47" s="89">
        <f t="shared" si="26"/>
        <v>0</v>
      </c>
    </row>
    <row r="48" spans="1:46">
      <c r="A48" s="80">
        <v>44</v>
      </c>
      <c r="C48" s="10">
        <f t="shared" si="27"/>
        <v>86</v>
      </c>
      <c r="D48" s="98" t="str" cm="1">
        <f t="array" ref="D48">_xlfn.IFS(C48&lt;=4,"1-4",C48&lt;=9,"5-9",C48&lt;=14,"10-14",C48&lt;=19,"15-19",C48&lt;=24,"20-24",C48&lt;=29,"25-29",C48&lt;=34,"30-34",C48&lt;=39,"35-39",C48&lt;=44,"40-44",C48&lt;=49,"45-49",C48&lt;=54,"50-54",C48&lt;=54,"50-54",C48&lt;=59,"55-59",C48&lt;=64,"60-64",C48&lt;=69,"65-69",C48&lt;=74,"70-74",C48&lt;=79,"75-79",C48&lt;=84,"80-84",C48&gt;84,"85+")</f>
        <v>85+</v>
      </c>
      <c r="E48" s="83">
        <f>IF(D48="85+",1,VLOOKUP(D48,'Life table 2014'!$AF$3:$AR$21,7,FALSE))</f>
        <v>1</v>
      </c>
      <c r="F48" s="72"/>
      <c r="G48" s="316">
        <f t="shared" si="5"/>
        <v>16060</v>
      </c>
      <c r="H48" s="27">
        <f>'Parameters &amp; DSA'!$B$119*G48^'Parameters &amp; DSA'!$B$120</f>
        <v>1.9952949600820995</v>
      </c>
      <c r="I48" s="314">
        <f t="shared" si="31"/>
        <v>4.7533941626325071E-2</v>
      </c>
      <c r="J48" s="72"/>
      <c r="K48" s="140">
        <f t="shared" si="37"/>
        <v>0</v>
      </c>
      <c r="L48" s="141">
        <f t="shared" si="38"/>
        <v>0</v>
      </c>
      <c r="M48" s="141">
        <f t="shared" si="39"/>
        <v>0</v>
      </c>
      <c r="N48" s="27">
        <f t="shared" si="40"/>
        <v>0</v>
      </c>
      <c r="O48" s="27">
        <f t="shared" si="41"/>
        <v>0</v>
      </c>
      <c r="P48" s="27">
        <f t="shared" si="42"/>
        <v>0</v>
      </c>
      <c r="Q48" s="27">
        <f t="shared" si="43"/>
        <v>0</v>
      </c>
      <c r="R48" s="27">
        <f t="shared" si="44"/>
        <v>0</v>
      </c>
      <c r="S48" s="27">
        <f t="shared" si="45"/>
        <v>0</v>
      </c>
      <c r="T48" s="27">
        <f t="shared" si="46"/>
        <v>0</v>
      </c>
      <c r="U48" s="27">
        <f t="shared" si="47"/>
        <v>0</v>
      </c>
      <c r="V48" s="27">
        <f t="shared" si="48"/>
        <v>0</v>
      </c>
      <c r="W48" s="27">
        <f t="shared" si="28"/>
        <v>0</v>
      </c>
      <c r="X48" s="27">
        <f t="shared" si="29"/>
        <v>0</v>
      </c>
      <c r="Y48" s="142">
        <f t="shared" si="49"/>
        <v>1.0000000000000011</v>
      </c>
      <c r="Z48" s="89">
        <f t="shared" si="30"/>
        <v>1.0000000000000011</v>
      </c>
      <c r="AB48" s="171">
        <f>(IF('Parameters &amp; DSA'!$H$1=1,(('Parameters &amp; DSA'!$B$79+'Parameters &amp; DSA'!$B$85+'Parameters &amp; DSA'!$B$89+'Parameters &amp; DSA'!$B$93)*K48)/(1+cDC)^$A48,(('Parameters &amp; DSA'!$B$79+'Parameters &amp; DSA'!$B$85)*K48)))*($AD$2/$AF$2)</f>
        <v>0</v>
      </c>
      <c r="AC48" s="371">
        <f>(IF('Parameters &amp; DSA'!$H$1=1,(('Parameters &amp; DSA'!$B$79+'Parameters &amp; DSA'!$B$85+'Parameters &amp; DSA'!$B$89+'Parameters &amp; DSA'!$B$93)*($M48+$N48))/(1+cDC)^$A48,(('Parameters &amp; DSA'!$B$79+'Parameters &amp; DSA'!$B$85)*($M48+$N48))))*($AD$2/$AF$2)</f>
        <v>0</v>
      </c>
      <c r="AD48" s="371">
        <f>(IF('Parameters &amp; DSA'!$H$1=1,(('Parameters &amp; DSA'!$B$79+'Parameters &amp; DSA'!$B$85+'Parameters &amp; DSA'!$B$89+'Parameters &amp; DSA'!$B$93)*(P48+Q48))/(1+cDC)^$A48,(('Parameters &amp; DSA'!$B$79+'Parameters &amp; DSA'!$B$85)*(P48+Q48))))*($AD$2/$AF$2)</f>
        <v>0</v>
      </c>
      <c r="AE48" s="371">
        <f>(IF('Parameters &amp; DSA'!$H$1=1,(('Parameters &amp; DSA'!$B$79+'Parameters &amp; DSA'!$B$85+'Parameters &amp; DSA'!$B$89+'Parameters &amp; DSA'!$B$93)*(S48+T48))/(1+cDC)^$A48,(('Parameters &amp; DSA'!$B$79+'Parameters &amp; DSA'!$B$85)*(S48+T48))))*($AD$2/$AF$2)</f>
        <v>0</v>
      </c>
      <c r="AF48" s="371">
        <f>(IF('Parameters &amp; DSA'!$H$1=1,(((W48-W47)*cM_Dialysis0)+(W48*cM_Dialysis1))/(1+'Parameters &amp; DSA'!$B$6)^$A48,(((W48-W47)*cM_Dialysis0)+(W48*cM_Dialysis1))))*($AD$2/$AG$2)</f>
        <v>0</v>
      </c>
      <c r="AG48" s="172">
        <f t="shared" si="19"/>
        <v>0</v>
      </c>
      <c r="AI48" s="88">
        <f t="shared" si="32"/>
        <v>0</v>
      </c>
      <c r="AJ48" s="27">
        <f t="shared" si="20"/>
        <v>0</v>
      </c>
      <c r="AK48" s="27">
        <f t="shared" si="33"/>
        <v>0</v>
      </c>
      <c r="AL48" s="27">
        <f t="shared" si="21"/>
        <v>0</v>
      </c>
      <c r="AM48" s="27">
        <f t="shared" si="34"/>
        <v>0</v>
      </c>
      <c r="AN48" s="27">
        <f t="shared" si="22"/>
        <v>0</v>
      </c>
      <c r="AO48" s="27">
        <f t="shared" si="35"/>
        <v>0</v>
      </c>
      <c r="AP48" s="27">
        <f t="shared" si="23"/>
        <v>0</v>
      </c>
      <c r="AQ48" s="27">
        <f t="shared" si="36"/>
        <v>0</v>
      </c>
      <c r="AR48" s="27">
        <f t="shared" si="24"/>
        <v>0</v>
      </c>
      <c r="AS48" s="27">
        <f t="shared" si="25"/>
        <v>0</v>
      </c>
      <c r="AT48" s="89">
        <f t="shared" si="26"/>
        <v>0</v>
      </c>
    </row>
    <row r="49" spans="1:46">
      <c r="A49" s="80">
        <v>45</v>
      </c>
      <c r="C49" s="10">
        <f t="shared" si="27"/>
        <v>87</v>
      </c>
      <c r="D49" s="98" t="str" cm="1">
        <f t="array" ref="D49">_xlfn.IFS(C49&lt;=4,"1-4",C49&lt;=9,"5-9",C49&lt;=14,"10-14",C49&lt;=19,"15-19",C49&lt;=24,"20-24",C49&lt;=29,"25-29",C49&lt;=34,"30-34",C49&lt;=39,"35-39",C49&lt;=44,"40-44",C49&lt;=49,"45-49",C49&lt;=54,"50-54",C49&lt;=54,"50-54",C49&lt;=59,"55-59",C49&lt;=64,"60-64",C49&lt;=69,"65-69",C49&lt;=74,"70-74",C49&lt;=79,"75-79",C49&lt;=84,"80-84",C49&gt;84,"85+")</f>
        <v>85+</v>
      </c>
      <c r="E49" s="83">
        <f>IF(D49="85+",1,VLOOKUP(D49,'Life table 2014'!$AF$3:$AR$21,7,FALSE))</f>
        <v>1</v>
      </c>
      <c r="F49" s="72"/>
      <c r="G49" s="316">
        <f t="shared" si="5"/>
        <v>16425</v>
      </c>
      <c r="H49" s="27">
        <f>'Parameters &amp; DSA'!$B$119*G49^'Parameters &amp; DSA'!$B$120</f>
        <v>2.0440787078345273</v>
      </c>
      <c r="I49" s="314">
        <f t="shared" si="31"/>
        <v>4.7612936726105226E-2</v>
      </c>
      <c r="J49" s="72"/>
      <c r="K49" s="140">
        <f t="shared" si="37"/>
        <v>0</v>
      </c>
      <c r="L49" s="141">
        <f t="shared" si="38"/>
        <v>0</v>
      </c>
      <c r="M49" s="141">
        <f t="shared" si="39"/>
        <v>0</v>
      </c>
      <c r="N49" s="27">
        <f t="shared" si="40"/>
        <v>0</v>
      </c>
      <c r="O49" s="27">
        <f t="shared" si="41"/>
        <v>0</v>
      </c>
      <c r="P49" s="27">
        <f t="shared" si="42"/>
        <v>0</v>
      </c>
      <c r="Q49" s="27">
        <f t="shared" si="43"/>
        <v>0</v>
      </c>
      <c r="R49" s="27">
        <f t="shared" si="44"/>
        <v>0</v>
      </c>
      <c r="S49" s="27">
        <f t="shared" si="45"/>
        <v>0</v>
      </c>
      <c r="T49" s="27">
        <f t="shared" si="46"/>
        <v>0</v>
      </c>
      <c r="U49" s="27">
        <f t="shared" si="47"/>
        <v>0</v>
      </c>
      <c r="V49" s="27">
        <f t="shared" si="48"/>
        <v>0</v>
      </c>
      <c r="W49" s="27">
        <f t="shared" si="28"/>
        <v>0</v>
      </c>
      <c r="X49" s="27">
        <f t="shared" si="29"/>
        <v>0</v>
      </c>
      <c r="Y49" s="142">
        <f t="shared" si="49"/>
        <v>1.0000000000000011</v>
      </c>
      <c r="Z49" s="89">
        <f t="shared" si="30"/>
        <v>1.0000000000000011</v>
      </c>
      <c r="AB49" s="171">
        <f>(IF('Parameters &amp; DSA'!$H$1=1,(('Parameters &amp; DSA'!$B$79+'Parameters &amp; DSA'!$B$85+'Parameters &amp; DSA'!$B$89+'Parameters &amp; DSA'!$B$93)*K49)/(1+cDC)^$A49,(('Parameters &amp; DSA'!$B$79+'Parameters &amp; DSA'!$B$85)*K49)))*($AD$2/$AF$2)</f>
        <v>0</v>
      </c>
      <c r="AC49" s="371">
        <f>(IF('Parameters &amp; DSA'!$H$1=1,(('Parameters &amp; DSA'!$B$79+'Parameters &amp; DSA'!$B$85+'Parameters &amp; DSA'!$B$89+'Parameters &amp; DSA'!$B$93)*($M49+$N49))/(1+cDC)^$A49,(('Parameters &amp; DSA'!$B$79+'Parameters &amp; DSA'!$B$85)*($M49+$N49))))*($AD$2/$AF$2)</f>
        <v>0</v>
      </c>
      <c r="AD49" s="371">
        <f>(IF('Parameters &amp; DSA'!$H$1=1,(('Parameters &amp; DSA'!$B$79+'Parameters &amp; DSA'!$B$85+'Parameters &amp; DSA'!$B$89+'Parameters &amp; DSA'!$B$93)*(P49+Q49))/(1+cDC)^$A49,(('Parameters &amp; DSA'!$B$79+'Parameters &amp; DSA'!$B$85)*(P49+Q49))))*($AD$2/$AF$2)</f>
        <v>0</v>
      </c>
      <c r="AE49" s="371">
        <f>(IF('Parameters &amp; DSA'!$H$1=1,(('Parameters &amp; DSA'!$B$79+'Parameters &amp; DSA'!$B$85+'Parameters &amp; DSA'!$B$89+'Parameters &amp; DSA'!$B$93)*(S49+T49))/(1+cDC)^$A49,(('Parameters &amp; DSA'!$B$79+'Parameters &amp; DSA'!$B$85)*(S49+T49))))*($AD$2/$AF$2)</f>
        <v>0</v>
      </c>
      <c r="AF49" s="371">
        <f>(IF('Parameters &amp; DSA'!$H$1=1,(((W49-W48)*cM_Dialysis0)+(W49*cM_Dialysis1))/(1+'Parameters &amp; DSA'!$B$6)^$A49,(((W49-W48)*cM_Dialysis0)+(W49*cM_Dialysis1))))*($AD$2/$AG$2)</f>
        <v>0</v>
      </c>
      <c r="AG49" s="172">
        <f t="shared" si="19"/>
        <v>0</v>
      </c>
      <c r="AI49" s="88">
        <f t="shared" si="32"/>
        <v>0</v>
      </c>
      <c r="AJ49" s="27">
        <f t="shared" si="20"/>
        <v>0</v>
      </c>
      <c r="AK49" s="27">
        <f t="shared" si="33"/>
        <v>0</v>
      </c>
      <c r="AL49" s="27">
        <f t="shared" si="21"/>
        <v>0</v>
      </c>
      <c r="AM49" s="27">
        <f t="shared" si="34"/>
        <v>0</v>
      </c>
      <c r="AN49" s="27">
        <f t="shared" si="22"/>
        <v>0</v>
      </c>
      <c r="AO49" s="27">
        <f t="shared" si="35"/>
        <v>0</v>
      </c>
      <c r="AP49" s="27">
        <f t="shared" si="23"/>
        <v>0</v>
      </c>
      <c r="AQ49" s="27">
        <f t="shared" si="36"/>
        <v>0</v>
      </c>
      <c r="AR49" s="27">
        <f t="shared" si="24"/>
        <v>0</v>
      </c>
      <c r="AS49" s="27">
        <f t="shared" si="25"/>
        <v>0</v>
      </c>
      <c r="AT49" s="89">
        <f t="shared" si="26"/>
        <v>0</v>
      </c>
    </row>
    <row r="50" spans="1:46">
      <c r="A50" s="80">
        <v>46</v>
      </c>
      <c r="C50" s="10">
        <f t="shared" si="27"/>
        <v>88</v>
      </c>
      <c r="D50" s="98" t="str" cm="1">
        <f t="array" ref="D50">_xlfn.IFS(C50&lt;=4,"1-4",C50&lt;=9,"5-9",C50&lt;=14,"10-14",C50&lt;=19,"15-19",C50&lt;=24,"20-24",C50&lt;=29,"25-29",C50&lt;=34,"30-34",C50&lt;=39,"35-39",C50&lt;=44,"40-44",C50&lt;=49,"45-49",C50&lt;=54,"50-54",C50&lt;=54,"50-54",C50&lt;=59,"55-59",C50&lt;=64,"60-64",C50&lt;=69,"65-69",C50&lt;=74,"70-74",C50&lt;=79,"75-79",C50&lt;=84,"80-84",C50&gt;84,"85+")</f>
        <v>85+</v>
      </c>
      <c r="E50" s="83">
        <f>IF(D50="85+",1,VLOOKUP(D50,'Life table 2014'!$AF$3:$AR$21,7,FALSE))</f>
        <v>1</v>
      </c>
      <c r="F50" s="72"/>
      <c r="G50" s="316">
        <f t="shared" si="5"/>
        <v>16790</v>
      </c>
      <c r="H50" s="27">
        <f>'Parameters &amp; DSA'!$B$119*G50^'Parameters &amp; DSA'!$B$120</f>
        <v>2.0929436896217051</v>
      </c>
      <c r="I50" s="314">
        <f t="shared" si="31"/>
        <v>4.769029982759776E-2</v>
      </c>
      <c r="J50" s="72"/>
      <c r="K50" s="140">
        <f t="shared" si="37"/>
        <v>0</v>
      </c>
      <c r="L50" s="141">
        <f t="shared" si="38"/>
        <v>0</v>
      </c>
      <c r="M50" s="141">
        <f t="shared" si="39"/>
        <v>0</v>
      </c>
      <c r="N50" s="27">
        <f t="shared" si="40"/>
        <v>0</v>
      </c>
      <c r="O50" s="27">
        <f t="shared" si="41"/>
        <v>0</v>
      </c>
      <c r="P50" s="27">
        <f t="shared" si="42"/>
        <v>0</v>
      </c>
      <c r="Q50" s="27">
        <f t="shared" si="43"/>
        <v>0</v>
      </c>
      <c r="R50" s="27">
        <f t="shared" si="44"/>
        <v>0</v>
      </c>
      <c r="S50" s="27">
        <f t="shared" si="45"/>
        <v>0</v>
      </c>
      <c r="T50" s="27">
        <f t="shared" si="46"/>
        <v>0</v>
      </c>
      <c r="U50" s="27">
        <f t="shared" si="47"/>
        <v>0</v>
      </c>
      <c r="V50" s="27">
        <f t="shared" si="48"/>
        <v>0</v>
      </c>
      <c r="W50" s="27">
        <f t="shared" si="28"/>
        <v>0</v>
      </c>
      <c r="X50" s="27">
        <f t="shared" si="29"/>
        <v>0</v>
      </c>
      <c r="Y50" s="142">
        <f t="shared" si="49"/>
        <v>1.0000000000000011</v>
      </c>
      <c r="Z50" s="89">
        <f t="shared" si="30"/>
        <v>1.0000000000000011</v>
      </c>
      <c r="AB50" s="171">
        <f>(IF('Parameters &amp; DSA'!$H$1=1,(('Parameters &amp; DSA'!$B$79+'Parameters &amp; DSA'!$B$85+'Parameters &amp; DSA'!$B$89+'Parameters &amp; DSA'!$B$93)*K50)/(1+cDC)^$A50,(('Parameters &amp; DSA'!$B$79+'Parameters &amp; DSA'!$B$85)*K50)))*($AD$2/$AF$2)</f>
        <v>0</v>
      </c>
      <c r="AC50" s="371">
        <f>(IF('Parameters &amp; DSA'!$H$1=1,(('Parameters &amp; DSA'!$B$79+'Parameters &amp; DSA'!$B$85+'Parameters &amp; DSA'!$B$89+'Parameters &amp; DSA'!$B$93)*($M50+$N50))/(1+cDC)^$A50,(('Parameters &amp; DSA'!$B$79+'Parameters &amp; DSA'!$B$85)*($M50+$N50))))*($AD$2/$AF$2)</f>
        <v>0</v>
      </c>
      <c r="AD50" s="371">
        <f>(IF('Parameters &amp; DSA'!$H$1=1,(('Parameters &amp; DSA'!$B$79+'Parameters &amp; DSA'!$B$85+'Parameters &amp; DSA'!$B$89+'Parameters &amp; DSA'!$B$93)*(P50+Q50))/(1+cDC)^$A50,(('Parameters &amp; DSA'!$B$79+'Parameters &amp; DSA'!$B$85)*(P50+Q50))))*($AD$2/$AF$2)</f>
        <v>0</v>
      </c>
      <c r="AE50" s="371">
        <f>(IF('Parameters &amp; DSA'!$H$1=1,(('Parameters &amp; DSA'!$B$79+'Parameters &amp; DSA'!$B$85+'Parameters &amp; DSA'!$B$89+'Parameters &amp; DSA'!$B$93)*(S50+T50))/(1+cDC)^$A50,(('Parameters &amp; DSA'!$B$79+'Parameters &amp; DSA'!$B$85)*(S50+T50))))*($AD$2/$AF$2)</f>
        <v>0</v>
      </c>
      <c r="AF50" s="371">
        <f>(IF('Parameters &amp; DSA'!$H$1=1,(((W50-W49)*cM_Dialysis0)+(W50*cM_Dialysis1))/(1+'Parameters &amp; DSA'!$B$6)^$A50,(((W50-W49)*cM_Dialysis0)+(W50*cM_Dialysis1))))*($AD$2/$AG$2)</f>
        <v>0</v>
      </c>
      <c r="AG50" s="172">
        <f t="shared" si="19"/>
        <v>0</v>
      </c>
      <c r="AI50" s="88">
        <f t="shared" si="32"/>
        <v>0</v>
      </c>
      <c r="AJ50" s="27">
        <f t="shared" si="20"/>
        <v>0</v>
      </c>
      <c r="AK50" s="27">
        <f t="shared" si="33"/>
        <v>0</v>
      </c>
      <c r="AL50" s="27">
        <f t="shared" si="21"/>
        <v>0</v>
      </c>
      <c r="AM50" s="27">
        <f t="shared" si="34"/>
        <v>0</v>
      </c>
      <c r="AN50" s="27">
        <f t="shared" si="22"/>
        <v>0</v>
      </c>
      <c r="AO50" s="27">
        <f t="shared" si="35"/>
        <v>0</v>
      </c>
      <c r="AP50" s="27">
        <f t="shared" si="23"/>
        <v>0</v>
      </c>
      <c r="AQ50" s="27">
        <f t="shared" si="36"/>
        <v>0</v>
      </c>
      <c r="AR50" s="27">
        <f t="shared" si="24"/>
        <v>0</v>
      </c>
      <c r="AS50" s="27">
        <f t="shared" si="25"/>
        <v>0</v>
      </c>
      <c r="AT50" s="89">
        <f t="shared" si="26"/>
        <v>0</v>
      </c>
    </row>
    <row r="51" spans="1:46">
      <c r="A51" s="80">
        <v>47</v>
      </c>
      <c r="C51" s="10">
        <f t="shared" si="27"/>
        <v>89</v>
      </c>
      <c r="D51" s="98" t="str" cm="1">
        <f t="array" ref="D51">_xlfn.IFS(C51&lt;=4,"1-4",C51&lt;=9,"5-9",C51&lt;=14,"10-14",C51&lt;=19,"15-19",C51&lt;=24,"20-24",C51&lt;=29,"25-29",C51&lt;=34,"30-34",C51&lt;=39,"35-39",C51&lt;=44,"40-44",C51&lt;=49,"45-49",C51&lt;=54,"50-54",C51&lt;=54,"50-54",C51&lt;=59,"55-59",C51&lt;=64,"60-64",C51&lt;=69,"65-69",C51&lt;=74,"70-74",C51&lt;=79,"75-79",C51&lt;=84,"80-84",C51&gt;84,"85+")</f>
        <v>85+</v>
      </c>
      <c r="E51" s="83">
        <f>IF(D51="85+",1,VLOOKUP(D51,'Life table 2014'!$AF$3:$AR$21,7,FALSE))</f>
        <v>1</v>
      </c>
      <c r="F51" s="72"/>
      <c r="G51" s="316">
        <f t="shared" si="5"/>
        <v>17155</v>
      </c>
      <c r="H51" s="27">
        <f>'Parameters &amp; DSA'!$B$119*G51^'Parameters &amp; DSA'!$B$120</f>
        <v>2.1418882701040904</v>
      </c>
      <c r="I51" s="314">
        <f t="shared" si="31"/>
        <v>4.7766099420350594E-2</v>
      </c>
      <c r="J51" s="72"/>
      <c r="K51" s="140">
        <f t="shared" si="37"/>
        <v>0</v>
      </c>
      <c r="L51" s="141">
        <f t="shared" si="38"/>
        <v>0</v>
      </c>
      <c r="M51" s="141">
        <f t="shared" si="39"/>
        <v>0</v>
      </c>
      <c r="N51" s="27">
        <f t="shared" si="40"/>
        <v>0</v>
      </c>
      <c r="O51" s="27">
        <f t="shared" si="41"/>
        <v>0</v>
      </c>
      <c r="P51" s="27">
        <f t="shared" si="42"/>
        <v>0</v>
      </c>
      <c r="Q51" s="27">
        <f t="shared" si="43"/>
        <v>0</v>
      </c>
      <c r="R51" s="27">
        <f t="shared" si="44"/>
        <v>0</v>
      </c>
      <c r="S51" s="27">
        <f t="shared" si="45"/>
        <v>0</v>
      </c>
      <c r="T51" s="27">
        <f t="shared" si="46"/>
        <v>0</v>
      </c>
      <c r="U51" s="27">
        <f t="shared" si="47"/>
        <v>0</v>
      </c>
      <c r="V51" s="27">
        <f t="shared" si="48"/>
        <v>0</v>
      </c>
      <c r="W51" s="27">
        <f t="shared" si="28"/>
        <v>0</v>
      </c>
      <c r="X51" s="27">
        <f t="shared" si="29"/>
        <v>0</v>
      </c>
      <c r="Y51" s="142">
        <f t="shared" si="49"/>
        <v>1.0000000000000011</v>
      </c>
      <c r="Z51" s="89">
        <f t="shared" si="30"/>
        <v>1.0000000000000011</v>
      </c>
      <c r="AB51" s="171">
        <f>(IF('Parameters &amp; DSA'!$H$1=1,(('Parameters &amp; DSA'!$B$79+'Parameters &amp; DSA'!$B$85+'Parameters &amp; DSA'!$B$89+'Parameters &amp; DSA'!$B$93)*K51)/(1+cDC)^$A51,(('Parameters &amp; DSA'!$B$79+'Parameters &amp; DSA'!$B$85)*K51)))*($AD$2/$AF$2)</f>
        <v>0</v>
      </c>
      <c r="AC51" s="371">
        <f>(IF('Parameters &amp; DSA'!$H$1=1,(('Parameters &amp; DSA'!$B$79+'Parameters &amp; DSA'!$B$85+'Parameters &amp; DSA'!$B$89+'Parameters &amp; DSA'!$B$93)*($M51+$N51))/(1+cDC)^$A51,(('Parameters &amp; DSA'!$B$79+'Parameters &amp; DSA'!$B$85)*($M51+$N51))))*($AD$2/$AF$2)</f>
        <v>0</v>
      </c>
      <c r="AD51" s="371">
        <f>(IF('Parameters &amp; DSA'!$H$1=1,(('Parameters &amp; DSA'!$B$79+'Parameters &amp; DSA'!$B$85+'Parameters &amp; DSA'!$B$89+'Parameters &amp; DSA'!$B$93)*(P51+Q51))/(1+cDC)^$A51,(('Parameters &amp; DSA'!$B$79+'Parameters &amp; DSA'!$B$85)*(P51+Q51))))*($AD$2/$AF$2)</f>
        <v>0</v>
      </c>
      <c r="AE51" s="371">
        <f>(IF('Parameters &amp; DSA'!$H$1=1,(('Parameters &amp; DSA'!$B$79+'Parameters &amp; DSA'!$B$85+'Parameters &amp; DSA'!$B$89+'Parameters &amp; DSA'!$B$93)*(S51+T51))/(1+cDC)^$A51,(('Parameters &amp; DSA'!$B$79+'Parameters &amp; DSA'!$B$85)*(S51+T51))))*($AD$2/$AF$2)</f>
        <v>0</v>
      </c>
      <c r="AF51" s="371">
        <f>(IF('Parameters &amp; DSA'!$H$1=1,(((W51-W50)*cM_Dialysis0)+(W51*cM_Dialysis1))/(1+'Parameters &amp; DSA'!$B$6)^$A51,(((W51-W50)*cM_Dialysis0)+(W51*cM_Dialysis1))))*($AD$2/$AG$2)</f>
        <v>0</v>
      </c>
      <c r="AG51" s="172">
        <f t="shared" si="19"/>
        <v>0</v>
      </c>
      <c r="AI51" s="88">
        <f t="shared" si="32"/>
        <v>0</v>
      </c>
      <c r="AJ51" s="27">
        <f t="shared" si="20"/>
        <v>0</v>
      </c>
      <c r="AK51" s="27">
        <f t="shared" si="33"/>
        <v>0</v>
      </c>
      <c r="AL51" s="27">
        <f t="shared" si="21"/>
        <v>0</v>
      </c>
      <c r="AM51" s="27">
        <f t="shared" si="34"/>
        <v>0</v>
      </c>
      <c r="AN51" s="27">
        <f t="shared" si="22"/>
        <v>0</v>
      </c>
      <c r="AO51" s="27">
        <f t="shared" si="35"/>
        <v>0</v>
      </c>
      <c r="AP51" s="27">
        <f t="shared" si="23"/>
        <v>0</v>
      </c>
      <c r="AQ51" s="27">
        <f t="shared" si="36"/>
        <v>0</v>
      </c>
      <c r="AR51" s="27">
        <f t="shared" si="24"/>
        <v>0</v>
      </c>
      <c r="AS51" s="27">
        <f t="shared" si="25"/>
        <v>0</v>
      </c>
      <c r="AT51" s="89">
        <f t="shared" si="26"/>
        <v>0</v>
      </c>
    </row>
    <row r="52" spans="1:46">
      <c r="A52" s="80">
        <v>48</v>
      </c>
      <c r="C52" s="10">
        <f t="shared" si="27"/>
        <v>90</v>
      </c>
      <c r="D52" s="98" t="str" cm="1">
        <f t="array" ref="D52">_xlfn.IFS(C52&lt;=4,"1-4",C52&lt;=9,"5-9",C52&lt;=14,"10-14",C52&lt;=19,"15-19",C52&lt;=24,"20-24",C52&lt;=29,"25-29",C52&lt;=34,"30-34",C52&lt;=39,"35-39",C52&lt;=44,"40-44",C52&lt;=49,"45-49",C52&lt;=54,"50-54",C52&lt;=54,"50-54",C52&lt;=59,"55-59",C52&lt;=64,"60-64",C52&lt;=69,"65-69",C52&lt;=74,"70-74",C52&lt;=79,"75-79",C52&lt;=84,"80-84",C52&gt;84,"85+")</f>
        <v>85+</v>
      </c>
      <c r="E52" s="83">
        <f>IF(D52="85+",1,VLOOKUP(D52,'Life table 2014'!$AF$3:$AR$21,7,FALSE))</f>
        <v>1</v>
      </c>
      <c r="F52" s="72"/>
      <c r="G52" s="316">
        <f t="shared" si="5"/>
        <v>17520</v>
      </c>
      <c r="H52" s="27">
        <f>'Parameters &amp; DSA'!$B$119*G52^'Parameters &amp; DSA'!$B$120</f>
        <v>2.1909108809952542</v>
      </c>
      <c r="I52" s="314">
        <f t="shared" si="31"/>
        <v>4.7840399721986393E-2</v>
      </c>
      <c r="J52" s="72"/>
      <c r="K52" s="140">
        <f t="shared" si="37"/>
        <v>0</v>
      </c>
      <c r="L52" s="141">
        <f t="shared" si="38"/>
        <v>0</v>
      </c>
      <c r="M52" s="141">
        <f t="shared" si="39"/>
        <v>0</v>
      </c>
      <c r="N52" s="27">
        <f t="shared" si="40"/>
        <v>0</v>
      </c>
      <c r="O52" s="27">
        <f t="shared" si="41"/>
        <v>0</v>
      </c>
      <c r="P52" s="27">
        <f t="shared" si="42"/>
        <v>0</v>
      </c>
      <c r="Q52" s="27">
        <f t="shared" si="43"/>
        <v>0</v>
      </c>
      <c r="R52" s="27">
        <f t="shared" si="44"/>
        <v>0</v>
      </c>
      <c r="S52" s="27">
        <f t="shared" si="45"/>
        <v>0</v>
      </c>
      <c r="T52" s="27">
        <f t="shared" si="46"/>
        <v>0</v>
      </c>
      <c r="U52" s="27">
        <f t="shared" si="47"/>
        <v>0</v>
      </c>
      <c r="V52" s="27">
        <f t="shared" si="48"/>
        <v>0</v>
      </c>
      <c r="W52" s="27">
        <f t="shared" si="28"/>
        <v>0</v>
      </c>
      <c r="X52" s="27">
        <f t="shared" si="29"/>
        <v>0</v>
      </c>
      <c r="Y52" s="142">
        <f t="shared" si="49"/>
        <v>1.0000000000000011</v>
      </c>
      <c r="Z52" s="89">
        <f t="shared" si="30"/>
        <v>1.0000000000000011</v>
      </c>
      <c r="AB52" s="171">
        <f>(IF('Parameters &amp; DSA'!$H$1=1,(('Parameters &amp; DSA'!$B$79+'Parameters &amp; DSA'!$B$85+'Parameters &amp; DSA'!$B$89+'Parameters &amp; DSA'!$B$93)*K52)/(1+cDC)^$A52,(('Parameters &amp; DSA'!$B$79+'Parameters &amp; DSA'!$B$85)*K52)))*($AD$2/$AF$2)</f>
        <v>0</v>
      </c>
      <c r="AC52" s="371">
        <f>(IF('Parameters &amp; DSA'!$H$1=1,(('Parameters &amp; DSA'!$B$79+'Parameters &amp; DSA'!$B$85+'Parameters &amp; DSA'!$B$89+'Parameters &amp; DSA'!$B$93)*($M52+$N52))/(1+cDC)^$A52,(('Parameters &amp; DSA'!$B$79+'Parameters &amp; DSA'!$B$85)*($M52+$N52))))*($AD$2/$AF$2)</f>
        <v>0</v>
      </c>
      <c r="AD52" s="371">
        <f>(IF('Parameters &amp; DSA'!$H$1=1,(('Parameters &amp; DSA'!$B$79+'Parameters &amp; DSA'!$B$85+'Parameters &amp; DSA'!$B$89+'Parameters &amp; DSA'!$B$93)*(P52+Q52))/(1+cDC)^$A52,(('Parameters &amp; DSA'!$B$79+'Parameters &amp; DSA'!$B$85)*(P52+Q52))))*($AD$2/$AF$2)</f>
        <v>0</v>
      </c>
      <c r="AE52" s="371">
        <f>(IF('Parameters &amp; DSA'!$H$1=1,(('Parameters &amp; DSA'!$B$79+'Parameters &amp; DSA'!$B$85+'Parameters &amp; DSA'!$B$89+'Parameters &amp; DSA'!$B$93)*(S52+T52))/(1+cDC)^$A52,(('Parameters &amp; DSA'!$B$79+'Parameters &amp; DSA'!$B$85)*(S52+T52))))*($AD$2/$AF$2)</f>
        <v>0</v>
      </c>
      <c r="AF52" s="371">
        <f>(IF('Parameters &amp; DSA'!$H$1=1,(((W52-W51)*cM_Dialysis0)+(W52*cM_Dialysis1))/(1+'Parameters &amp; DSA'!$B$6)^$A52,(((W52-W51)*cM_Dialysis0)+(W52*cM_Dialysis1))))*($AD$2/$AG$2)</f>
        <v>0</v>
      </c>
      <c r="AG52" s="172">
        <f t="shared" si="19"/>
        <v>0</v>
      </c>
      <c r="AI52" s="88">
        <f t="shared" si="32"/>
        <v>0</v>
      </c>
      <c r="AJ52" s="27">
        <f t="shared" si="20"/>
        <v>0</v>
      </c>
      <c r="AK52" s="27">
        <f t="shared" si="33"/>
        <v>0</v>
      </c>
      <c r="AL52" s="27">
        <f t="shared" si="21"/>
        <v>0</v>
      </c>
      <c r="AM52" s="27">
        <f t="shared" si="34"/>
        <v>0</v>
      </c>
      <c r="AN52" s="27">
        <f t="shared" si="22"/>
        <v>0</v>
      </c>
      <c r="AO52" s="27">
        <f t="shared" si="35"/>
        <v>0</v>
      </c>
      <c r="AP52" s="27">
        <f t="shared" si="23"/>
        <v>0</v>
      </c>
      <c r="AQ52" s="27">
        <f t="shared" si="36"/>
        <v>0</v>
      </c>
      <c r="AR52" s="27">
        <f t="shared" si="24"/>
        <v>0</v>
      </c>
      <c r="AS52" s="27">
        <f t="shared" si="25"/>
        <v>0</v>
      </c>
      <c r="AT52" s="89">
        <f t="shared" si="26"/>
        <v>0</v>
      </c>
    </row>
    <row r="53" spans="1:46">
      <c r="A53" s="80">
        <v>49</v>
      </c>
      <c r="C53" s="10">
        <f t="shared" si="27"/>
        <v>91</v>
      </c>
      <c r="D53" s="98" t="str" cm="1">
        <f t="array" ref="D53">_xlfn.IFS(C53&lt;=4,"1-4",C53&lt;=9,"5-9",C53&lt;=14,"10-14",C53&lt;=19,"15-19",C53&lt;=24,"20-24",C53&lt;=29,"25-29",C53&lt;=34,"30-34",C53&lt;=39,"35-39",C53&lt;=44,"40-44",C53&lt;=49,"45-49",C53&lt;=54,"50-54",C53&lt;=54,"50-54",C53&lt;=59,"55-59",C53&lt;=64,"60-64",C53&lt;=69,"65-69",C53&lt;=74,"70-74",C53&lt;=79,"75-79",C53&lt;=84,"80-84",C53&gt;84,"85+")</f>
        <v>85+</v>
      </c>
      <c r="E53" s="83">
        <f>IF(D53="85+",1,VLOOKUP(D53,'Life table 2014'!$AF$3:$AR$21,7,FALSE))</f>
        <v>1</v>
      </c>
      <c r="F53" s="72"/>
      <c r="G53" s="316">
        <f t="shared" si="5"/>
        <v>17885</v>
      </c>
      <c r="H53" s="27">
        <f>'Parameters &amp; DSA'!$B$119*G53^'Parameters &amp; DSA'!$B$120</f>
        <v>2.2400100169712074</v>
      </c>
      <c r="I53" s="314">
        <f t="shared" si="31"/>
        <v>4.7913261028236231E-2</v>
      </c>
      <c r="J53" s="72"/>
      <c r="K53" s="140">
        <f t="shared" si="37"/>
        <v>0</v>
      </c>
      <c r="L53" s="141">
        <f t="shared" si="38"/>
        <v>0</v>
      </c>
      <c r="M53" s="141">
        <f t="shared" si="39"/>
        <v>0</v>
      </c>
      <c r="N53" s="27">
        <f t="shared" si="40"/>
        <v>0</v>
      </c>
      <c r="O53" s="27">
        <f t="shared" si="41"/>
        <v>0</v>
      </c>
      <c r="P53" s="27">
        <f t="shared" si="42"/>
        <v>0</v>
      </c>
      <c r="Q53" s="27">
        <f t="shared" si="43"/>
        <v>0</v>
      </c>
      <c r="R53" s="27">
        <f t="shared" si="44"/>
        <v>0</v>
      </c>
      <c r="S53" s="27">
        <f t="shared" si="45"/>
        <v>0</v>
      </c>
      <c r="T53" s="27">
        <f t="shared" si="46"/>
        <v>0</v>
      </c>
      <c r="U53" s="27">
        <f t="shared" si="47"/>
        <v>0</v>
      </c>
      <c r="V53" s="27">
        <f t="shared" si="48"/>
        <v>0</v>
      </c>
      <c r="W53" s="27">
        <f t="shared" si="28"/>
        <v>0</v>
      </c>
      <c r="X53" s="27">
        <f t="shared" si="29"/>
        <v>0</v>
      </c>
      <c r="Y53" s="142">
        <f t="shared" si="49"/>
        <v>1.0000000000000011</v>
      </c>
      <c r="Z53" s="89">
        <f t="shared" si="30"/>
        <v>1.0000000000000011</v>
      </c>
      <c r="AB53" s="171">
        <f>(IF('Parameters &amp; DSA'!$H$1=1,(('Parameters &amp; DSA'!$B$79+'Parameters &amp; DSA'!$B$85+'Parameters &amp; DSA'!$B$89+'Parameters &amp; DSA'!$B$93)*K53)/(1+cDC)^$A53,(('Parameters &amp; DSA'!$B$79+'Parameters &amp; DSA'!$B$85)*K53)))*($AD$2/$AF$2)</f>
        <v>0</v>
      </c>
      <c r="AC53" s="371">
        <f>(IF('Parameters &amp; DSA'!$H$1=1,(('Parameters &amp; DSA'!$B$79+'Parameters &amp; DSA'!$B$85+'Parameters &amp; DSA'!$B$89+'Parameters &amp; DSA'!$B$93)*($M53+$N53))/(1+cDC)^$A53,(('Parameters &amp; DSA'!$B$79+'Parameters &amp; DSA'!$B$85)*($M53+$N53))))*($AD$2/$AF$2)</f>
        <v>0</v>
      </c>
      <c r="AD53" s="371">
        <f>(IF('Parameters &amp; DSA'!$H$1=1,(('Parameters &amp; DSA'!$B$79+'Parameters &amp; DSA'!$B$85+'Parameters &amp; DSA'!$B$89+'Parameters &amp; DSA'!$B$93)*(P53+Q53))/(1+cDC)^$A53,(('Parameters &amp; DSA'!$B$79+'Parameters &amp; DSA'!$B$85)*(P53+Q53))))*($AD$2/$AF$2)</f>
        <v>0</v>
      </c>
      <c r="AE53" s="371">
        <f>(IF('Parameters &amp; DSA'!$H$1=1,(('Parameters &amp; DSA'!$B$79+'Parameters &amp; DSA'!$B$85+'Parameters &amp; DSA'!$B$89+'Parameters &amp; DSA'!$B$93)*(S53+T53))/(1+cDC)^$A53,(('Parameters &amp; DSA'!$B$79+'Parameters &amp; DSA'!$B$85)*(S53+T53))))*($AD$2/$AF$2)</f>
        <v>0</v>
      </c>
      <c r="AF53" s="371">
        <f>(IF('Parameters &amp; DSA'!$H$1=1,(((W53-W52)*cM_Dialysis0)+(W53*cM_Dialysis1))/(1+'Parameters &amp; DSA'!$B$6)^$A53,(((W53-W52)*cM_Dialysis0)+(W53*cM_Dialysis1))))*($AD$2/$AG$2)</f>
        <v>0</v>
      </c>
      <c r="AG53" s="172">
        <f t="shared" si="19"/>
        <v>0</v>
      </c>
      <c r="AI53" s="88">
        <f t="shared" si="32"/>
        <v>0</v>
      </c>
      <c r="AJ53" s="27">
        <f t="shared" si="20"/>
        <v>0</v>
      </c>
      <c r="AK53" s="27">
        <f t="shared" si="33"/>
        <v>0</v>
      </c>
      <c r="AL53" s="27">
        <f t="shared" si="21"/>
        <v>0</v>
      </c>
      <c r="AM53" s="27">
        <f t="shared" si="34"/>
        <v>0</v>
      </c>
      <c r="AN53" s="27">
        <f t="shared" si="22"/>
        <v>0</v>
      </c>
      <c r="AO53" s="27">
        <f t="shared" si="35"/>
        <v>0</v>
      </c>
      <c r="AP53" s="27">
        <f t="shared" si="23"/>
        <v>0</v>
      </c>
      <c r="AQ53" s="27">
        <f t="shared" si="36"/>
        <v>0</v>
      </c>
      <c r="AR53" s="27">
        <f t="shared" si="24"/>
        <v>0</v>
      </c>
      <c r="AS53" s="27">
        <f t="shared" si="25"/>
        <v>0</v>
      </c>
      <c r="AT53" s="89">
        <f t="shared" si="26"/>
        <v>0</v>
      </c>
    </row>
    <row r="54" spans="1:46">
      <c r="A54" s="80">
        <v>50</v>
      </c>
      <c r="C54" s="10">
        <f t="shared" si="27"/>
        <v>92</v>
      </c>
      <c r="D54" s="98" t="str" cm="1">
        <f t="array" ref="D54">_xlfn.IFS(C54&lt;=4,"1-4",C54&lt;=9,"5-9",C54&lt;=14,"10-14",C54&lt;=19,"15-19",C54&lt;=24,"20-24",C54&lt;=29,"25-29",C54&lt;=34,"30-34",C54&lt;=39,"35-39",C54&lt;=44,"40-44",C54&lt;=49,"45-49",C54&lt;=54,"50-54",C54&lt;=54,"50-54",C54&lt;=59,"55-59",C54&lt;=64,"60-64",C54&lt;=69,"65-69",C54&lt;=74,"70-74",C54&lt;=79,"75-79",C54&lt;=84,"80-84",C54&gt;84,"85+")</f>
        <v>85+</v>
      </c>
      <c r="E54" s="83">
        <f>IF(D54="85+",1,VLOOKUP(D54,'Life table 2014'!$AF$3:$AR$21,7,FALSE))</f>
        <v>1</v>
      </c>
      <c r="F54" s="72"/>
      <c r="G54" s="316">
        <f t="shared" si="5"/>
        <v>18250</v>
      </c>
      <c r="H54" s="27">
        <f>'Parameters &amp; DSA'!$B$119*G54^'Parameters &amp; DSA'!$B$120</f>
        <v>2.2891842319078073</v>
      </c>
      <c r="I54" s="314">
        <f t="shared" si="31"/>
        <v>4.7984740027725792E-2</v>
      </c>
      <c r="J54" s="72"/>
      <c r="K54" s="140">
        <f t="shared" si="37"/>
        <v>0</v>
      </c>
      <c r="L54" s="141">
        <f t="shared" si="38"/>
        <v>0</v>
      </c>
      <c r="M54" s="141">
        <f t="shared" si="39"/>
        <v>0</v>
      </c>
      <c r="N54" s="27">
        <f t="shared" si="40"/>
        <v>0</v>
      </c>
      <c r="O54" s="27">
        <f t="shared" si="41"/>
        <v>0</v>
      </c>
      <c r="P54" s="27">
        <f t="shared" si="42"/>
        <v>0</v>
      </c>
      <c r="Q54" s="27">
        <f t="shared" si="43"/>
        <v>0</v>
      </c>
      <c r="R54" s="27">
        <f t="shared" si="44"/>
        <v>0</v>
      </c>
      <c r="S54" s="27">
        <f t="shared" si="45"/>
        <v>0</v>
      </c>
      <c r="T54" s="27">
        <f t="shared" si="46"/>
        <v>0</v>
      </c>
      <c r="U54" s="27">
        <f t="shared" si="47"/>
        <v>0</v>
      </c>
      <c r="V54" s="27">
        <f t="shared" si="48"/>
        <v>0</v>
      </c>
      <c r="W54" s="27">
        <f t="shared" si="28"/>
        <v>0</v>
      </c>
      <c r="X54" s="27">
        <f t="shared" si="29"/>
        <v>0</v>
      </c>
      <c r="Y54" s="142">
        <f t="shared" si="49"/>
        <v>1.0000000000000011</v>
      </c>
      <c r="Z54" s="89">
        <f t="shared" si="30"/>
        <v>1.0000000000000011</v>
      </c>
      <c r="AB54" s="171">
        <f>(IF('Parameters &amp; DSA'!$H$1=1,(('Parameters &amp; DSA'!$B$79+'Parameters &amp; DSA'!$B$85+'Parameters &amp; DSA'!$B$89+'Parameters &amp; DSA'!$B$93)*K54)/(1+cDC)^$A54,(('Parameters &amp; DSA'!$B$79+'Parameters &amp; DSA'!$B$85)*K54)))*($AD$2/$AF$2)</f>
        <v>0</v>
      </c>
      <c r="AC54" s="371">
        <f>(IF('Parameters &amp; DSA'!$H$1=1,(('Parameters &amp; DSA'!$B$79+'Parameters &amp; DSA'!$B$85+'Parameters &amp; DSA'!$B$89+'Parameters &amp; DSA'!$B$93)*($M54+$N54))/(1+cDC)^$A54,(('Parameters &amp; DSA'!$B$79+'Parameters &amp; DSA'!$B$85)*($M54+$N54))))*($AD$2/$AF$2)</f>
        <v>0</v>
      </c>
      <c r="AD54" s="371">
        <f>(IF('Parameters &amp; DSA'!$H$1=1,(('Parameters &amp; DSA'!$B$79+'Parameters &amp; DSA'!$B$85+'Parameters &amp; DSA'!$B$89+'Parameters &amp; DSA'!$B$93)*(P54+Q54))/(1+cDC)^$A54,(('Parameters &amp; DSA'!$B$79+'Parameters &amp; DSA'!$B$85)*(P54+Q54))))*($AD$2/$AF$2)</f>
        <v>0</v>
      </c>
      <c r="AE54" s="371">
        <f>(IF('Parameters &amp; DSA'!$H$1=1,(('Parameters &amp; DSA'!$B$79+'Parameters &amp; DSA'!$B$85+'Parameters &amp; DSA'!$B$89+'Parameters &amp; DSA'!$B$93)*(S54+T54))/(1+cDC)^$A54,(('Parameters &amp; DSA'!$B$79+'Parameters &amp; DSA'!$B$85)*(S54+T54))))*($AD$2/$AF$2)</f>
        <v>0</v>
      </c>
      <c r="AF54" s="371">
        <f>(IF('Parameters &amp; DSA'!$H$1=1,(((W54-W53)*cM_Dialysis0)+(W54*cM_Dialysis1))/(1+'Parameters &amp; DSA'!$B$6)^$A54,(((W54-W53)*cM_Dialysis0)+(W54*cM_Dialysis1))))*($AD$2/$AG$2)</f>
        <v>0</v>
      </c>
      <c r="AG54" s="172">
        <f t="shared" si="19"/>
        <v>0</v>
      </c>
      <c r="AI54" s="88">
        <f t="shared" si="32"/>
        <v>0</v>
      </c>
      <c r="AJ54" s="27">
        <f t="shared" si="20"/>
        <v>0</v>
      </c>
      <c r="AK54" s="27">
        <f t="shared" si="33"/>
        <v>0</v>
      </c>
      <c r="AL54" s="27">
        <f t="shared" si="21"/>
        <v>0</v>
      </c>
      <c r="AM54" s="27">
        <f t="shared" si="34"/>
        <v>0</v>
      </c>
      <c r="AN54" s="27">
        <f t="shared" si="22"/>
        <v>0</v>
      </c>
      <c r="AO54" s="27">
        <f t="shared" si="35"/>
        <v>0</v>
      </c>
      <c r="AP54" s="27">
        <f t="shared" si="23"/>
        <v>0</v>
      </c>
      <c r="AQ54" s="27">
        <f t="shared" si="36"/>
        <v>0</v>
      </c>
      <c r="AR54" s="27">
        <f t="shared" si="24"/>
        <v>0</v>
      </c>
      <c r="AS54" s="27">
        <f t="shared" si="25"/>
        <v>0</v>
      </c>
      <c r="AT54" s="89">
        <f t="shared" si="26"/>
        <v>0</v>
      </c>
    </row>
    <row r="55" spans="1:46">
      <c r="A55" s="80">
        <v>51</v>
      </c>
      <c r="C55" s="10">
        <f t="shared" si="27"/>
        <v>93</v>
      </c>
      <c r="D55" s="98" t="str" cm="1">
        <f t="array" ref="D55">_xlfn.IFS(C55&lt;=4,"1-4",C55&lt;=9,"5-9",C55&lt;=14,"10-14",C55&lt;=19,"15-19",C55&lt;=24,"20-24",C55&lt;=29,"25-29",C55&lt;=34,"30-34",C55&lt;=39,"35-39",C55&lt;=44,"40-44",C55&lt;=49,"45-49",C55&lt;=54,"50-54",C55&lt;=54,"50-54",C55&lt;=59,"55-59",C55&lt;=64,"60-64",C55&lt;=69,"65-69",C55&lt;=74,"70-74",C55&lt;=79,"75-79",C55&lt;=84,"80-84",C55&gt;84,"85+")</f>
        <v>85+</v>
      </c>
      <c r="E55" s="83">
        <f>IF(D55="85+",1,VLOOKUP(D55,'Life table 2014'!$AF$3:$AR$21,7,FALSE))</f>
        <v>1</v>
      </c>
      <c r="F55" s="72"/>
      <c r="G55" s="316">
        <f t="shared" si="5"/>
        <v>18615</v>
      </c>
      <c r="H55" s="27">
        <f>'Parameters &amp; DSA'!$B$119*G55^'Parameters &amp; DSA'!$B$120</f>
        <v>2.3384321354138144</v>
      </c>
      <c r="I55" s="314">
        <f t="shared" si="31"/>
        <v>4.8054890085626578E-2</v>
      </c>
      <c r="J55" s="72"/>
      <c r="K55" s="140">
        <f t="shared" si="37"/>
        <v>0</v>
      </c>
      <c r="L55" s="141">
        <f t="shared" si="38"/>
        <v>0</v>
      </c>
      <c r="M55" s="141">
        <f t="shared" si="39"/>
        <v>0</v>
      </c>
      <c r="N55" s="27">
        <f t="shared" si="40"/>
        <v>0</v>
      </c>
      <c r="O55" s="27">
        <f t="shared" si="41"/>
        <v>0</v>
      </c>
      <c r="P55" s="27">
        <f t="shared" si="42"/>
        <v>0</v>
      </c>
      <c r="Q55" s="27">
        <f t="shared" si="43"/>
        <v>0</v>
      </c>
      <c r="R55" s="27">
        <f t="shared" si="44"/>
        <v>0</v>
      </c>
      <c r="S55" s="27">
        <f t="shared" si="45"/>
        <v>0</v>
      </c>
      <c r="T55" s="27">
        <f t="shared" si="46"/>
        <v>0</v>
      </c>
      <c r="U55" s="27">
        <f t="shared" si="47"/>
        <v>0</v>
      </c>
      <c r="V55" s="27">
        <f t="shared" si="48"/>
        <v>0</v>
      </c>
      <c r="W55" s="27">
        <f t="shared" si="28"/>
        <v>0</v>
      </c>
      <c r="X55" s="27">
        <f t="shared" si="29"/>
        <v>0</v>
      </c>
      <c r="Y55" s="142">
        <f t="shared" si="49"/>
        <v>1.0000000000000011</v>
      </c>
      <c r="Z55" s="89">
        <f t="shared" si="30"/>
        <v>1.0000000000000011</v>
      </c>
      <c r="AB55" s="171">
        <f>(IF('Parameters &amp; DSA'!$H$1=1,(('Parameters &amp; DSA'!$B$79+'Parameters &amp; DSA'!$B$85+'Parameters &amp; DSA'!$B$89+'Parameters &amp; DSA'!$B$93)*K55)/(1+cDC)^$A55,(('Parameters &amp; DSA'!$B$79+'Parameters &amp; DSA'!$B$85)*K55)))*($AD$2/$AF$2)</f>
        <v>0</v>
      </c>
      <c r="AC55" s="371">
        <f>(IF('Parameters &amp; DSA'!$H$1=1,(('Parameters &amp; DSA'!$B$79+'Parameters &amp; DSA'!$B$85+'Parameters &amp; DSA'!$B$89+'Parameters &amp; DSA'!$B$93)*($M55+$N55))/(1+cDC)^$A55,(('Parameters &amp; DSA'!$B$79+'Parameters &amp; DSA'!$B$85)*($M55+$N55))))*($AD$2/$AF$2)</f>
        <v>0</v>
      </c>
      <c r="AD55" s="371">
        <f>(IF('Parameters &amp; DSA'!$H$1=1,(('Parameters &amp; DSA'!$B$79+'Parameters &amp; DSA'!$B$85+'Parameters &amp; DSA'!$B$89+'Parameters &amp; DSA'!$B$93)*(P55+Q55))/(1+cDC)^$A55,(('Parameters &amp; DSA'!$B$79+'Parameters &amp; DSA'!$B$85)*(P55+Q55))))*($AD$2/$AF$2)</f>
        <v>0</v>
      </c>
      <c r="AE55" s="371">
        <f>(IF('Parameters &amp; DSA'!$H$1=1,(('Parameters &amp; DSA'!$B$79+'Parameters &amp; DSA'!$B$85+'Parameters &amp; DSA'!$B$89+'Parameters &amp; DSA'!$B$93)*(S55+T55))/(1+cDC)^$A55,(('Parameters &amp; DSA'!$B$79+'Parameters &amp; DSA'!$B$85)*(S55+T55))))*($AD$2/$AF$2)</f>
        <v>0</v>
      </c>
      <c r="AF55" s="371">
        <f>(IF('Parameters &amp; DSA'!$H$1=1,(((W55-W54)*cM_Dialysis0)+(W55*cM_Dialysis1))/(1+'Parameters &amp; DSA'!$B$6)^$A55,(((W55-W54)*cM_Dialysis0)+(W55*cM_Dialysis1))))*($AD$2/$AG$2)</f>
        <v>0</v>
      </c>
      <c r="AG55" s="172">
        <f t="shared" si="19"/>
        <v>0</v>
      </c>
      <c r="AI55" s="88">
        <f t="shared" si="32"/>
        <v>0</v>
      </c>
      <c r="AJ55" s="27">
        <f t="shared" si="20"/>
        <v>0</v>
      </c>
      <c r="AK55" s="27">
        <f t="shared" si="33"/>
        <v>0</v>
      </c>
      <c r="AL55" s="27">
        <f t="shared" si="21"/>
        <v>0</v>
      </c>
      <c r="AM55" s="27">
        <f t="shared" si="34"/>
        <v>0</v>
      </c>
      <c r="AN55" s="27">
        <f t="shared" si="22"/>
        <v>0</v>
      </c>
      <c r="AO55" s="27">
        <f t="shared" si="35"/>
        <v>0</v>
      </c>
      <c r="AP55" s="27">
        <f t="shared" si="23"/>
        <v>0</v>
      </c>
      <c r="AQ55" s="27">
        <f t="shared" si="36"/>
        <v>0</v>
      </c>
      <c r="AR55" s="27">
        <f t="shared" si="24"/>
        <v>0</v>
      </c>
      <c r="AS55" s="27">
        <f t="shared" si="25"/>
        <v>0</v>
      </c>
      <c r="AT55" s="89">
        <f t="shared" si="26"/>
        <v>0</v>
      </c>
    </row>
    <row r="56" spans="1:46">
      <c r="A56" s="80">
        <v>52</v>
      </c>
      <c r="C56" s="10">
        <f t="shared" si="27"/>
        <v>94</v>
      </c>
      <c r="D56" s="98" t="str" cm="1">
        <f t="array" ref="D56">_xlfn.IFS(C56&lt;=4,"1-4",C56&lt;=9,"5-9",C56&lt;=14,"10-14",C56&lt;=19,"15-19",C56&lt;=24,"20-24",C56&lt;=29,"25-29",C56&lt;=34,"30-34",C56&lt;=39,"35-39",C56&lt;=44,"40-44",C56&lt;=49,"45-49",C56&lt;=54,"50-54",C56&lt;=54,"50-54",C56&lt;=59,"55-59",C56&lt;=64,"60-64",C56&lt;=69,"65-69",C56&lt;=74,"70-74",C56&lt;=79,"75-79",C56&lt;=84,"80-84",C56&gt;84,"85+")</f>
        <v>85+</v>
      </c>
      <c r="E56" s="83">
        <f>IF(D56="85+",1,VLOOKUP(D56,'Life table 2014'!$AF$3:$AR$21,7,FALSE))</f>
        <v>1</v>
      </c>
      <c r="F56" s="72"/>
      <c r="G56" s="316">
        <f t="shared" si="5"/>
        <v>18980</v>
      </c>
      <c r="H56" s="27">
        <f>'Parameters &amp; DSA'!$B$119*G56^'Parameters &amp; DSA'!$B$120</f>
        <v>2.3877523896311179</v>
      </c>
      <c r="I56" s="314">
        <f t="shared" si="31"/>
        <v>4.8123761499965889E-2</v>
      </c>
      <c r="J56" s="72"/>
      <c r="K56" s="140">
        <f t="shared" si="37"/>
        <v>0</v>
      </c>
      <c r="L56" s="141">
        <f t="shared" si="38"/>
        <v>0</v>
      </c>
      <c r="M56" s="141">
        <f t="shared" si="39"/>
        <v>0</v>
      </c>
      <c r="N56" s="27">
        <f t="shared" si="40"/>
        <v>0</v>
      </c>
      <c r="O56" s="27">
        <f t="shared" si="41"/>
        <v>0</v>
      </c>
      <c r="P56" s="27">
        <f t="shared" si="42"/>
        <v>0</v>
      </c>
      <c r="Q56" s="27">
        <f t="shared" si="43"/>
        <v>0</v>
      </c>
      <c r="R56" s="27">
        <f t="shared" si="44"/>
        <v>0</v>
      </c>
      <c r="S56" s="27">
        <f t="shared" si="45"/>
        <v>0</v>
      </c>
      <c r="T56" s="27">
        <f t="shared" si="46"/>
        <v>0</v>
      </c>
      <c r="U56" s="27">
        <f t="shared" si="47"/>
        <v>0</v>
      </c>
      <c r="V56" s="27">
        <f t="shared" si="48"/>
        <v>0</v>
      </c>
      <c r="W56" s="27">
        <f t="shared" si="28"/>
        <v>0</v>
      </c>
      <c r="X56" s="27">
        <f t="shared" si="29"/>
        <v>0</v>
      </c>
      <c r="Y56" s="142">
        <f t="shared" si="49"/>
        <v>1.0000000000000011</v>
      </c>
      <c r="Z56" s="89">
        <f t="shared" si="30"/>
        <v>1.0000000000000011</v>
      </c>
      <c r="AB56" s="171">
        <f>(IF('Parameters &amp; DSA'!$H$1=1,(('Parameters &amp; DSA'!$B$79+'Parameters &amp; DSA'!$B$85+'Parameters &amp; DSA'!$B$89+'Parameters &amp; DSA'!$B$93)*K56)/(1+cDC)^$A56,(('Parameters &amp; DSA'!$B$79+'Parameters &amp; DSA'!$B$85)*K56)))*($AD$2/$AF$2)</f>
        <v>0</v>
      </c>
      <c r="AC56" s="371">
        <f>(IF('Parameters &amp; DSA'!$H$1=1,(('Parameters &amp; DSA'!$B$79+'Parameters &amp; DSA'!$B$85+'Parameters &amp; DSA'!$B$89+'Parameters &amp; DSA'!$B$93)*($M56+$N56))/(1+cDC)^$A56,(('Parameters &amp; DSA'!$B$79+'Parameters &amp; DSA'!$B$85)*($M56+$N56))))*($AD$2/$AF$2)</f>
        <v>0</v>
      </c>
      <c r="AD56" s="371">
        <f>(IF('Parameters &amp; DSA'!$H$1=1,(('Parameters &amp; DSA'!$B$79+'Parameters &amp; DSA'!$B$85+'Parameters &amp; DSA'!$B$89+'Parameters &amp; DSA'!$B$93)*(P56+Q56))/(1+cDC)^$A56,(('Parameters &amp; DSA'!$B$79+'Parameters &amp; DSA'!$B$85)*(P56+Q56))))*($AD$2/$AF$2)</f>
        <v>0</v>
      </c>
      <c r="AE56" s="371">
        <f>(IF('Parameters &amp; DSA'!$H$1=1,(('Parameters &amp; DSA'!$B$79+'Parameters &amp; DSA'!$B$85+'Parameters &amp; DSA'!$B$89+'Parameters &amp; DSA'!$B$93)*(S56+T56))/(1+cDC)^$A56,(('Parameters &amp; DSA'!$B$79+'Parameters &amp; DSA'!$B$85)*(S56+T56))))*($AD$2/$AF$2)</f>
        <v>0</v>
      </c>
      <c r="AF56" s="371">
        <f>(IF('Parameters &amp; DSA'!$H$1=1,(((W56-W55)*cM_Dialysis0)+(W56*cM_Dialysis1))/(1+'Parameters &amp; DSA'!$B$6)^$A56,(((W56-W55)*cM_Dialysis0)+(W56*cM_Dialysis1))))*($AD$2/$AG$2)</f>
        <v>0</v>
      </c>
      <c r="AG56" s="172">
        <f t="shared" si="19"/>
        <v>0</v>
      </c>
      <c r="AI56" s="88">
        <f t="shared" si="32"/>
        <v>0</v>
      </c>
      <c r="AJ56" s="27">
        <f t="shared" si="20"/>
        <v>0</v>
      </c>
      <c r="AK56" s="27">
        <f t="shared" si="33"/>
        <v>0</v>
      </c>
      <c r="AL56" s="27">
        <f t="shared" si="21"/>
        <v>0</v>
      </c>
      <c r="AM56" s="27">
        <f t="shared" si="34"/>
        <v>0</v>
      </c>
      <c r="AN56" s="27">
        <f t="shared" si="22"/>
        <v>0</v>
      </c>
      <c r="AO56" s="27">
        <f t="shared" si="35"/>
        <v>0</v>
      </c>
      <c r="AP56" s="27">
        <f t="shared" si="23"/>
        <v>0</v>
      </c>
      <c r="AQ56" s="27">
        <f t="shared" si="36"/>
        <v>0</v>
      </c>
      <c r="AR56" s="27">
        <f t="shared" si="24"/>
        <v>0</v>
      </c>
      <c r="AS56" s="27">
        <f t="shared" si="25"/>
        <v>0</v>
      </c>
      <c r="AT56" s="89">
        <f t="shared" si="26"/>
        <v>0</v>
      </c>
    </row>
    <row r="57" spans="1:46">
      <c r="A57" s="80">
        <v>53</v>
      </c>
      <c r="C57" s="10">
        <f t="shared" si="27"/>
        <v>95</v>
      </c>
      <c r="D57" s="98" t="str" cm="1">
        <f t="array" ref="D57">_xlfn.IFS(C57&lt;=4,"1-4",C57&lt;=9,"5-9",C57&lt;=14,"10-14",C57&lt;=19,"15-19",C57&lt;=24,"20-24",C57&lt;=29,"25-29",C57&lt;=34,"30-34",C57&lt;=39,"35-39",C57&lt;=44,"40-44",C57&lt;=49,"45-49",C57&lt;=54,"50-54",C57&lt;=54,"50-54",C57&lt;=59,"55-59",C57&lt;=64,"60-64",C57&lt;=69,"65-69",C57&lt;=74,"70-74",C57&lt;=79,"75-79",C57&lt;=84,"80-84",C57&gt;84,"85+")</f>
        <v>85+</v>
      </c>
      <c r="E57" s="83">
        <f>IF(D57="85+",1,VLOOKUP(D57,'Life table 2014'!$AF$3:$AR$21,7,FALSE))</f>
        <v>1</v>
      </c>
      <c r="F57" s="72"/>
      <c r="G57" s="316">
        <f t="shared" si="5"/>
        <v>19345</v>
      </c>
      <c r="H57" s="27">
        <f>'Parameters &amp; DSA'!$B$119*G57^'Parameters &amp; DSA'!$B$120</f>
        <v>2.4371437062766717</v>
      </c>
      <c r="I57" s="314">
        <f t="shared" si="31"/>
        <v>4.819140173349945E-2</v>
      </c>
      <c r="J57" s="72"/>
      <c r="K57" s="140">
        <f t="shared" si="37"/>
        <v>0</v>
      </c>
      <c r="L57" s="141">
        <f t="shared" si="38"/>
        <v>0</v>
      </c>
      <c r="M57" s="141">
        <f t="shared" si="39"/>
        <v>0</v>
      </c>
      <c r="N57" s="27">
        <f t="shared" si="40"/>
        <v>0</v>
      </c>
      <c r="O57" s="27">
        <f t="shared" si="41"/>
        <v>0</v>
      </c>
      <c r="P57" s="27">
        <f t="shared" si="42"/>
        <v>0</v>
      </c>
      <c r="Q57" s="27">
        <f t="shared" si="43"/>
        <v>0</v>
      </c>
      <c r="R57" s="27">
        <f t="shared" si="44"/>
        <v>0</v>
      </c>
      <c r="S57" s="27">
        <f t="shared" si="45"/>
        <v>0</v>
      </c>
      <c r="T57" s="27">
        <f t="shared" si="46"/>
        <v>0</v>
      </c>
      <c r="U57" s="27">
        <f t="shared" si="47"/>
        <v>0</v>
      </c>
      <c r="V57" s="27">
        <f t="shared" si="48"/>
        <v>0</v>
      </c>
      <c r="W57" s="27">
        <f t="shared" si="28"/>
        <v>0</v>
      </c>
      <c r="X57" s="27">
        <f t="shared" si="29"/>
        <v>0</v>
      </c>
      <c r="Y57" s="142">
        <f t="shared" si="49"/>
        <v>1.0000000000000011</v>
      </c>
      <c r="Z57" s="89">
        <f t="shared" si="30"/>
        <v>1.0000000000000011</v>
      </c>
      <c r="AB57" s="171">
        <f>(IF('Parameters &amp; DSA'!$H$1=1,(('Parameters &amp; DSA'!$B$79+'Parameters &amp; DSA'!$B$85+'Parameters &amp; DSA'!$B$89+'Parameters &amp; DSA'!$B$93)*K57)/(1+cDC)^$A57,(('Parameters &amp; DSA'!$B$79+'Parameters &amp; DSA'!$B$85)*K57)))*($AD$2/$AF$2)</f>
        <v>0</v>
      </c>
      <c r="AC57" s="371">
        <f>(IF('Parameters &amp; DSA'!$H$1=1,(('Parameters &amp; DSA'!$B$79+'Parameters &amp; DSA'!$B$85+'Parameters &amp; DSA'!$B$89+'Parameters &amp; DSA'!$B$93)*($M57+$N57))/(1+cDC)^$A57,(('Parameters &amp; DSA'!$B$79+'Parameters &amp; DSA'!$B$85)*($M57+$N57))))*($AD$2/$AF$2)</f>
        <v>0</v>
      </c>
      <c r="AD57" s="371">
        <f>(IF('Parameters &amp; DSA'!$H$1=1,(('Parameters &amp; DSA'!$B$79+'Parameters &amp; DSA'!$B$85+'Parameters &amp; DSA'!$B$89+'Parameters &amp; DSA'!$B$93)*(P57+Q57))/(1+cDC)^$A57,(('Parameters &amp; DSA'!$B$79+'Parameters &amp; DSA'!$B$85)*(P57+Q57))))*($AD$2/$AF$2)</f>
        <v>0</v>
      </c>
      <c r="AE57" s="371">
        <f>(IF('Parameters &amp; DSA'!$H$1=1,(('Parameters &amp; DSA'!$B$79+'Parameters &amp; DSA'!$B$85+'Parameters &amp; DSA'!$B$89+'Parameters &amp; DSA'!$B$93)*(S57+T57))/(1+cDC)^$A57,(('Parameters &amp; DSA'!$B$79+'Parameters &amp; DSA'!$B$85)*(S57+T57))))*($AD$2/$AF$2)</f>
        <v>0</v>
      </c>
      <c r="AF57" s="371">
        <f>(IF('Parameters &amp; DSA'!$H$1=1,(((W57-W56)*cM_Dialysis0)+(W57*cM_Dialysis1))/(1+'Parameters &amp; DSA'!$B$6)^$A57,(((W57-W56)*cM_Dialysis0)+(W57*cM_Dialysis1))))*($AD$2/$AG$2)</f>
        <v>0</v>
      </c>
      <c r="AG57" s="172">
        <f t="shared" si="19"/>
        <v>0</v>
      </c>
      <c r="AI57" s="88">
        <f t="shared" si="32"/>
        <v>0</v>
      </c>
      <c r="AJ57" s="27">
        <f t="shared" si="20"/>
        <v>0</v>
      </c>
      <c r="AK57" s="27">
        <f t="shared" si="33"/>
        <v>0</v>
      </c>
      <c r="AL57" s="27">
        <f t="shared" si="21"/>
        <v>0</v>
      </c>
      <c r="AM57" s="27">
        <f t="shared" si="34"/>
        <v>0</v>
      </c>
      <c r="AN57" s="27">
        <f t="shared" si="22"/>
        <v>0</v>
      </c>
      <c r="AO57" s="27">
        <f t="shared" si="35"/>
        <v>0</v>
      </c>
      <c r="AP57" s="27">
        <f t="shared" si="23"/>
        <v>0</v>
      </c>
      <c r="AQ57" s="27">
        <f t="shared" si="36"/>
        <v>0</v>
      </c>
      <c r="AR57" s="27">
        <f t="shared" si="24"/>
        <v>0</v>
      </c>
      <c r="AS57" s="27">
        <f t="shared" si="25"/>
        <v>0</v>
      </c>
      <c r="AT57" s="89">
        <f t="shared" si="26"/>
        <v>0</v>
      </c>
    </row>
    <row r="58" spans="1:46">
      <c r="A58" s="80">
        <v>54</v>
      </c>
      <c r="C58" s="10">
        <f t="shared" si="27"/>
        <v>96</v>
      </c>
      <c r="D58" s="98" t="str" cm="1">
        <f t="array" ref="D58">_xlfn.IFS(C58&lt;=4,"1-4",C58&lt;=9,"5-9",C58&lt;=14,"10-14",C58&lt;=19,"15-19",C58&lt;=24,"20-24",C58&lt;=29,"25-29",C58&lt;=34,"30-34",C58&lt;=39,"35-39",C58&lt;=44,"40-44",C58&lt;=49,"45-49",C58&lt;=54,"50-54",C58&lt;=54,"50-54",C58&lt;=59,"55-59",C58&lt;=64,"60-64",C58&lt;=69,"65-69",C58&lt;=74,"70-74",C58&lt;=79,"75-79",C58&lt;=84,"80-84",C58&gt;84,"85+")</f>
        <v>85+</v>
      </c>
      <c r="E58" s="83">
        <f>IF(D58="85+",1,VLOOKUP(D58,'Life table 2014'!$AF$3:$AR$21,7,FALSE))</f>
        <v>1</v>
      </c>
      <c r="F58" s="72"/>
      <c r="G58" s="316">
        <f t="shared" si="5"/>
        <v>19710</v>
      </c>
      <c r="H58" s="27">
        <f>'Parameters &amp; DSA'!$B$119*G58^'Parameters &amp; DSA'!$B$120</f>
        <v>2.4866048439038253</v>
      </c>
      <c r="I58" s="314">
        <f t="shared" si="31"/>
        <v>4.8257855624160628E-2</v>
      </c>
      <c r="J58" s="72"/>
      <c r="K58" s="140">
        <f t="shared" si="37"/>
        <v>0</v>
      </c>
      <c r="L58" s="141">
        <f t="shared" si="38"/>
        <v>0</v>
      </c>
      <c r="M58" s="141">
        <f t="shared" si="39"/>
        <v>0</v>
      </c>
      <c r="N58" s="27">
        <f t="shared" si="40"/>
        <v>0</v>
      </c>
      <c r="O58" s="27">
        <f t="shared" si="41"/>
        <v>0</v>
      </c>
      <c r="P58" s="27">
        <f t="shared" si="42"/>
        <v>0</v>
      </c>
      <c r="Q58" s="27">
        <f t="shared" si="43"/>
        <v>0</v>
      </c>
      <c r="R58" s="27">
        <f t="shared" si="44"/>
        <v>0</v>
      </c>
      <c r="S58" s="27">
        <f t="shared" si="45"/>
        <v>0</v>
      </c>
      <c r="T58" s="27">
        <f t="shared" si="46"/>
        <v>0</v>
      </c>
      <c r="U58" s="27">
        <f t="shared" si="47"/>
        <v>0</v>
      </c>
      <c r="V58" s="27">
        <f t="shared" si="48"/>
        <v>0</v>
      </c>
      <c r="W58" s="27">
        <f t="shared" si="28"/>
        <v>0</v>
      </c>
      <c r="X58" s="27">
        <f t="shared" si="29"/>
        <v>0</v>
      </c>
      <c r="Y58" s="142">
        <f t="shared" si="49"/>
        <v>1.0000000000000011</v>
      </c>
      <c r="Z58" s="89">
        <f t="shared" si="30"/>
        <v>1.0000000000000011</v>
      </c>
      <c r="AB58" s="171">
        <f>(IF('Parameters &amp; DSA'!$H$1=1,(('Parameters &amp; DSA'!$B$79+'Parameters &amp; DSA'!$B$85+'Parameters &amp; DSA'!$B$89+'Parameters &amp; DSA'!$B$93)*K58)/(1+cDC)^$A58,(('Parameters &amp; DSA'!$B$79+'Parameters &amp; DSA'!$B$85)*K58)))*($AD$2/$AF$2)</f>
        <v>0</v>
      </c>
      <c r="AC58" s="371">
        <f>(IF('Parameters &amp; DSA'!$H$1=1,(('Parameters &amp; DSA'!$B$79+'Parameters &amp; DSA'!$B$85+'Parameters &amp; DSA'!$B$89+'Parameters &amp; DSA'!$B$93)*($M58+$N58))/(1+cDC)^$A58,(('Parameters &amp; DSA'!$B$79+'Parameters &amp; DSA'!$B$85)*($M58+$N58))))*($AD$2/$AF$2)</f>
        <v>0</v>
      </c>
      <c r="AD58" s="371">
        <f>(IF('Parameters &amp; DSA'!$H$1=1,(('Parameters &amp; DSA'!$B$79+'Parameters &amp; DSA'!$B$85+'Parameters &amp; DSA'!$B$89+'Parameters &amp; DSA'!$B$93)*(P58+Q58))/(1+cDC)^$A58,(('Parameters &amp; DSA'!$B$79+'Parameters &amp; DSA'!$B$85)*(P58+Q58))))*($AD$2/$AF$2)</f>
        <v>0</v>
      </c>
      <c r="AE58" s="371">
        <f>(IF('Parameters &amp; DSA'!$H$1=1,(('Parameters &amp; DSA'!$B$79+'Parameters &amp; DSA'!$B$85+'Parameters &amp; DSA'!$B$89+'Parameters &amp; DSA'!$B$93)*(S58+T58))/(1+cDC)^$A58,(('Parameters &amp; DSA'!$B$79+'Parameters &amp; DSA'!$B$85)*(S58+T58))))*($AD$2/$AF$2)</f>
        <v>0</v>
      </c>
      <c r="AF58" s="371">
        <f>(IF('Parameters &amp; DSA'!$H$1=1,(((W58-W57)*cM_Dialysis0)+(W58*cM_Dialysis1))/(1+'Parameters &amp; DSA'!$B$6)^$A58,(((W58-W57)*cM_Dialysis0)+(W58*cM_Dialysis1))))*($AD$2/$AG$2)</f>
        <v>0</v>
      </c>
      <c r="AG58" s="172">
        <f t="shared" si="19"/>
        <v>0</v>
      </c>
      <c r="AI58" s="88">
        <f t="shared" si="32"/>
        <v>0</v>
      </c>
      <c r="AJ58" s="27">
        <f t="shared" si="20"/>
        <v>0</v>
      </c>
      <c r="AK58" s="27">
        <f t="shared" si="33"/>
        <v>0</v>
      </c>
      <c r="AL58" s="27">
        <f t="shared" si="21"/>
        <v>0</v>
      </c>
      <c r="AM58" s="27">
        <f t="shared" si="34"/>
        <v>0</v>
      </c>
      <c r="AN58" s="27">
        <f t="shared" si="22"/>
        <v>0</v>
      </c>
      <c r="AO58" s="27">
        <f t="shared" si="35"/>
        <v>0</v>
      </c>
      <c r="AP58" s="27">
        <f t="shared" si="23"/>
        <v>0</v>
      </c>
      <c r="AQ58" s="27">
        <f t="shared" si="36"/>
        <v>0</v>
      </c>
      <c r="AR58" s="27">
        <f t="shared" si="24"/>
        <v>0</v>
      </c>
      <c r="AS58" s="27">
        <f t="shared" si="25"/>
        <v>0</v>
      </c>
      <c r="AT58" s="89">
        <f t="shared" si="26"/>
        <v>0</v>
      </c>
    </row>
    <row r="59" spans="1:46">
      <c r="A59" s="80">
        <v>55</v>
      </c>
      <c r="C59" s="10">
        <f t="shared" si="27"/>
        <v>97</v>
      </c>
      <c r="D59" s="98" t="str" cm="1">
        <f t="array" ref="D59">_xlfn.IFS(C59&lt;=4,"1-4",C59&lt;=9,"5-9",C59&lt;=14,"10-14",C59&lt;=19,"15-19",C59&lt;=24,"20-24",C59&lt;=29,"25-29",C59&lt;=34,"30-34",C59&lt;=39,"35-39",C59&lt;=44,"40-44",C59&lt;=49,"45-49",C59&lt;=54,"50-54",C59&lt;=54,"50-54",C59&lt;=59,"55-59",C59&lt;=64,"60-64",C59&lt;=69,"65-69",C59&lt;=74,"70-74",C59&lt;=79,"75-79",C59&lt;=84,"80-84",C59&gt;84,"85+")</f>
        <v>85+</v>
      </c>
      <c r="E59" s="83">
        <f>IF(D59="85+",1,VLOOKUP(D59,'Life table 2014'!$AF$3:$AR$21,7,FALSE))</f>
        <v>1</v>
      </c>
      <c r="F59" s="72"/>
      <c r="G59" s="316">
        <f t="shared" si="5"/>
        <v>20075</v>
      </c>
      <c r="H59" s="27">
        <f>'Parameters &amp; DSA'!$B$119*G59^'Parameters &amp; DSA'!$B$120</f>
        <v>2.5361346053628329</v>
      </c>
      <c r="I59" s="314">
        <f t="shared" si="31"/>
        <v>4.8323165576109384E-2</v>
      </c>
      <c r="J59" s="72"/>
      <c r="K59" s="140">
        <f t="shared" si="37"/>
        <v>0</v>
      </c>
      <c r="L59" s="141">
        <f t="shared" si="38"/>
        <v>0</v>
      </c>
      <c r="M59" s="141">
        <f t="shared" si="39"/>
        <v>0</v>
      </c>
      <c r="N59" s="27">
        <f t="shared" si="40"/>
        <v>0</v>
      </c>
      <c r="O59" s="27">
        <f t="shared" si="41"/>
        <v>0</v>
      </c>
      <c r="P59" s="27">
        <f t="shared" si="42"/>
        <v>0</v>
      </c>
      <c r="Q59" s="27">
        <f t="shared" si="43"/>
        <v>0</v>
      </c>
      <c r="R59" s="27">
        <f t="shared" si="44"/>
        <v>0</v>
      </c>
      <c r="S59" s="27">
        <f t="shared" si="45"/>
        <v>0</v>
      </c>
      <c r="T59" s="27">
        <f t="shared" si="46"/>
        <v>0</v>
      </c>
      <c r="U59" s="27">
        <f t="shared" si="47"/>
        <v>0</v>
      </c>
      <c r="V59" s="27">
        <f t="shared" si="48"/>
        <v>0</v>
      </c>
      <c r="W59" s="27">
        <f t="shared" si="28"/>
        <v>0</v>
      </c>
      <c r="X59" s="27">
        <f t="shared" si="29"/>
        <v>0</v>
      </c>
      <c r="Y59" s="142">
        <f t="shared" si="49"/>
        <v>1.0000000000000011</v>
      </c>
      <c r="Z59" s="89">
        <f t="shared" si="30"/>
        <v>1.0000000000000011</v>
      </c>
      <c r="AB59" s="171">
        <f>(IF('Parameters &amp; DSA'!$H$1=1,(('Parameters &amp; DSA'!$B$79+'Parameters &amp; DSA'!$B$85+'Parameters &amp; DSA'!$B$89+'Parameters &amp; DSA'!$B$93)*K59)/(1+cDC)^$A59,(('Parameters &amp; DSA'!$B$79+'Parameters &amp; DSA'!$B$85)*K59)))*($AD$2/$AF$2)</f>
        <v>0</v>
      </c>
      <c r="AC59" s="371">
        <f>(IF('Parameters &amp; DSA'!$H$1=1,(('Parameters &amp; DSA'!$B$79+'Parameters &amp; DSA'!$B$85+'Parameters &amp; DSA'!$B$89+'Parameters &amp; DSA'!$B$93)*($M59+$N59))/(1+cDC)^$A59,(('Parameters &amp; DSA'!$B$79+'Parameters &amp; DSA'!$B$85)*($M59+$N59))))*($AD$2/$AF$2)</f>
        <v>0</v>
      </c>
      <c r="AD59" s="371">
        <f>(IF('Parameters &amp; DSA'!$H$1=1,(('Parameters &amp; DSA'!$B$79+'Parameters &amp; DSA'!$B$85+'Parameters &amp; DSA'!$B$89+'Parameters &amp; DSA'!$B$93)*(P59+Q59))/(1+cDC)^$A59,(('Parameters &amp; DSA'!$B$79+'Parameters &amp; DSA'!$B$85)*(P59+Q59))))*($AD$2/$AF$2)</f>
        <v>0</v>
      </c>
      <c r="AE59" s="371">
        <f>(IF('Parameters &amp; DSA'!$H$1=1,(('Parameters &amp; DSA'!$B$79+'Parameters &amp; DSA'!$B$85+'Parameters &amp; DSA'!$B$89+'Parameters &amp; DSA'!$B$93)*(S59+T59))/(1+cDC)^$A59,(('Parameters &amp; DSA'!$B$79+'Parameters &amp; DSA'!$B$85)*(S59+T59))))*($AD$2/$AF$2)</f>
        <v>0</v>
      </c>
      <c r="AF59" s="371">
        <f>(IF('Parameters &amp; DSA'!$H$1=1,(((W59-W58)*cM_Dialysis0)+(W59*cM_Dialysis1))/(1+'Parameters &amp; DSA'!$B$6)^$A59,(((W59-W58)*cM_Dialysis0)+(W59*cM_Dialysis1))))*($AD$2/$AG$2)</f>
        <v>0</v>
      </c>
      <c r="AG59" s="172">
        <f t="shared" si="19"/>
        <v>0</v>
      </c>
      <c r="AI59" s="88">
        <f t="shared" si="32"/>
        <v>0</v>
      </c>
      <c r="AJ59" s="27">
        <f t="shared" si="20"/>
        <v>0</v>
      </c>
      <c r="AK59" s="27">
        <f t="shared" si="33"/>
        <v>0</v>
      </c>
      <c r="AL59" s="27">
        <f t="shared" si="21"/>
        <v>0</v>
      </c>
      <c r="AM59" s="27">
        <f t="shared" si="34"/>
        <v>0</v>
      </c>
      <c r="AN59" s="27">
        <f t="shared" si="22"/>
        <v>0</v>
      </c>
      <c r="AO59" s="27">
        <f t="shared" si="35"/>
        <v>0</v>
      </c>
      <c r="AP59" s="27">
        <f t="shared" si="23"/>
        <v>0</v>
      </c>
      <c r="AQ59" s="27">
        <f t="shared" si="36"/>
        <v>0</v>
      </c>
      <c r="AR59" s="27">
        <f t="shared" si="24"/>
        <v>0</v>
      </c>
      <c r="AS59" s="27">
        <f t="shared" si="25"/>
        <v>0</v>
      </c>
      <c r="AT59" s="89">
        <f t="shared" si="26"/>
        <v>0</v>
      </c>
    </row>
    <row r="60" spans="1:46">
      <c r="A60" s="80">
        <v>56</v>
      </c>
      <c r="C60" s="10">
        <f t="shared" si="27"/>
        <v>98</v>
      </c>
      <c r="D60" s="98" t="str" cm="1">
        <f t="array" ref="D60">_xlfn.IFS(C60&lt;=4,"1-4",C60&lt;=9,"5-9",C60&lt;=14,"10-14",C60&lt;=19,"15-19",C60&lt;=24,"20-24",C60&lt;=29,"25-29",C60&lt;=34,"30-34",C60&lt;=39,"35-39",C60&lt;=44,"40-44",C60&lt;=49,"45-49",C60&lt;=54,"50-54",C60&lt;=54,"50-54",C60&lt;=59,"55-59",C60&lt;=64,"60-64",C60&lt;=69,"65-69",C60&lt;=74,"70-74",C60&lt;=79,"75-79",C60&lt;=84,"80-84",C60&gt;84,"85+")</f>
        <v>85+</v>
      </c>
      <c r="E60" s="83">
        <f>IF(D60="85+",1,VLOOKUP(D60,'Life table 2014'!$AF$3:$AR$21,7,FALSE))</f>
        <v>1</v>
      </c>
      <c r="F60" s="72"/>
      <c r="G60" s="316">
        <f t="shared" si="5"/>
        <v>20440</v>
      </c>
      <c r="H60" s="27">
        <f>'Parameters &amp; DSA'!$B$119*G60^'Parameters &amp; DSA'!$B$120</f>
        <v>2.5857318354427976</v>
      </c>
      <c r="I60" s="314">
        <f t="shared" si="31"/>
        <v>4.8387371733750073E-2</v>
      </c>
      <c r="J60" s="72"/>
      <c r="K60" s="140">
        <f t="shared" si="37"/>
        <v>0</v>
      </c>
      <c r="L60" s="141">
        <f t="shared" si="38"/>
        <v>0</v>
      </c>
      <c r="M60" s="141">
        <f t="shared" si="39"/>
        <v>0</v>
      </c>
      <c r="N60" s="27">
        <f t="shared" si="40"/>
        <v>0</v>
      </c>
      <c r="O60" s="27">
        <f t="shared" si="41"/>
        <v>0</v>
      </c>
      <c r="P60" s="27">
        <f t="shared" si="42"/>
        <v>0</v>
      </c>
      <c r="Q60" s="27">
        <f t="shared" si="43"/>
        <v>0</v>
      </c>
      <c r="R60" s="27">
        <f t="shared" si="44"/>
        <v>0</v>
      </c>
      <c r="S60" s="27">
        <f t="shared" si="45"/>
        <v>0</v>
      </c>
      <c r="T60" s="27">
        <f t="shared" si="46"/>
        <v>0</v>
      </c>
      <c r="U60" s="27">
        <f t="shared" si="47"/>
        <v>0</v>
      </c>
      <c r="V60" s="27">
        <f t="shared" si="48"/>
        <v>0</v>
      </c>
      <c r="W60" s="27">
        <f t="shared" si="28"/>
        <v>0</v>
      </c>
      <c r="X60" s="27">
        <f t="shared" si="29"/>
        <v>0</v>
      </c>
      <c r="Y60" s="142">
        <f t="shared" si="49"/>
        <v>1.0000000000000011</v>
      </c>
      <c r="Z60" s="89">
        <f t="shared" si="30"/>
        <v>1.0000000000000011</v>
      </c>
      <c r="AB60" s="171">
        <f>(IF('Parameters &amp; DSA'!$H$1=1,(('Parameters &amp; DSA'!$B$79+'Parameters &amp; DSA'!$B$85+'Parameters &amp; DSA'!$B$89+'Parameters &amp; DSA'!$B$93)*K60)/(1+cDC)^$A60,(('Parameters &amp; DSA'!$B$79+'Parameters &amp; DSA'!$B$85)*K60)))*($AD$2/$AF$2)</f>
        <v>0</v>
      </c>
      <c r="AC60" s="371">
        <f>(IF('Parameters &amp; DSA'!$H$1=1,(('Parameters &amp; DSA'!$B$79+'Parameters &amp; DSA'!$B$85+'Parameters &amp; DSA'!$B$89+'Parameters &amp; DSA'!$B$93)*($M60+$N60))/(1+cDC)^$A60,(('Parameters &amp; DSA'!$B$79+'Parameters &amp; DSA'!$B$85)*($M60+$N60))))*($AD$2/$AF$2)</f>
        <v>0</v>
      </c>
      <c r="AD60" s="371">
        <f>(IF('Parameters &amp; DSA'!$H$1=1,(('Parameters &amp; DSA'!$B$79+'Parameters &amp; DSA'!$B$85+'Parameters &amp; DSA'!$B$89+'Parameters &amp; DSA'!$B$93)*(P60+Q60))/(1+cDC)^$A60,(('Parameters &amp; DSA'!$B$79+'Parameters &amp; DSA'!$B$85)*(P60+Q60))))*($AD$2/$AF$2)</f>
        <v>0</v>
      </c>
      <c r="AE60" s="371">
        <f>(IF('Parameters &amp; DSA'!$H$1=1,(('Parameters &amp; DSA'!$B$79+'Parameters &amp; DSA'!$B$85+'Parameters &amp; DSA'!$B$89+'Parameters &amp; DSA'!$B$93)*(S60+T60))/(1+cDC)^$A60,(('Parameters &amp; DSA'!$B$79+'Parameters &amp; DSA'!$B$85)*(S60+T60))))*($AD$2/$AF$2)</f>
        <v>0</v>
      </c>
      <c r="AF60" s="371">
        <f>(IF('Parameters &amp; DSA'!$H$1=1,(((W60-W59)*cM_Dialysis0)+(W60*cM_Dialysis1))/(1+'Parameters &amp; DSA'!$B$6)^$A60,(((W60-W59)*cM_Dialysis0)+(W60*cM_Dialysis1))))*($AD$2/$AG$2)</f>
        <v>0</v>
      </c>
      <c r="AG60" s="172">
        <f t="shared" si="19"/>
        <v>0</v>
      </c>
      <c r="AI60" s="88">
        <f t="shared" si="32"/>
        <v>0</v>
      </c>
      <c r="AJ60" s="27">
        <f t="shared" si="20"/>
        <v>0</v>
      </c>
      <c r="AK60" s="27">
        <f t="shared" si="33"/>
        <v>0</v>
      </c>
      <c r="AL60" s="27">
        <f t="shared" si="21"/>
        <v>0</v>
      </c>
      <c r="AM60" s="27">
        <f t="shared" si="34"/>
        <v>0</v>
      </c>
      <c r="AN60" s="27">
        <f t="shared" si="22"/>
        <v>0</v>
      </c>
      <c r="AO60" s="27">
        <f t="shared" si="35"/>
        <v>0</v>
      </c>
      <c r="AP60" s="27">
        <f t="shared" si="23"/>
        <v>0</v>
      </c>
      <c r="AQ60" s="27">
        <f t="shared" si="36"/>
        <v>0</v>
      </c>
      <c r="AR60" s="27">
        <f t="shared" si="24"/>
        <v>0</v>
      </c>
      <c r="AS60" s="27">
        <f t="shared" si="25"/>
        <v>0</v>
      </c>
      <c r="AT60" s="89">
        <f t="shared" si="26"/>
        <v>0</v>
      </c>
    </row>
    <row r="61" spans="1:46">
      <c r="A61" s="80">
        <v>57</v>
      </c>
      <c r="C61" s="10">
        <f t="shared" si="27"/>
        <v>99</v>
      </c>
      <c r="D61" s="98" t="str" cm="1">
        <f t="array" ref="D61">_xlfn.IFS(C61&lt;=4,"1-4",C61&lt;=9,"5-9",C61&lt;=14,"10-14",C61&lt;=19,"15-19",C61&lt;=24,"20-24",C61&lt;=29,"25-29",C61&lt;=34,"30-34",C61&lt;=39,"35-39",C61&lt;=44,"40-44",C61&lt;=49,"45-49",C61&lt;=54,"50-54",C61&lt;=54,"50-54",C61&lt;=59,"55-59",C61&lt;=64,"60-64",C61&lt;=69,"65-69",C61&lt;=74,"70-74",C61&lt;=79,"75-79",C61&lt;=84,"80-84",C61&gt;84,"85+")</f>
        <v>85+</v>
      </c>
      <c r="E61" s="83">
        <f>IF(D61="85+",1,VLOOKUP(D61,'Life table 2014'!$AF$3:$AR$21,7,FALSE))</f>
        <v>1</v>
      </c>
      <c r="F61" s="72"/>
      <c r="G61" s="316">
        <f t="shared" si="5"/>
        <v>20805</v>
      </c>
      <c r="H61" s="27">
        <f>'Parameters &amp; DSA'!$B$119*G61^'Parameters &amp; DSA'!$B$120</f>
        <v>2.6353954186790989</v>
      </c>
      <c r="I61" s="314">
        <f t="shared" si="31"/>
        <v>4.8450512140439383E-2</v>
      </c>
      <c r="J61" s="72"/>
      <c r="K61" s="140">
        <f t="shared" si="37"/>
        <v>0</v>
      </c>
      <c r="L61" s="141">
        <f t="shared" si="38"/>
        <v>0</v>
      </c>
      <c r="M61" s="141">
        <f t="shared" si="39"/>
        <v>0</v>
      </c>
      <c r="N61" s="27">
        <f t="shared" si="40"/>
        <v>0</v>
      </c>
      <c r="O61" s="27">
        <f t="shared" si="41"/>
        <v>0</v>
      </c>
      <c r="P61" s="27">
        <f t="shared" si="42"/>
        <v>0</v>
      </c>
      <c r="Q61" s="27">
        <f t="shared" si="43"/>
        <v>0</v>
      </c>
      <c r="R61" s="27">
        <f t="shared" si="44"/>
        <v>0</v>
      </c>
      <c r="S61" s="27">
        <f t="shared" si="45"/>
        <v>0</v>
      </c>
      <c r="T61" s="27">
        <f t="shared" si="46"/>
        <v>0</v>
      </c>
      <c r="U61" s="27">
        <f t="shared" si="47"/>
        <v>0</v>
      </c>
      <c r="V61" s="27">
        <f t="shared" si="48"/>
        <v>0</v>
      </c>
      <c r="W61" s="27">
        <f t="shared" si="28"/>
        <v>0</v>
      </c>
      <c r="X61" s="27">
        <f t="shared" si="29"/>
        <v>0</v>
      </c>
      <c r="Y61" s="142">
        <f t="shared" si="49"/>
        <v>1.0000000000000011</v>
      </c>
      <c r="Z61" s="89">
        <f t="shared" si="30"/>
        <v>1.0000000000000011</v>
      </c>
      <c r="AB61" s="171">
        <f>(IF('Parameters &amp; DSA'!$H$1=1,(('Parameters &amp; DSA'!$B$79+'Parameters &amp; DSA'!$B$85+'Parameters &amp; DSA'!$B$89+'Parameters &amp; DSA'!$B$93)*K61)/(1+cDC)^$A61,(('Parameters &amp; DSA'!$B$79+'Parameters &amp; DSA'!$B$85)*K61)))*($AD$2/$AF$2)</f>
        <v>0</v>
      </c>
      <c r="AC61" s="371">
        <f>(IF('Parameters &amp; DSA'!$H$1=1,(('Parameters &amp; DSA'!$B$79+'Parameters &amp; DSA'!$B$85+'Parameters &amp; DSA'!$B$89+'Parameters &amp; DSA'!$B$93)*($M61+$N61))/(1+cDC)^$A61,(('Parameters &amp; DSA'!$B$79+'Parameters &amp; DSA'!$B$85)*($M61+$N61))))*($AD$2/$AF$2)</f>
        <v>0</v>
      </c>
      <c r="AD61" s="371">
        <f>(IF('Parameters &amp; DSA'!$H$1=1,(('Parameters &amp; DSA'!$B$79+'Parameters &amp; DSA'!$B$85+'Parameters &amp; DSA'!$B$89+'Parameters &amp; DSA'!$B$93)*(P61+Q61))/(1+cDC)^$A61,(('Parameters &amp; DSA'!$B$79+'Parameters &amp; DSA'!$B$85)*(P61+Q61))))*($AD$2/$AF$2)</f>
        <v>0</v>
      </c>
      <c r="AE61" s="371">
        <f>(IF('Parameters &amp; DSA'!$H$1=1,(('Parameters &amp; DSA'!$B$79+'Parameters &amp; DSA'!$B$85+'Parameters &amp; DSA'!$B$89+'Parameters &amp; DSA'!$B$93)*(S61+T61))/(1+cDC)^$A61,(('Parameters &amp; DSA'!$B$79+'Parameters &amp; DSA'!$B$85)*(S61+T61))))*($AD$2/$AF$2)</f>
        <v>0</v>
      </c>
      <c r="AF61" s="371">
        <f>(IF('Parameters &amp; DSA'!$H$1=1,(((W61-W60)*cM_Dialysis0)+(W61*cM_Dialysis1))/(1+'Parameters &amp; DSA'!$B$6)^$A61,(((W61-W60)*cM_Dialysis0)+(W61*cM_Dialysis1))))*($AD$2/$AG$2)</f>
        <v>0</v>
      </c>
      <c r="AG61" s="172">
        <f t="shared" si="19"/>
        <v>0</v>
      </c>
      <c r="AI61" s="88">
        <f t="shared" si="32"/>
        <v>0</v>
      </c>
      <c r="AJ61" s="27">
        <f t="shared" si="20"/>
        <v>0</v>
      </c>
      <c r="AK61" s="27">
        <f t="shared" si="33"/>
        <v>0</v>
      </c>
      <c r="AL61" s="27">
        <f t="shared" si="21"/>
        <v>0</v>
      </c>
      <c r="AM61" s="27">
        <f t="shared" si="34"/>
        <v>0</v>
      </c>
      <c r="AN61" s="27">
        <f t="shared" si="22"/>
        <v>0</v>
      </c>
      <c r="AO61" s="27">
        <f t="shared" si="35"/>
        <v>0</v>
      </c>
      <c r="AP61" s="27">
        <f t="shared" si="23"/>
        <v>0</v>
      </c>
      <c r="AQ61" s="27">
        <f t="shared" si="36"/>
        <v>0</v>
      </c>
      <c r="AR61" s="27">
        <f t="shared" si="24"/>
        <v>0</v>
      </c>
      <c r="AS61" s="27">
        <f t="shared" si="25"/>
        <v>0</v>
      </c>
      <c r="AT61" s="89">
        <f t="shared" si="26"/>
        <v>0</v>
      </c>
    </row>
    <row r="62" spans="1:46">
      <c r="A62" s="80">
        <v>58</v>
      </c>
      <c r="C62" s="10">
        <f t="shared" si="27"/>
        <v>100</v>
      </c>
      <c r="D62" s="98" t="str" cm="1">
        <f t="array" ref="D62">_xlfn.IFS(C62&lt;=4,"1-4",C62&lt;=9,"5-9",C62&lt;=14,"10-14",C62&lt;=19,"15-19",C62&lt;=24,"20-24",C62&lt;=29,"25-29",C62&lt;=34,"30-34",C62&lt;=39,"35-39",C62&lt;=44,"40-44",C62&lt;=49,"45-49",C62&lt;=54,"50-54",C62&lt;=54,"50-54",C62&lt;=59,"55-59",C62&lt;=64,"60-64",C62&lt;=69,"65-69",C62&lt;=74,"70-74",C62&lt;=79,"75-79",C62&lt;=84,"80-84",C62&gt;84,"85+")</f>
        <v>85+</v>
      </c>
      <c r="E62" s="83">
        <f>IF(D62="85+",1,VLOOKUP(D62,'Life table 2014'!$AF$3:$AR$21,7,FALSE))</f>
        <v>1</v>
      </c>
      <c r="F62" s="72"/>
      <c r="G62" s="316">
        <f t="shared" si="5"/>
        <v>21170</v>
      </c>
      <c r="H62" s="27">
        <f>'Parameters &amp; DSA'!$B$119*G62^'Parameters &amp; DSA'!$B$120</f>
        <v>2.6851242773118651</v>
      </c>
      <c r="I62" s="314">
        <f t="shared" si="31"/>
        <v>4.8512622883341683E-2</v>
      </c>
      <c r="J62" s="72"/>
      <c r="K62" s="140">
        <f t="shared" si="37"/>
        <v>0</v>
      </c>
      <c r="L62" s="141">
        <f t="shared" si="38"/>
        <v>0</v>
      </c>
      <c r="M62" s="141">
        <f t="shared" si="39"/>
        <v>0</v>
      </c>
      <c r="N62" s="27">
        <f t="shared" si="40"/>
        <v>0</v>
      </c>
      <c r="O62" s="27">
        <f t="shared" si="41"/>
        <v>0</v>
      </c>
      <c r="P62" s="27">
        <f t="shared" si="42"/>
        <v>0</v>
      </c>
      <c r="Q62" s="27">
        <f t="shared" si="43"/>
        <v>0</v>
      </c>
      <c r="R62" s="27">
        <f t="shared" si="44"/>
        <v>0</v>
      </c>
      <c r="S62" s="27">
        <f t="shared" si="45"/>
        <v>0</v>
      </c>
      <c r="T62" s="27">
        <f t="shared" si="46"/>
        <v>0</v>
      </c>
      <c r="U62" s="27">
        <f t="shared" si="47"/>
        <v>0</v>
      </c>
      <c r="V62" s="27">
        <f t="shared" si="48"/>
        <v>0</v>
      </c>
      <c r="W62" s="27">
        <f t="shared" si="28"/>
        <v>0</v>
      </c>
      <c r="X62" s="27">
        <f t="shared" si="29"/>
        <v>0</v>
      </c>
      <c r="Y62" s="142">
        <f t="shared" si="49"/>
        <v>1.0000000000000011</v>
      </c>
      <c r="Z62" s="89">
        <f t="shared" si="30"/>
        <v>1.0000000000000011</v>
      </c>
      <c r="AB62" s="171">
        <f>(IF('Parameters &amp; DSA'!$H$1=1,(('Parameters &amp; DSA'!$B$79+'Parameters &amp; DSA'!$B$85+'Parameters &amp; DSA'!$B$89+'Parameters &amp; DSA'!$B$93)*K62)/(1+cDC)^$A62,(('Parameters &amp; DSA'!$B$79+'Parameters &amp; DSA'!$B$85)*K62)))*($AD$2/$AF$2)</f>
        <v>0</v>
      </c>
      <c r="AC62" s="371">
        <f>(IF('Parameters &amp; DSA'!$H$1=1,(('Parameters &amp; DSA'!$B$79+'Parameters &amp; DSA'!$B$85+'Parameters &amp; DSA'!$B$89+'Parameters &amp; DSA'!$B$93)*($M62+$N62))/(1+cDC)^$A62,(('Parameters &amp; DSA'!$B$79+'Parameters &amp; DSA'!$B$85)*($M62+$N62))))*($AD$2/$AF$2)</f>
        <v>0</v>
      </c>
      <c r="AD62" s="371">
        <f>(IF('Parameters &amp; DSA'!$H$1=1,(('Parameters &amp; DSA'!$B$79+'Parameters &amp; DSA'!$B$85+'Parameters &amp; DSA'!$B$89+'Parameters &amp; DSA'!$B$93)*(P62+Q62))/(1+cDC)^$A62,(('Parameters &amp; DSA'!$B$79+'Parameters &amp; DSA'!$B$85)*(P62+Q62))))*($AD$2/$AF$2)</f>
        <v>0</v>
      </c>
      <c r="AE62" s="371">
        <f>(IF('Parameters &amp; DSA'!$H$1=1,(('Parameters &amp; DSA'!$B$79+'Parameters &amp; DSA'!$B$85+'Parameters &amp; DSA'!$B$89+'Parameters &amp; DSA'!$B$93)*(S62+T62))/(1+cDC)^$A62,(('Parameters &amp; DSA'!$B$79+'Parameters &amp; DSA'!$B$85)*(S62+T62))))*($AD$2/$AF$2)</f>
        <v>0</v>
      </c>
      <c r="AF62" s="371">
        <f>(IF('Parameters &amp; DSA'!$H$1=1,(((W62-W61)*cM_Dialysis0)+(W62*cM_Dialysis1))/(1+'Parameters &amp; DSA'!$B$6)^$A62,(((W62-W61)*cM_Dialysis0)+(W62*cM_Dialysis1))))*($AD$2/$AG$2)</f>
        <v>0</v>
      </c>
      <c r="AG62" s="172">
        <f t="shared" si="19"/>
        <v>0</v>
      </c>
      <c r="AI62" s="88">
        <f t="shared" si="32"/>
        <v>0</v>
      </c>
      <c r="AJ62" s="27">
        <f t="shared" si="20"/>
        <v>0</v>
      </c>
      <c r="AK62" s="27">
        <f t="shared" si="33"/>
        <v>0</v>
      </c>
      <c r="AL62" s="27">
        <f t="shared" si="21"/>
        <v>0</v>
      </c>
      <c r="AM62" s="27">
        <f t="shared" si="34"/>
        <v>0</v>
      </c>
      <c r="AN62" s="27">
        <f t="shared" si="22"/>
        <v>0</v>
      </c>
      <c r="AO62" s="27">
        <f t="shared" si="35"/>
        <v>0</v>
      </c>
      <c r="AP62" s="27">
        <f t="shared" si="23"/>
        <v>0</v>
      </c>
      <c r="AQ62" s="27">
        <f t="shared" si="36"/>
        <v>0</v>
      </c>
      <c r="AR62" s="27">
        <f t="shared" si="24"/>
        <v>0</v>
      </c>
      <c r="AS62" s="27">
        <f t="shared" si="25"/>
        <v>0</v>
      </c>
      <c r="AT62" s="89">
        <f t="shared" si="26"/>
        <v>0</v>
      </c>
    </row>
    <row r="63" spans="1:46">
      <c r="A63" s="80">
        <v>59</v>
      </c>
      <c r="C63" s="10">
        <f t="shared" si="27"/>
        <v>101</v>
      </c>
      <c r="D63" s="98" t="str" cm="1">
        <f t="array" ref="D63">_xlfn.IFS(C63&lt;=4,"1-4",C63&lt;=9,"5-9",C63&lt;=14,"10-14",C63&lt;=19,"15-19",C63&lt;=24,"20-24",C63&lt;=29,"25-29",C63&lt;=34,"30-34",C63&lt;=39,"35-39",C63&lt;=44,"40-44",C63&lt;=49,"45-49",C63&lt;=54,"50-54",C63&lt;=54,"50-54",C63&lt;=59,"55-59",C63&lt;=64,"60-64",C63&lt;=69,"65-69",C63&lt;=74,"70-74",C63&lt;=79,"75-79",C63&lt;=84,"80-84",C63&gt;84,"85+")</f>
        <v>85+</v>
      </c>
      <c r="E63" s="83">
        <f>IF(D63="85+",1,VLOOKUP(D63,'Life table 2014'!$AF$3:$AR$21,7,FALSE))</f>
        <v>1</v>
      </c>
      <c r="F63" s="72"/>
      <c r="G63" s="316">
        <f t="shared" si="5"/>
        <v>21535</v>
      </c>
      <c r="H63" s="27">
        <f>'Parameters &amp; DSA'!$B$119*G63^'Parameters &amp; DSA'!$B$120</f>
        <v>2.734917369382813</v>
      </c>
      <c r="I63" s="314">
        <f t="shared" si="31"/>
        <v>4.8573738226115104E-2</v>
      </c>
      <c r="J63" s="72"/>
      <c r="K63" s="140">
        <f t="shared" si="37"/>
        <v>0</v>
      </c>
      <c r="L63" s="141">
        <f t="shared" si="38"/>
        <v>0</v>
      </c>
      <c r="M63" s="141">
        <f t="shared" si="39"/>
        <v>0</v>
      </c>
      <c r="N63" s="27">
        <f t="shared" si="40"/>
        <v>0</v>
      </c>
      <c r="O63" s="27">
        <f t="shared" si="41"/>
        <v>0</v>
      </c>
      <c r="P63" s="27">
        <f t="shared" si="42"/>
        <v>0</v>
      </c>
      <c r="Q63" s="27">
        <f t="shared" si="43"/>
        <v>0</v>
      </c>
      <c r="R63" s="27">
        <f t="shared" si="44"/>
        <v>0</v>
      </c>
      <c r="S63" s="27">
        <f t="shared" si="45"/>
        <v>0</v>
      </c>
      <c r="T63" s="27">
        <f t="shared" si="46"/>
        <v>0</v>
      </c>
      <c r="U63" s="27">
        <f t="shared" si="47"/>
        <v>0</v>
      </c>
      <c r="V63" s="27">
        <f t="shared" si="48"/>
        <v>0</v>
      </c>
      <c r="W63" s="27">
        <f t="shared" si="28"/>
        <v>0</v>
      </c>
      <c r="X63" s="27">
        <f t="shared" si="29"/>
        <v>0</v>
      </c>
      <c r="Y63" s="142">
        <f t="shared" si="49"/>
        <v>1.0000000000000011</v>
      </c>
      <c r="Z63" s="89">
        <f t="shared" si="30"/>
        <v>1.0000000000000011</v>
      </c>
      <c r="AB63" s="171">
        <f>(IF('Parameters &amp; DSA'!$H$1=1,(('Parameters &amp; DSA'!$B$79+'Parameters &amp; DSA'!$B$85+'Parameters &amp; DSA'!$B$89+'Parameters &amp; DSA'!$B$93)*K63)/(1+cDC)^$A63,(('Parameters &amp; DSA'!$B$79+'Parameters &amp; DSA'!$B$85)*K63)))*($AD$2/$AF$2)</f>
        <v>0</v>
      </c>
      <c r="AC63" s="371">
        <f>(IF('Parameters &amp; DSA'!$H$1=1,(('Parameters &amp; DSA'!$B$79+'Parameters &amp; DSA'!$B$85+'Parameters &amp; DSA'!$B$89+'Parameters &amp; DSA'!$B$93)*($M63+$N63))/(1+cDC)^$A63,(('Parameters &amp; DSA'!$B$79+'Parameters &amp; DSA'!$B$85)*($M63+$N63))))*($AD$2/$AF$2)</f>
        <v>0</v>
      </c>
      <c r="AD63" s="371">
        <f>(IF('Parameters &amp; DSA'!$H$1=1,(('Parameters &amp; DSA'!$B$79+'Parameters &amp; DSA'!$B$85+'Parameters &amp; DSA'!$B$89+'Parameters &amp; DSA'!$B$93)*(P63+Q63))/(1+cDC)^$A63,(('Parameters &amp; DSA'!$B$79+'Parameters &amp; DSA'!$B$85)*(P63+Q63))))*($AD$2/$AF$2)</f>
        <v>0</v>
      </c>
      <c r="AE63" s="371">
        <f>(IF('Parameters &amp; DSA'!$H$1=1,(('Parameters &amp; DSA'!$B$79+'Parameters &amp; DSA'!$B$85+'Parameters &amp; DSA'!$B$89+'Parameters &amp; DSA'!$B$93)*(S63+T63))/(1+cDC)^$A63,(('Parameters &amp; DSA'!$B$79+'Parameters &amp; DSA'!$B$85)*(S63+T63))))*($AD$2/$AF$2)</f>
        <v>0</v>
      </c>
      <c r="AF63" s="371">
        <f>(IF('Parameters &amp; DSA'!$H$1=1,(((W63-W62)*cM_Dialysis0)+(W63*cM_Dialysis1))/(1+'Parameters &amp; DSA'!$B$6)^$A63,(((W63-W62)*cM_Dialysis0)+(W63*cM_Dialysis1))))*($AD$2/$AG$2)</f>
        <v>0</v>
      </c>
      <c r="AG63" s="172">
        <f t="shared" si="19"/>
        <v>0</v>
      </c>
      <c r="AI63" s="88">
        <f t="shared" si="32"/>
        <v>0</v>
      </c>
      <c r="AJ63" s="27">
        <f t="shared" si="20"/>
        <v>0</v>
      </c>
      <c r="AK63" s="27">
        <f t="shared" si="33"/>
        <v>0</v>
      </c>
      <c r="AL63" s="27">
        <f t="shared" si="21"/>
        <v>0</v>
      </c>
      <c r="AM63" s="27">
        <f t="shared" si="34"/>
        <v>0</v>
      </c>
      <c r="AN63" s="27">
        <f t="shared" si="22"/>
        <v>0</v>
      </c>
      <c r="AO63" s="27">
        <f t="shared" si="35"/>
        <v>0</v>
      </c>
      <c r="AP63" s="27">
        <f t="shared" si="23"/>
        <v>0</v>
      </c>
      <c r="AQ63" s="27">
        <f t="shared" si="36"/>
        <v>0</v>
      </c>
      <c r="AR63" s="27">
        <f t="shared" si="24"/>
        <v>0</v>
      </c>
      <c r="AS63" s="27">
        <f t="shared" si="25"/>
        <v>0</v>
      </c>
      <c r="AT63" s="89">
        <f t="shared" si="26"/>
        <v>0</v>
      </c>
    </row>
    <row r="64" spans="1:46">
      <c r="A64" s="80">
        <v>60</v>
      </c>
      <c r="C64" s="10">
        <f t="shared" si="27"/>
        <v>102</v>
      </c>
      <c r="D64" s="98" t="str" cm="1">
        <f t="array" ref="D64">_xlfn.IFS(C64&lt;=4,"1-4",C64&lt;=9,"5-9",C64&lt;=14,"10-14",C64&lt;=19,"15-19",C64&lt;=24,"20-24",C64&lt;=29,"25-29",C64&lt;=34,"30-34",C64&lt;=39,"35-39",C64&lt;=44,"40-44",C64&lt;=49,"45-49",C64&lt;=54,"50-54",C64&lt;=54,"50-54",C64&lt;=59,"55-59",C64&lt;=64,"60-64",C64&lt;=69,"65-69",C64&lt;=74,"70-74",C64&lt;=79,"75-79",C64&lt;=84,"80-84",C64&gt;84,"85+")</f>
        <v>85+</v>
      </c>
      <c r="E64" s="83">
        <f>IF(D64="85+",1,VLOOKUP(D64,'Life table 2014'!$AF$3:$AR$21,7,FALSE))</f>
        <v>1</v>
      </c>
      <c r="F64" s="72"/>
      <c r="G64" s="316">
        <f t="shared" si="5"/>
        <v>21900</v>
      </c>
      <c r="H64" s="27">
        <f>'Parameters &amp; DSA'!$B$119*G64^'Parameters &amp; DSA'!$B$120</f>
        <v>2.7847736869587432</v>
      </c>
      <c r="I64" s="314">
        <f t="shared" si="31"/>
        <v>4.8633890730362839E-2</v>
      </c>
      <c r="J64" s="72"/>
      <c r="K64" s="140">
        <f t="shared" si="37"/>
        <v>0</v>
      </c>
      <c r="L64" s="141">
        <f t="shared" si="38"/>
        <v>0</v>
      </c>
      <c r="M64" s="141">
        <f t="shared" si="39"/>
        <v>0</v>
      </c>
      <c r="N64" s="27">
        <f t="shared" si="40"/>
        <v>0</v>
      </c>
      <c r="O64" s="27">
        <f t="shared" si="41"/>
        <v>0</v>
      </c>
      <c r="P64" s="27">
        <f t="shared" si="42"/>
        <v>0</v>
      </c>
      <c r="Q64" s="27">
        <f t="shared" si="43"/>
        <v>0</v>
      </c>
      <c r="R64" s="27">
        <f t="shared" si="44"/>
        <v>0</v>
      </c>
      <c r="S64" s="27">
        <f t="shared" si="45"/>
        <v>0</v>
      </c>
      <c r="T64" s="27">
        <f t="shared" si="46"/>
        <v>0</v>
      </c>
      <c r="U64" s="27">
        <f t="shared" si="47"/>
        <v>0</v>
      </c>
      <c r="V64" s="27">
        <f t="shared" si="48"/>
        <v>0</v>
      </c>
      <c r="W64" s="27">
        <f t="shared" si="28"/>
        <v>0</v>
      </c>
      <c r="X64" s="27">
        <f t="shared" si="29"/>
        <v>0</v>
      </c>
      <c r="Y64" s="142">
        <f t="shared" si="49"/>
        <v>1.0000000000000011</v>
      </c>
      <c r="Z64" s="89">
        <f t="shared" si="30"/>
        <v>1.0000000000000011</v>
      </c>
      <c r="AB64" s="171">
        <f>(IF('Parameters &amp; DSA'!$H$1=1,(('Parameters &amp; DSA'!$B$79+'Parameters &amp; DSA'!$B$85+'Parameters &amp; DSA'!$B$89+'Parameters &amp; DSA'!$B$93)*K64)/(1+cDC)^$A64,(('Parameters &amp; DSA'!$B$79+'Parameters &amp; DSA'!$B$85)*K64)))*($AD$2/$AF$2)</f>
        <v>0</v>
      </c>
      <c r="AC64" s="371">
        <f>(IF('Parameters &amp; DSA'!$H$1=1,(('Parameters &amp; DSA'!$B$79+'Parameters &amp; DSA'!$B$85+'Parameters &amp; DSA'!$B$89+'Parameters &amp; DSA'!$B$93)*($M64+$N64))/(1+cDC)^$A64,(('Parameters &amp; DSA'!$B$79+'Parameters &amp; DSA'!$B$85)*($M64+$N64))))*($AD$2/$AF$2)</f>
        <v>0</v>
      </c>
      <c r="AD64" s="371">
        <f>(IF('Parameters &amp; DSA'!$H$1=1,(('Parameters &amp; DSA'!$B$79+'Parameters &amp; DSA'!$B$85+'Parameters &amp; DSA'!$B$89+'Parameters &amp; DSA'!$B$93)*(P64+Q64))/(1+cDC)^$A64,(('Parameters &amp; DSA'!$B$79+'Parameters &amp; DSA'!$B$85)*(P64+Q64))))*($AD$2/$AF$2)</f>
        <v>0</v>
      </c>
      <c r="AE64" s="371">
        <f>(IF('Parameters &amp; DSA'!$H$1=1,(('Parameters &amp; DSA'!$B$79+'Parameters &amp; DSA'!$B$85+'Parameters &amp; DSA'!$B$89+'Parameters &amp; DSA'!$B$93)*(S64+T64))/(1+cDC)^$A64,(('Parameters &amp; DSA'!$B$79+'Parameters &amp; DSA'!$B$85)*(S64+T64))))*($AD$2/$AF$2)</f>
        <v>0</v>
      </c>
      <c r="AF64" s="371">
        <f>(IF('Parameters &amp; DSA'!$H$1=1,(((W64-W63)*cM_Dialysis0)+(W64*cM_Dialysis1))/(1+'Parameters &amp; DSA'!$B$6)^$A64,(((W64-W63)*cM_Dialysis0)+(W64*cM_Dialysis1))))*($AD$2/$AG$2)</f>
        <v>0</v>
      </c>
      <c r="AG64" s="172">
        <f t="shared" si="19"/>
        <v>0</v>
      </c>
      <c r="AI64" s="88">
        <f t="shared" si="32"/>
        <v>0</v>
      </c>
      <c r="AJ64" s="27">
        <f t="shared" si="20"/>
        <v>0</v>
      </c>
      <c r="AK64" s="27">
        <f t="shared" si="33"/>
        <v>0</v>
      </c>
      <c r="AL64" s="27">
        <f t="shared" si="21"/>
        <v>0</v>
      </c>
      <c r="AM64" s="27">
        <f t="shared" si="34"/>
        <v>0</v>
      </c>
      <c r="AN64" s="27">
        <f t="shared" si="22"/>
        <v>0</v>
      </c>
      <c r="AO64" s="27">
        <f t="shared" si="35"/>
        <v>0</v>
      </c>
      <c r="AP64" s="27">
        <f t="shared" si="23"/>
        <v>0</v>
      </c>
      <c r="AQ64" s="27">
        <f t="shared" si="36"/>
        <v>0</v>
      </c>
      <c r="AR64" s="27">
        <f t="shared" si="24"/>
        <v>0</v>
      </c>
      <c r="AS64" s="27">
        <f t="shared" si="25"/>
        <v>0</v>
      </c>
      <c r="AT64" s="89">
        <f t="shared" si="26"/>
        <v>0</v>
      </c>
    </row>
    <row r="65" spans="1:46">
      <c r="A65" s="80">
        <v>61</v>
      </c>
      <c r="C65" s="10">
        <f t="shared" si="27"/>
        <v>103</v>
      </c>
      <c r="D65" s="98" t="str" cm="1">
        <f t="array" ref="D65">_xlfn.IFS(C65&lt;=4,"1-4",C65&lt;=9,"5-9",C65&lt;=14,"10-14",C65&lt;=19,"15-19",C65&lt;=24,"20-24",C65&lt;=29,"25-29",C65&lt;=34,"30-34",C65&lt;=39,"35-39",C65&lt;=44,"40-44",C65&lt;=49,"45-49",C65&lt;=54,"50-54",C65&lt;=54,"50-54",C65&lt;=59,"55-59",C65&lt;=64,"60-64",C65&lt;=69,"65-69",C65&lt;=74,"70-74",C65&lt;=79,"75-79",C65&lt;=84,"80-84",C65&gt;84,"85+")</f>
        <v>85+</v>
      </c>
      <c r="E65" s="83">
        <f>IF(D65="85+",1,VLOOKUP(D65,'Life table 2014'!$AF$3:$AR$21,7,FALSE))</f>
        <v>1</v>
      </c>
      <c r="F65" s="72"/>
      <c r="G65" s="316">
        <f t="shared" si="5"/>
        <v>22265</v>
      </c>
      <c r="H65" s="27">
        <f>'Parameters &amp; DSA'!$B$119*G65^'Parameters &amp; DSA'!$B$120</f>
        <v>2.8346922544713937</v>
      </c>
      <c r="I65" s="314">
        <f t="shared" si="31"/>
        <v>4.8693111367203223E-2</v>
      </c>
      <c r="J65" s="72"/>
      <c r="K65" s="140">
        <f t="shared" si="37"/>
        <v>0</v>
      </c>
      <c r="L65" s="141">
        <f t="shared" si="38"/>
        <v>0</v>
      </c>
      <c r="M65" s="141">
        <f t="shared" si="39"/>
        <v>0</v>
      </c>
      <c r="N65" s="27">
        <f t="shared" si="40"/>
        <v>0</v>
      </c>
      <c r="O65" s="27">
        <f t="shared" si="41"/>
        <v>0</v>
      </c>
      <c r="P65" s="27">
        <f t="shared" si="42"/>
        <v>0</v>
      </c>
      <c r="Q65" s="27">
        <f t="shared" si="43"/>
        <v>0</v>
      </c>
      <c r="R65" s="27">
        <f t="shared" si="44"/>
        <v>0</v>
      </c>
      <c r="S65" s="27">
        <f t="shared" si="45"/>
        <v>0</v>
      </c>
      <c r="T65" s="27">
        <f t="shared" si="46"/>
        <v>0</v>
      </c>
      <c r="U65" s="27">
        <f t="shared" si="47"/>
        <v>0</v>
      </c>
      <c r="V65" s="27">
        <f t="shared" si="48"/>
        <v>0</v>
      </c>
      <c r="W65" s="27">
        <f t="shared" si="28"/>
        <v>0</v>
      </c>
      <c r="X65" s="27">
        <f t="shared" si="29"/>
        <v>0</v>
      </c>
      <c r="Y65" s="142">
        <f t="shared" si="49"/>
        <v>1.0000000000000011</v>
      </c>
      <c r="Z65" s="89">
        <f t="shared" si="30"/>
        <v>1.0000000000000011</v>
      </c>
      <c r="AB65" s="171">
        <f>(IF('Parameters &amp; DSA'!$H$1=1,(('Parameters &amp; DSA'!$B$79+'Parameters &amp; DSA'!$B$85+'Parameters &amp; DSA'!$B$89+'Parameters &amp; DSA'!$B$93)*K65)/(1+cDC)^$A65,(('Parameters &amp; DSA'!$B$79+'Parameters &amp; DSA'!$B$85)*K65)))*($AD$2/$AF$2)</f>
        <v>0</v>
      </c>
      <c r="AC65" s="371">
        <f>(IF('Parameters &amp; DSA'!$H$1=1,(('Parameters &amp; DSA'!$B$79+'Parameters &amp; DSA'!$B$85+'Parameters &amp; DSA'!$B$89+'Parameters &amp; DSA'!$B$93)*($M65+$N65))/(1+cDC)^$A65,(('Parameters &amp; DSA'!$B$79+'Parameters &amp; DSA'!$B$85)*($M65+$N65))))*($AD$2/$AF$2)</f>
        <v>0</v>
      </c>
      <c r="AD65" s="371">
        <f>(IF('Parameters &amp; DSA'!$H$1=1,(('Parameters &amp; DSA'!$B$79+'Parameters &amp; DSA'!$B$85+'Parameters &amp; DSA'!$B$89+'Parameters &amp; DSA'!$B$93)*(P65+Q65))/(1+cDC)^$A65,(('Parameters &amp; DSA'!$B$79+'Parameters &amp; DSA'!$B$85)*(P65+Q65))))*($AD$2/$AF$2)</f>
        <v>0</v>
      </c>
      <c r="AE65" s="371">
        <f>(IF('Parameters &amp; DSA'!$H$1=1,(('Parameters &amp; DSA'!$B$79+'Parameters &amp; DSA'!$B$85+'Parameters &amp; DSA'!$B$89+'Parameters &amp; DSA'!$B$93)*(S65+T65))/(1+cDC)^$A65,(('Parameters &amp; DSA'!$B$79+'Parameters &amp; DSA'!$B$85)*(S65+T65))))*($AD$2/$AF$2)</f>
        <v>0</v>
      </c>
      <c r="AF65" s="371">
        <f>(IF('Parameters &amp; DSA'!$H$1=1,(((W65-W64)*cM_Dialysis0)+(W65*cM_Dialysis1))/(1+'Parameters &amp; DSA'!$B$6)^$A65,(((W65-W64)*cM_Dialysis0)+(W65*cM_Dialysis1))))*($AD$2/$AG$2)</f>
        <v>0</v>
      </c>
      <c r="AG65" s="172">
        <f t="shared" si="19"/>
        <v>0</v>
      </c>
      <c r="AI65" s="88">
        <f t="shared" si="32"/>
        <v>0</v>
      </c>
      <c r="AJ65" s="27">
        <f t="shared" si="20"/>
        <v>0</v>
      </c>
      <c r="AK65" s="27">
        <f t="shared" si="33"/>
        <v>0</v>
      </c>
      <c r="AL65" s="27">
        <f t="shared" si="21"/>
        <v>0</v>
      </c>
      <c r="AM65" s="27">
        <f t="shared" si="34"/>
        <v>0</v>
      </c>
      <c r="AN65" s="27">
        <f t="shared" si="22"/>
        <v>0</v>
      </c>
      <c r="AO65" s="27">
        <f t="shared" si="35"/>
        <v>0</v>
      </c>
      <c r="AP65" s="27">
        <f t="shared" si="23"/>
        <v>0</v>
      </c>
      <c r="AQ65" s="27">
        <f t="shared" si="36"/>
        <v>0</v>
      </c>
      <c r="AR65" s="27">
        <f t="shared" si="24"/>
        <v>0</v>
      </c>
      <c r="AS65" s="27">
        <f t="shared" si="25"/>
        <v>0</v>
      </c>
      <c r="AT65" s="89">
        <f t="shared" si="26"/>
        <v>0</v>
      </c>
    </row>
    <row r="66" spans="1:46">
      <c r="A66" s="80">
        <v>62</v>
      </c>
      <c r="C66" s="10">
        <f t="shared" si="27"/>
        <v>104</v>
      </c>
      <c r="D66" s="98" t="str" cm="1">
        <f t="array" ref="D66">_xlfn.IFS(C66&lt;=4,"1-4",C66&lt;=9,"5-9",C66&lt;=14,"10-14",C66&lt;=19,"15-19",C66&lt;=24,"20-24",C66&lt;=29,"25-29",C66&lt;=34,"30-34",C66&lt;=39,"35-39",C66&lt;=44,"40-44",C66&lt;=49,"45-49",C66&lt;=54,"50-54",C66&lt;=54,"50-54",C66&lt;=59,"55-59",C66&lt;=64,"60-64",C66&lt;=69,"65-69",C66&lt;=74,"70-74",C66&lt;=79,"75-79",C66&lt;=84,"80-84",C66&gt;84,"85+")</f>
        <v>85+</v>
      </c>
      <c r="E66" s="83">
        <f>IF(D66="85+",1,VLOOKUP(D66,'Life table 2014'!$AF$3:$AR$21,7,FALSE))</f>
        <v>1</v>
      </c>
      <c r="F66" s="72"/>
      <c r="G66" s="316">
        <f t="shared" si="5"/>
        <v>22630</v>
      </c>
      <c r="H66" s="27">
        <f>'Parameters &amp; DSA'!$B$119*G66^'Parameters &amp; DSA'!$B$120</f>
        <v>2.8846721271642086</v>
      </c>
      <c r="I66" s="314">
        <f t="shared" si="31"/>
        <v>4.8751429619778741E-2</v>
      </c>
      <c r="J66" s="72"/>
      <c r="K66" s="140">
        <f t="shared" si="37"/>
        <v>0</v>
      </c>
      <c r="L66" s="141">
        <f t="shared" si="38"/>
        <v>0</v>
      </c>
      <c r="M66" s="141">
        <f t="shared" si="39"/>
        <v>0</v>
      </c>
      <c r="N66" s="27">
        <f t="shared" si="40"/>
        <v>0</v>
      </c>
      <c r="O66" s="27">
        <f t="shared" si="41"/>
        <v>0</v>
      </c>
      <c r="P66" s="27">
        <f t="shared" si="42"/>
        <v>0</v>
      </c>
      <c r="Q66" s="27">
        <f t="shared" si="43"/>
        <v>0</v>
      </c>
      <c r="R66" s="27">
        <f t="shared" si="44"/>
        <v>0</v>
      </c>
      <c r="S66" s="27">
        <f t="shared" si="45"/>
        <v>0</v>
      </c>
      <c r="T66" s="27">
        <f t="shared" si="46"/>
        <v>0</v>
      </c>
      <c r="U66" s="27">
        <f t="shared" si="47"/>
        <v>0</v>
      </c>
      <c r="V66" s="27">
        <f t="shared" si="48"/>
        <v>0</v>
      </c>
      <c r="W66" s="27">
        <f t="shared" si="28"/>
        <v>0</v>
      </c>
      <c r="X66" s="27">
        <f t="shared" si="29"/>
        <v>0</v>
      </c>
      <c r="Y66" s="142">
        <f t="shared" si="49"/>
        <v>1.0000000000000011</v>
      </c>
      <c r="Z66" s="89">
        <f t="shared" si="30"/>
        <v>1.0000000000000011</v>
      </c>
      <c r="AB66" s="171">
        <f>(IF('Parameters &amp; DSA'!$H$1=1,(('Parameters &amp; DSA'!$B$79+'Parameters &amp; DSA'!$B$85+'Parameters &amp; DSA'!$B$89+'Parameters &amp; DSA'!$B$93)*K66)/(1+cDC)^$A66,(('Parameters &amp; DSA'!$B$79+'Parameters &amp; DSA'!$B$85)*K66)))*($AD$2/$AF$2)</f>
        <v>0</v>
      </c>
      <c r="AC66" s="371">
        <f>(IF('Parameters &amp; DSA'!$H$1=1,(('Parameters &amp; DSA'!$B$79+'Parameters &amp; DSA'!$B$85+'Parameters &amp; DSA'!$B$89+'Parameters &amp; DSA'!$B$93)*($M66+$N66))/(1+cDC)^$A66,(('Parameters &amp; DSA'!$B$79+'Parameters &amp; DSA'!$B$85)*($M66+$N66))))*($AD$2/$AF$2)</f>
        <v>0</v>
      </c>
      <c r="AD66" s="371">
        <f>(IF('Parameters &amp; DSA'!$H$1=1,(('Parameters &amp; DSA'!$B$79+'Parameters &amp; DSA'!$B$85+'Parameters &amp; DSA'!$B$89+'Parameters &amp; DSA'!$B$93)*(P66+Q66))/(1+cDC)^$A66,(('Parameters &amp; DSA'!$B$79+'Parameters &amp; DSA'!$B$85)*(P66+Q66))))*($AD$2/$AF$2)</f>
        <v>0</v>
      </c>
      <c r="AE66" s="371">
        <f>(IF('Parameters &amp; DSA'!$H$1=1,(('Parameters &amp; DSA'!$B$79+'Parameters &amp; DSA'!$B$85+'Parameters &amp; DSA'!$B$89+'Parameters &amp; DSA'!$B$93)*(S66+T66))/(1+cDC)^$A66,(('Parameters &amp; DSA'!$B$79+'Parameters &amp; DSA'!$B$85)*(S66+T66))))*($AD$2/$AF$2)</f>
        <v>0</v>
      </c>
      <c r="AF66" s="371">
        <f>(IF('Parameters &amp; DSA'!$H$1=1,(((W66-W65)*cM_Dialysis0)+(W66*cM_Dialysis1))/(1+'Parameters &amp; DSA'!$B$6)^$A66,(((W66-W65)*cM_Dialysis0)+(W66*cM_Dialysis1))))*($AD$2/$AG$2)</f>
        <v>0</v>
      </c>
      <c r="AG66" s="172">
        <f t="shared" si="19"/>
        <v>0</v>
      </c>
      <c r="AI66" s="88">
        <f t="shared" si="32"/>
        <v>0</v>
      </c>
      <c r="AJ66" s="27">
        <f t="shared" si="20"/>
        <v>0</v>
      </c>
      <c r="AK66" s="27">
        <f t="shared" si="33"/>
        <v>0</v>
      </c>
      <c r="AL66" s="27">
        <f t="shared" si="21"/>
        <v>0</v>
      </c>
      <c r="AM66" s="27">
        <f t="shared" si="34"/>
        <v>0</v>
      </c>
      <c r="AN66" s="27">
        <f t="shared" si="22"/>
        <v>0</v>
      </c>
      <c r="AO66" s="27">
        <f t="shared" si="35"/>
        <v>0</v>
      </c>
      <c r="AP66" s="27">
        <f t="shared" si="23"/>
        <v>0</v>
      </c>
      <c r="AQ66" s="27">
        <f t="shared" si="36"/>
        <v>0</v>
      </c>
      <c r="AR66" s="27">
        <f t="shared" si="24"/>
        <v>0</v>
      </c>
      <c r="AS66" s="27">
        <f t="shared" si="25"/>
        <v>0</v>
      </c>
      <c r="AT66" s="89">
        <f t="shared" si="26"/>
        <v>0</v>
      </c>
    </row>
    <row r="67" spans="1:46">
      <c r="A67" s="80">
        <v>63</v>
      </c>
      <c r="C67" s="10">
        <f t="shared" si="27"/>
        <v>105</v>
      </c>
      <c r="D67" s="98" t="str" cm="1">
        <f t="array" ref="D67">_xlfn.IFS(C67&lt;=4,"1-4",C67&lt;=9,"5-9",C67&lt;=14,"10-14",C67&lt;=19,"15-19",C67&lt;=24,"20-24",C67&lt;=29,"25-29",C67&lt;=34,"30-34",C67&lt;=39,"35-39",C67&lt;=44,"40-44",C67&lt;=49,"45-49",C67&lt;=54,"50-54",C67&lt;=54,"50-54",C67&lt;=59,"55-59",C67&lt;=64,"60-64",C67&lt;=69,"65-69",C67&lt;=74,"70-74",C67&lt;=79,"75-79",C67&lt;=84,"80-84",C67&gt;84,"85+")</f>
        <v>85+</v>
      </c>
      <c r="E67" s="83">
        <f>IF(D67="85+",1,VLOOKUP(D67,'Life table 2014'!$AF$3:$AR$21,7,FALSE))</f>
        <v>1</v>
      </c>
      <c r="F67" s="72"/>
      <c r="G67" s="316">
        <f t="shared" si="5"/>
        <v>22995</v>
      </c>
      <c r="H67" s="27">
        <f>'Parameters &amp; DSA'!$B$119*G67^'Parameters &amp; DSA'!$B$120</f>
        <v>2.9347123896375074</v>
      </c>
      <c r="I67" s="314">
        <f t="shared" si="31"/>
        <v>4.8808873577598111E-2</v>
      </c>
      <c r="J67" s="72"/>
      <c r="K67" s="140">
        <f t="shared" si="37"/>
        <v>0</v>
      </c>
      <c r="L67" s="141">
        <f t="shared" si="38"/>
        <v>0</v>
      </c>
      <c r="M67" s="141">
        <f t="shared" si="39"/>
        <v>0</v>
      </c>
      <c r="N67" s="27">
        <f t="shared" si="40"/>
        <v>0</v>
      </c>
      <c r="O67" s="27">
        <f t="shared" si="41"/>
        <v>0</v>
      </c>
      <c r="P67" s="27">
        <f t="shared" si="42"/>
        <v>0</v>
      </c>
      <c r="Q67" s="27">
        <f t="shared" si="43"/>
        <v>0</v>
      </c>
      <c r="R67" s="27">
        <f t="shared" si="44"/>
        <v>0</v>
      </c>
      <c r="S67" s="27">
        <f t="shared" si="45"/>
        <v>0</v>
      </c>
      <c r="T67" s="27">
        <f t="shared" si="46"/>
        <v>0</v>
      </c>
      <c r="U67" s="27">
        <f t="shared" si="47"/>
        <v>0</v>
      </c>
      <c r="V67" s="27">
        <f t="shared" si="48"/>
        <v>0</v>
      </c>
      <c r="W67" s="27">
        <f t="shared" si="28"/>
        <v>0</v>
      </c>
      <c r="X67" s="27">
        <f t="shared" si="29"/>
        <v>0</v>
      </c>
      <c r="Y67" s="142">
        <f t="shared" si="49"/>
        <v>1.0000000000000011</v>
      </c>
      <c r="Z67" s="89">
        <f t="shared" si="30"/>
        <v>1.0000000000000011</v>
      </c>
      <c r="AB67" s="171">
        <f>(IF('Parameters &amp; DSA'!$H$1=1,(('Parameters &amp; DSA'!$B$79+'Parameters &amp; DSA'!$B$85+'Parameters &amp; DSA'!$B$89+'Parameters &amp; DSA'!$B$93)*K67)/(1+cDC)^$A67,(('Parameters &amp; DSA'!$B$79+'Parameters &amp; DSA'!$B$85)*K67)))*($AD$2/$AF$2)</f>
        <v>0</v>
      </c>
      <c r="AC67" s="371">
        <f>(IF('Parameters &amp; DSA'!$H$1=1,(('Parameters &amp; DSA'!$B$79+'Parameters &amp; DSA'!$B$85+'Parameters &amp; DSA'!$B$89+'Parameters &amp; DSA'!$B$93)*($M67+$N67))/(1+cDC)^$A67,(('Parameters &amp; DSA'!$B$79+'Parameters &amp; DSA'!$B$85)*($M67+$N67))))*($AD$2/$AF$2)</f>
        <v>0</v>
      </c>
      <c r="AD67" s="371">
        <f>(IF('Parameters &amp; DSA'!$H$1=1,(('Parameters &amp; DSA'!$B$79+'Parameters &amp; DSA'!$B$85+'Parameters &amp; DSA'!$B$89+'Parameters &amp; DSA'!$B$93)*(P67+Q67))/(1+cDC)^$A67,(('Parameters &amp; DSA'!$B$79+'Parameters &amp; DSA'!$B$85)*(P67+Q67))))*($AD$2/$AF$2)</f>
        <v>0</v>
      </c>
      <c r="AE67" s="371">
        <f>(IF('Parameters &amp; DSA'!$H$1=1,(('Parameters &amp; DSA'!$B$79+'Parameters &amp; DSA'!$B$85+'Parameters &amp; DSA'!$B$89+'Parameters &amp; DSA'!$B$93)*(S67+T67))/(1+cDC)^$A67,(('Parameters &amp; DSA'!$B$79+'Parameters &amp; DSA'!$B$85)*(S67+T67))))*($AD$2/$AF$2)</f>
        <v>0</v>
      </c>
      <c r="AF67" s="371">
        <f>(IF('Parameters &amp; DSA'!$H$1=1,(((W67-W66)*cM_Dialysis0)+(W67*cM_Dialysis1))/(1+'Parameters &amp; DSA'!$B$6)^$A67,(((W67-W66)*cM_Dialysis0)+(W67*cM_Dialysis1))))*($AD$2/$AG$2)</f>
        <v>0</v>
      </c>
      <c r="AG67" s="172">
        <f t="shared" si="19"/>
        <v>0</v>
      </c>
      <c r="AI67" s="88">
        <f t="shared" si="32"/>
        <v>0</v>
      </c>
      <c r="AJ67" s="27">
        <f t="shared" si="20"/>
        <v>0</v>
      </c>
      <c r="AK67" s="27">
        <f t="shared" si="33"/>
        <v>0</v>
      </c>
      <c r="AL67" s="27">
        <f t="shared" si="21"/>
        <v>0</v>
      </c>
      <c r="AM67" s="27">
        <f t="shared" si="34"/>
        <v>0</v>
      </c>
      <c r="AN67" s="27">
        <f t="shared" si="22"/>
        <v>0</v>
      </c>
      <c r="AO67" s="27">
        <f t="shared" si="35"/>
        <v>0</v>
      </c>
      <c r="AP67" s="27">
        <f t="shared" si="23"/>
        <v>0</v>
      </c>
      <c r="AQ67" s="27">
        <f t="shared" si="36"/>
        <v>0</v>
      </c>
      <c r="AR67" s="27">
        <f t="shared" si="24"/>
        <v>0</v>
      </c>
      <c r="AS67" s="27">
        <f t="shared" si="25"/>
        <v>0</v>
      </c>
      <c r="AT67" s="89">
        <f t="shared" si="26"/>
        <v>0</v>
      </c>
    </row>
    <row r="68" spans="1:46">
      <c r="A68" s="80">
        <v>64</v>
      </c>
      <c r="C68" s="10">
        <f t="shared" si="27"/>
        <v>106</v>
      </c>
      <c r="D68" s="98" t="str" cm="1">
        <f t="array" ref="D68">_xlfn.IFS(C68&lt;=4,"1-4",C68&lt;=9,"5-9",C68&lt;=14,"10-14",C68&lt;=19,"15-19",C68&lt;=24,"20-24",C68&lt;=29,"25-29",C68&lt;=34,"30-34",C68&lt;=39,"35-39",C68&lt;=44,"40-44",C68&lt;=49,"45-49",C68&lt;=54,"50-54",C68&lt;=54,"50-54",C68&lt;=59,"55-59",C68&lt;=64,"60-64",C68&lt;=69,"65-69",C68&lt;=74,"70-74",C68&lt;=79,"75-79",C68&lt;=84,"80-84",C68&gt;84,"85+")</f>
        <v>85+</v>
      </c>
      <c r="E68" s="83">
        <f>IF(D68="85+",1,VLOOKUP(D68,'Life table 2014'!$AF$3:$AR$21,7,FALSE))</f>
        <v>1</v>
      </c>
      <c r="F68" s="72"/>
      <c r="G68" s="316">
        <f t="shared" si="5"/>
        <v>23360</v>
      </c>
      <c r="H68" s="27">
        <f>'Parameters &amp; DSA'!$B$119*G68^'Parameters &amp; DSA'!$B$120</f>
        <v>2.9848121544843602</v>
      </c>
      <c r="I68" s="314">
        <f t="shared" si="31"/>
        <v>4.8865470023495727E-2</v>
      </c>
      <c r="J68" s="72"/>
      <c r="K68" s="140">
        <f t="shared" si="37"/>
        <v>0</v>
      </c>
      <c r="L68" s="141">
        <f t="shared" si="38"/>
        <v>0</v>
      </c>
      <c r="M68" s="141">
        <f t="shared" si="39"/>
        <v>0</v>
      </c>
      <c r="N68" s="27">
        <f t="shared" si="40"/>
        <v>0</v>
      </c>
      <c r="O68" s="27">
        <f t="shared" si="41"/>
        <v>0</v>
      </c>
      <c r="P68" s="27">
        <f t="shared" si="42"/>
        <v>0</v>
      </c>
      <c r="Q68" s="27">
        <f t="shared" si="43"/>
        <v>0</v>
      </c>
      <c r="R68" s="27">
        <f t="shared" si="44"/>
        <v>0</v>
      </c>
      <c r="S68" s="27">
        <f t="shared" si="45"/>
        <v>0</v>
      </c>
      <c r="T68" s="27">
        <f t="shared" si="46"/>
        <v>0</v>
      </c>
      <c r="U68" s="27">
        <f t="shared" si="47"/>
        <v>0</v>
      </c>
      <c r="V68" s="27">
        <f t="shared" si="48"/>
        <v>0</v>
      </c>
      <c r="W68" s="27">
        <f t="shared" si="28"/>
        <v>0</v>
      </c>
      <c r="X68" s="27">
        <f t="shared" si="29"/>
        <v>0</v>
      </c>
      <c r="Y68" s="142">
        <f t="shared" si="49"/>
        <v>1.0000000000000011</v>
      </c>
      <c r="Z68" s="89">
        <f t="shared" si="30"/>
        <v>1.0000000000000011</v>
      </c>
      <c r="AB68" s="171">
        <f>(IF('Parameters &amp; DSA'!$H$1=1,(('Parameters &amp; DSA'!$B$79+'Parameters &amp; DSA'!$B$85+'Parameters &amp; DSA'!$B$89+'Parameters &amp; DSA'!$B$93)*K68)/(1+cDC)^$A68,(('Parameters &amp; DSA'!$B$79+'Parameters &amp; DSA'!$B$85)*K68)))*($AD$2/$AF$2)</f>
        <v>0</v>
      </c>
      <c r="AC68" s="371">
        <f>(IF('Parameters &amp; DSA'!$H$1=1,(('Parameters &amp; DSA'!$B$79+'Parameters &amp; DSA'!$B$85+'Parameters &amp; DSA'!$B$89+'Parameters &amp; DSA'!$B$93)*($M68+$N68))/(1+cDC)^$A68,(('Parameters &amp; DSA'!$B$79+'Parameters &amp; DSA'!$B$85)*($M68+$N68))))*($AD$2/$AF$2)</f>
        <v>0</v>
      </c>
      <c r="AD68" s="371">
        <f>(IF('Parameters &amp; DSA'!$H$1=1,(('Parameters &amp; DSA'!$B$79+'Parameters &amp; DSA'!$B$85+'Parameters &amp; DSA'!$B$89+'Parameters &amp; DSA'!$B$93)*(P68+Q68))/(1+cDC)^$A68,(('Parameters &amp; DSA'!$B$79+'Parameters &amp; DSA'!$B$85)*(P68+Q68))))*($AD$2/$AF$2)</f>
        <v>0</v>
      </c>
      <c r="AE68" s="371">
        <f>(IF('Parameters &amp; DSA'!$H$1=1,(('Parameters &amp; DSA'!$B$79+'Parameters &amp; DSA'!$B$85+'Parameters &amp; DSA'!$B$89+'Parameters &amp; DSA'!$B$93)*(S68+T68))/(1+cDC)^$A68,(('Parameters &amp; DSA'!$B$79+'Parameters &amp; DSA'!$B$85)*(S68+T68))))*($AD$2/$AF$2)</f>
        <v>0</v>
      </c>
      <c r="AF68" s="371">
        <f>(IF('Parameters &amp; DSA'!$H$1=1,(((W68-W67)*cM_Dialysis0)+(W68*cM_Dialysis1))/(1+'Parameters &amp; DSA'!$B$6)^$A68,(((W68-W67)*cM_Dialysis0)+(W68*cM_Dialysis1))))*($AD$2/$AG$2)</f>
        <v>0</v>
      </c>
      <c r="AG68" s="172">
        <f t="shared" si="19"/>
        <v>0</v>
      </c>
      <c r="AI68" s="88">
        <f t="shared" ref="AI68:AI103" si="50">K68/((1+cDO)^$A68)</f>
        <v>0</v>
      </c>
      <c r="AJ68" s="27">
        <f t="shared" si="20"/>
        <v>0</v>
      </c>
      <c r="AK68" s="27">
        <f t="shared" ref="AK68:AK103" si="51">(M68+N68)/((1+cDO)^$A68)</f>
        <v>0</v>
      </c>
      <c r="AL68" s="27">
        <f t="shared" si="21"/>
        <v>0</v>
      </c>
      <c r="AM68" s="27">
        <f t="shared" ref="AM68:AM103" si="52">(P68+Q68)/((1+cDO)^$A68)</f>
        <v>0</v>
      </c>
      <c r="AN68" s="27">
        <f t="shared" si="22"/>
        <v>0</v>
      </c>
      <c r="AO68" s="27">
        <f t="shared" ref="AO68:AO103" si="53">(S68+T68)/((1+cDO)^$A68)</f>
        <v>0</v>
      </c>
      <c r="AP68" s="27">
        <f t="shared" si="23"/>
        <v>0</v>
      </c>
      <c r="AQ68" s="27">
        <f t="shared" ref="AQ68:AQ103" si="54">(V68+W68)/((1+cDO)^$A68)</f>
        <v>0</v>
      </c>
      <c r="AR68" s="27">
        <f t="shared" si="24"/>
        <v>0</v>
      </c>
      <c r="AS68" s="27">
        <f t="shared" si="25"/>
        <v>0</v>
      </c>
      <c r="AT68" s="89">
        <f t="shared" si="26"/>
        <v>0</v>
      </c>
    </row>
    <row r="69" spans="1:46">
      <c r="A69" s="80">
        <v>65</v>
      </c>
      <c r="C69" s="10">
        <f t="shared" si="27"/>
        <v>107</v>
      </c>
      <c r="D69" s="98" t="str" cm="1">
        <f t="array" ref="D69">_xlfn.IFS(C69&lt;=4,"1-4",C69&lt;=9,"5-9",C69&lt;=14,"10-14",C69&lt;=19,"15-19",C69&lt;=24,"20-24",C69&lt;=29,"25-29",C69&lt;=34,"30-34",C69&lt;=39,"35-39",C69&lt;=44,"40-44",C69&lt;=49,"45-49",C69&lt;=54,"50-54",C69&lt;=54,"50-54",C69&lt;=59,"55-59",C69&lt;=64,"60-64",C69&lt;=69,"65-69",C69&lt;=74,"70-74",C69&lt;=79,"75-79",C69&lt;=84,"80-84",C69&gt;84,"85+")</f>
        <v>85+</v>
      </c>
      <c r="E69" s="83">
        <f>IF(D69="85+",1,VLOOKUP(D69,'Life table 2014'!$AF$3:$AR$21,7,FALSE))</f>
        <v>1</v>
      </c>
      <c r="F69" s="72"/>
      <c r="G69" s="316">
        <f t="shared" ref="G69:G103" si="55">A69*365</f>
        <v>23725</v>
      </c>
      <c r="H69" s="27">
        <f>'Parameters &amp; DSA'!$B$119*G69^'Parameters &amp; DSA'!$B$120</f>
        <v>3.0349705610102311</v>
      </c>
      <c r="I69" s="314">
        <f t="shared" si="31"/>
        <v>4.8921244513934647E-2</v>
      </c>
      <c r="J69" s="72"/>
      <c r="K69" s="140">
        <f t="shared" ref="K69:K102" si="56">(K68*(1-E69))*p3a_3aMDCT</f>
        <v>0</v>
      </c>
      <c r="L69" s="141">
        <f t="shared" ref="L69:L102" si="57">(K68*(1-E69))*p3a_DeathMDCT</f>
        <v>0</v>
      </c>
      <c r="M69" s="141">
        <f t="shared" ref="M69:M102" si="58">(K68*(1-E69))*p3a_3bMDCT</f>
        <v>0</v>
      </c>
      <c r="N69" s="27">
        <f t="shared" ref="N69:N102" si="59">(SUM(M68:N68)*(1-E69))*p3b_3bMDCT</f>
        <v>0</v>
      </c>
      <c r="O69" s="27">
        <f t="shared" ref="O69:O102" si="60">(SUM(M68:N68)*(1-E69))*p3b_DeathMDCT</f>
        <v>0</v>
      </c>
      <c r="P69" s="27">
        <f t="shared" ref="P69:P102" si="61">(SUM(M68:N68)*(1-E69))*p3b_4MDCT</f>
        <v>0</v>
      </c>
      <c r="Q69" s="27">
        <f t="shared" ref="Q69:Q102" si="62">(SUM(P68:Q68)*(1-E69))*p4_4MDCT</f>
        <v>0</v>
      </c>
      <c r="R69" s="27">
        <f t="shared" ref="R69:R102" si="63">(SUM(P68:Q68)*(1-E69))*p4_DeathMDCT</f>
        <v>0</v>
      </c>
      <c r="S69" s="27">
        <f t="shared" ref="S69:S102" si="64">(SUM(P68:Q68)*(1-E69))*p4_5MDCT</f>
        <v>0</v>
      </c>
      <c r="T69" s="27">
        <f t="shared" ref="T69:T102" si="65">(SUM(S68:T68)*(1-E69))*p5_5MDCT</f>
        <v>0</v>
      </c>
      <c r="U69" s="27">
        <f t="shared" ref="U69:U102" si="66">(SUM(S68:T68)*(1-E69))*p5_DeathMDCT</f>
        <v>0</v>
      </c>
      <c r="V69" s="27">
        <f t="shared" ref="V69:V102" si="67">(SUM(S68:T68)*(1-E69))*p5_DialysisMDCT</f>
        <v>0</v>
      </c>
      <c r="W69" s="27">
        <f t="shared" si="28"/>
        <v>0</v>
      </c>
      <c r="X69" s="27">
        <f t="shared" si="29"/>
        <v>0</v>
      </c>
      <c r="Y69" s="142">
        <f t="shared" ref="Y69:Y102" si="68">(SUM(K68:K68,M68:N68,P68:Q68,S68:T68,V68:W68)*E69)+SUM(L68,O68,R68,U68,X68)+Y68</f>
        <v>1.0000000000000011</v>
      </c>
      <c r="Z69" s="89">
        <f t="shared" si="30"/>
        <v>1.0000000000000011</v>
      </c>
      <c r="AB69" s="171">
        <f>(IF('Parameters &amp; DSA'!$H$1=1,(('Parameters &amp; DSA'!$B$79+'Parameters &amp; DSA'!$B$85+'Parameters &amp; DSA'!$B$89+'Parameters &amp; DSA'!$B$93)*K69)/(1+cDC)^$A69,(('Parameters &amp; DSA'!$B$79+'Parameters &amp; DSA'!$B$85)*K69)))*($AD$2/$AF$2)</f>
        <v>0</v>
      </c>
      <c r="AC69" s="371">
        <f>(IF('Parameters &amp; DSA'!$H$1=1,(('Parameters &amp; DSA'!$B$79+'Parameters &amp; DSA'!$B$85+'Parameters &amp; DSA'!$B$89+'Parameters &amp; DSA'!$B$93)*($M69+$N69))/(1+cDC)^$A69,(('Parameters &amp; DSA'!$B$79+'Parameters &amp; DSA'!$B$85)*($M69+$N69))))*($AD$2/$AF$2)</f>
        <v>0</v>
      </c>
      <c r="AD69" s="371">
        <f>(IF('Parameters &amp; DSA'!$H$1=1,(('Parameters &amp; DSA'!$B$79+'Parameters &amp; DSA'!$B$85+'Parameters &amp; DSA'!$B$89+'Parameters &amp; DSA'!$B$93)*(P69+Q69))/(1+cDC)^$A69,(('Parameters &amp; DSA'!$B$79+'Parameters &amp; DSA'!$B$85)*(P69+Q69))))*($AD$2/$AF$2)</f>
        <v>0</v>
      </c>
      <c r="AE69" s="371">
        <f>(IF('Parameters &amp; DSA'!$H$1=1,(('Parameters &amp; DSA'!$B$79+'Parameters &amp; DSA'!$B$85+'Parameters &amp; DSA'!$B$89+'Parameters &amp; DSA'!$B$93)*(S69+T69))/(1+cDC)^$A69,(('Parameters &amp; DSA'!$B$79+'Parameters &amp; DSA'!$B$85)*(S69+T69))))*($AD$2/$AF$2)</f>
        <v>0</v>
      </c>
      <c r="AF69" s="371">
        <f>(IF('Parameters &amp; DSA'!$H$1=1,(((W69-W68)*cM_Dialysis0)+(W69*cM_Dialysis1))/(1+'Parameters &amp; DSA'!$B$6)^$A69,(((W69-W68)*cM_Dialysis0)+(W69*cM_Dialysis1))))*($AD$2/$AG$2)</f>
        <v>0</v>
      </c>
      <c r="AG69" s="172">
        <f t="shared" ref="AG69:AG103" si="69">(SUM(AB69:AF69))</f>
        <v>0</v>
      </c>
      <c r="AI69" s="88">
        <f t="shared" si="50"/>
        <v>0</v>
      </c>
      <c r="AJ69" s="27">
        <f t="shared" ref="AJ69:AJ103" si="70">AI69*u3aCT</f>
        <v>0</v>
      </c>
      <c r="AK69" s="27">
        <f t="shared" si="51"/>
        <v>0</v>
      </c>
      <c r="AL69" s="27">
        <f t="shared" ref="AL69:AL103" si="71">AK69*u3bCT</f>
        <v>0</v>
      </c>
      <c r="AM69" s="27">
        <f t="shared" si="52"/>
        <v>0</v>
      </c>
      <c r="AN69" s="27">
        <f t="shared" ref="AN69:AN103" si="72">AM69*u4CT</f>
        <v>0</v>
      </c>
      <c r="AO69" s="27">
        <f t="shared" si="53"/>
        <v>0</v>
      </c>
      <c r="AP69" s="27">
        <f t="shared" ref="AP69:AP103" si="73">AO69*u5CT</f>
        <v>0</v>
      </c>
      <c r="AQ69" s="27">
        <f t="shared" si="54"/>
        <v>0</v>
      </c>
      <c r="AR69" s="27">
        <f t="shared" ref="AR69:AR103" si="74">AQ69*uDialysisCT</f>
        <v>0</v>
      </c>
      <c r="AS69" s="27">
        <f t="shared" ref="AS69:AS103" si="75">AI69+AK69+AM69+AO69+AQ69</f>
        <v>0</v>
      </c>
      <c r="AT69" s="89">
        <f t="shared" ref="AT69:AT103" si="76">SUM(AJ69+AL69+AN69+AP69+AR69)</f>
        <v>0</v>
      </c>
    </row>
    <row r="70" spans="1:46">
      <c r="A70" s="80">
        <v>66</v>
      </c>
      <c r="C70" s="10">
        <f t="shared" ref="C70:C103" si="77">$C$4+A70</f>
        <v>108</v>
      </c>
      <c r="D70" s="98" t="str" cm="1">
        <f t="array" ref="D70">_xlfn.IFS(C70&lt;=4,"1-4",C70&lt;=9,"5-9",C70&lt;=14,"10-14",C70&lt;=19,"15-19",C70&lt;=24,"20-24",C70&lt;=29,"25-29",C70&lt;=34,"30-34",C70&lt;=39,"35-39",C70&lt;=44,"40-44",C70&lt;=49,"45-49",C70&lt;=54,"50-54",C70&lt;=54,"50-54",C70&lt;=59,"55-59",C70&lt;=64,"60-64",C70&lt;=69,"65-69",C70&lt;=74,"70-74",C70&lt;=79,"75-79",C70&lt;=84,"80-84",C70&gt;84,"85+")</f>
        <v>85+</v>
      </c>
      <c r="E70" s="83">
        <f>IF(D70="85+",1,VLOOKUP(D70,'Life table 2014'!$AF$3:$AR$21,7,FALSE))</f>
        <v>1</v>
      </c>
      <c r="F70" s="72"/>
      <c r="G70" s="316">
        <f t="shared" si="55"/>
        <v>24090</v>
      </c>
      <c r="H70" s="27">
        <f>'Parameters &amp; DSA'!$B$119*G70^'Parameters &amp; DSA'!$B$120</f>
        <v>3.0851867740299661</v>
      </c>
      <c r="I70" s="314">
        <f t="shared" si="31"/>
        <v>4.8976221453150615E-2</v>
      </c>
      <c r="J70" s="72"/>
      <c r="K70" s="140">
        <f t="shared" si="56"/>
        <v>0</v>
      </c>
      <c r="L70" s="141">
        <f t="shared" si="57"/>
        <v>0</v>
      </c>
      <c r="M70" s="141">
        <f t="shared" si="58"/>
        <v>0</v>
      </c>
      <c r="N70" s="27">
        <f t="shared" si="59"/>
        <v>0</v>
      </c>
      <c r="O70" s="27">
        <f t="shared" si="60"/>
        <v>0</v>
      </c>
      <c r="P70" s="27">
        <f t="shared" si="61"/>
        <v>0</v>
      </c>
      <c r="Q70" s="27">
        <f t="shared" si="62"/>
        <v>0</v>
      </c>
      <c r="R70" s="27">
        <f t="shared" si="63"/>
        <v>0</v>
      </c>
      <c r="S70" s="27">
        <f t="shared" si="64"/>
        <v>0</v>
      </c>
      <c r="T70" s="27">
        <f t="shared" si="65"/>
        <v>0</v>
      </c>
      <c r="U70" s="27">
        <f t="shared" si="66"/>
        <v>0</v>
      </c>
      <c r="V70" s="27">
        <f t="shared" si="67"/>
        <v>0</v>
      </c>
      <c r="W70" s="27">
        <f t="shared" ref="W70:W102" si="78">(SUM(V69:W69)*(1-E70))*(1-I70)</f>
        <v>0</v>
      </c>
      <c r="X70" s="27">
        <f t="shared" ref="X70:X102" si="79">(SUM(V69:W69)*(1-E70))*I70</f>
        <v>0</v>
      </c>
      <c r="Y70" s="142">
        <f t="shared" si="68"/>
        <v>1.0000000000000011</v>
      </c>
      <c r="Z70" s="89">
        <f t="shared" ref="Z70:Z102" si="80">SUM(K70:Y70)</f>
        <v>1.0000000000000011</v>
      </c>
      <c r="AB70" s="171">
        <f>(IF('Parameters &amp; DSA'!$H$1=1,(('Parameters &amp; DSA'!$B$79+'Parameters &amp; DSA'!$B$85+'Parameters &amp; DSA'!$B$89+'Parameters &amp; DSA'!$B$93)*K70)/(1+cDC)^$A70,(('Parameters &amp; DSA'!$B$79+'Parameters &amp; DSA'!$B$85)*K70)))*($AD$2/$AF$2)</f>
        <v>0</v>
      </c>
      <c r="AC70" s="371">
        <f>(IF('Parameters &amp; DSA'!$H$1=1,(('Parameters &amp; DSA'!$B$79+'Parameters &amp; DSA'!$B$85+'Parameters &amp; DSA'!$B$89+'Parameters &amp; DSA'!$B$93)*($M70+$N70))/(1+cDC)^$A70,(('Parameters &amp; DSA'!$B$79+'Parameters &amp; DSA'!$B$85)*($M70+$N70))))*($AD$2/$AF$2)</f>
        <v>0</v>
      </c>
      <c r="AD70" s="371">
        <f>(IF('Parameters &amp; DSA'!$H$1=1,(('Parameters &amp; DSA'!$B$79+'Parameters &amp; DSA'!$B$85+'Parameters &amp; DSA'!$B$89+'Parameters &amp; DSA'!$B$93)*(P70+Q70))/(1+cDC)^$A70,(('Parameters &amp; DSA'!$B$79+'Parameters &amp; DSA'!$B$85)*(P70+Q70))))*($AD$2/$AF$2)</f>
        <v>0</v>
      </c>
      <c r="AE70" s="371">
        <f>(IF('Parameters &amp; DSA'!$H$1=1,(('Parameters &amp; DSA'!$B$79+'Parameters &amp; DSA'!$B$85+'Parameters &amp; DSA'!$B$89+'Parameters &amp; DSA'!$B$93)*(S70+T70))/(1+cDC)^$A70,(('Parameters &amp; DSA'!$B$79+'Parameters &amp; DSA'!$B$85)*(S70+T70))))*($AD$2/$AF$2)</f>
        <v>0</v>
      </c>
      <c r="AF70" s="371">
        <f>(IF('Parameters &amp; DSA'!$H$1=1,(((W70-W69)*cM_Dialysis0)+(W70*cM_Dialysis1))/(1+'Parameters &amp; DSA'!$B$6)^$A70,(((W70-W69)*cM_Dialysis0)+(W70*cM_Dialysis1))))*($AD$2/$AG$2)</f>
        <v>0</v>
      </c>
      <c r="AG70" s="172">
        <f t="shared" si="69"/>
        <v>0</v>
      </c>
      <c r="AI70" s="88">
        <f t="shared" si="50"/>
        <v>0</v>
      </c>
      <c r="AJ70" s="27">
        <f t="shared" si="70"/>
        <v>0</v>
      </c>
      <c r="AK70" s="27">
        <f t="shared" si="51"/>
        <v>0</v>
      </c>
      <c r="AL70" s="27">
        <f t="shared" si="71"/>
        <v>0</v>
      </c>
      <c r="AM70" s="27">
        <f t="shared" si="52"/>
        <v>0</v>
      </c>
      <c r="AN70" s="27">
        <f t="shared" si="72"/>
        <v>0</v>
      </c>
      <c r="AO70" s="27">
        <f t="shared" si="53"/>
        <v>0</v>
      </c>
      <c r="AP70" s="27">
        <f t="shared" si="73"/>
        <v>0</v>
      </c>
      <c r="AQ70" s="27">
        <f t="shared" si="54"/>
        <v>0</v>
      </c>
      <c r="AR70" s="27">
        <f t="shared" si="74"/>
        <v>0</v>
      </c>
      <c r="AS70" s="27">
        <f t="shared" si="75"/>
        <v>0</v>
      </c>
      <c r="AT70" s="89">
        <f t="shared" si="76"/>
        <v>0</v>
      </c>
    </row>
    <row r="71" spans="1:46">
      <c r="A71" s="80">
        <v>67</v>
      </c>
      <c r="C71" s="10">
        <f t="shared" si="77"/>
        <v>109</v>
      </c>
      <c r="D71" s="98" t="str" cm="1">
        <f t="array" ref="D71">_xlfn.IFS(C71&lt;=4,"1-4",C71&lt;=9,"5-9",C71&lt;=14,"10-14",C71&lt;=19,"15-19",C71&lt;=24,"20-24",C71&lt;=29,"25-29",C71&lt;=34,"30-34",C71&lt;=39,"35-39",C71&lt;=44,"40-44",C71&lt;=49,"45-49",C71&lt;=54,"50-54",C71&lt;=54,"50-54",C71&lt;=59,"55-59",C71&lt;=64,"60-64",C71&lt;=69,"65-69",C71&lt;=74,"70-74",C71&lt;=79,"75-79",C71&lt;=84,"80-84",C71&gt;84,"85+")</f>
        <v>85+</v>
      </c>
      <c r="E71" s="83">
        <f>IF(D71="85+",1,VLOOKUP(D71,'Life table 2014'!$AF$3:$AR$21,7,FALSE))</f>
        <v>1</v>
      </c>
      <c r="F71" s="72"/>
      <c r="G71" s="316">
        <f t="shared" si="55"/>
        <v>24455</v>
      </c>
      <c r="H71" s="27">
        <f>'Parameters &amp; DSA'!$B$119*G71^'Parameters &amp; DSA'!$B$120</f>
        <v>3.1354599827363576</v>
      </c>
      <c r="I71" s="314">
        <f t="shared" si="31"/>
        <v>4.9030424161760622E-2</v>
      </c>
      <c r="J71" s="72"/>
      <c r="K71" s="140">
        <f t="shared" si="56"/>
        <v>0</v>
      </c>
      <c r="L71" s="141">
        <f t="shared" si="57"/>
        <v>0</v>
      </c>
      <c r="M71" s="141">
        <f t="shared" si="58"/>
        <v>0</v>
      </c>
      <c r="N71" s="27">
        <f t="shared" si="59"/>
        <v>0</v>
      </c>
      <c r="O71" s="27">
        <f t="shared" si="60"/>
        <v>0</v>
      </c>
      <c r="P71" s="27">
        <f t="shared" si="61"/>
        <v>0</v>
      </c>
      <c r="Q71" s="27">
        <f t="shared" si="62"/>
        <v>0</v>
      </c>
      <c r="R71" s="27">
        <f t="shared" si="63"/>
        <v>0</v>
      </c>
      <c r="S71" s="27">
        <f t="shared" si="64"/>
        <v>0</v>
      </c>
      <c r="T71" s="27">
        <f t="shared" si="65"/>
        <v>0</v>
      </c>
      <c r="U71" s="27">
        <f t="shared" si="66"/>
        <v>0</v>
      </c>
      <c r="V71" s="27">
        <f t="shared" si="67"/>
        <v>0</v>
      </c>
      <c r="W71" s="27">
        <f t="shared" si="78"/>
        <v>0</v>
      </c>
      <c r="X71" s="27">
        <f t="shared" si="79"/>
        <v>0</v>
      </c>
      <c r="Y71" s="142">
        <f t="shared" si="68"/>
        <v>1.0000000000000011</v>
      </c>
      <c r="Z71" s="89">
        <f t="shared" si="80"/>
        <v>1.0000000000000011</v>
      </c>
      <c r="AB71" s="171">
        <f>(IF('Parameters &amp; DSA'!$H$1=1,(('Parameters &amp; DSA'!$B$79+'Parameters &amp; DSA'!$B$85+'Parameters &amp; DSA'!$B$89+'Parameters &amp; DSA'!$B$93)*K71)/(1+cDC)^$A71,(('Parameters &amp; DSA'!$B$79+'Parameters &amp; DSA'!$B$85)*K71)))*($AD$2/$AF$2)</f>
        <v>0</v>
      </c>
      <c r="AC71" s="371">
        <f>(IF('Parameters &amp; DSA'!$H$1=1,(('Parameters &amp; DSA'!$B$79+'Parameters &amp; DSA'!$B$85+'Parameters &amp; DSA'!$B$89+'Parameters &amp; DSA'!$B$93)*($M71+$N71))/(1+cDC)^$A71,(('Parameters &amp; DSA'!$B$79+'Parameters &amp; DSA'!$B$85)*($M71+$N71))))*($AD$2/$AF$2)</f>
        <v>0</v>
      </c>
      <c r="AD71" s="371">
        <f>(IF('Parameters &amp; DSA'!$H$1=1,(('Parameters &amp; DSA'!$B$79+'Parameters &amp; DSA'!$B$85+'Parameters &amp; DSA'!$B$89+'Parameters &amp; DSA'!$B$93)*(P71+Q71))/(1+cDC)^$A71,(('Parameters &amp; DSA'!$B$79+'Parameters &amp; DSA'!$B$85)*(P71+Q71))))*($AD$2/$AF$2)</f>
        <v>0</v>
      </c>
      <c r="AE71" s="371">
        <f>(IF('Parameters &amp; DSA'!$H$1=1,(('Parameters &amp; DSA'!$B$79+'Parameters &amp; DSA'!$B$85+'Parameters &amp; DSA'!$B$89+'Parameters &amp; DSA'!$B$93)*(S71+T71))/(1+cDC)^$A71,(('Parameters &amp; DSA'!$B$79+'Parameters &amp; DSA'!$B$85)*(S71+T71))))*($AD$2/$AF$2)</f>
        <v>0</v>
      </c>
      <c r="AF71" s="371">
        <f>(IF('Parameters &amp; DSA'!$H$1=1,(((W71-W70)*cM_Dialysis0)+(W71*cM_Dialysis1))/(1+'Parameters &amp; DSA'!$B$6)^$A71,(((W71-W70)*cM_Dialysis0)+(W71*cM_Dialysis1))))*($AD$2/$AG$2)</f>
        <v>0</v>
      </c>
      <c r="AG71" s="172">
        <f t="shared" si="69"/>
        <v>0</v>
      </c>
      <c r="AI71" s="88">
        <f t="shared" si="50"/>
        <v>0</v>
      </c>
      <c r="AJ71" s="27">
        <f t="shared" si="70"/>
        <v>0</v>
      </c>
      <c r="AK71" s="27">
        <f t="shared" si="51"/>
        <v>0</v>
      </c>
      <c r="AL71" s="27">
        <f t="shared" si="71"/>
        <v>0</v>
      </c>
      <c r="AM71" s="27">
        <f t="shared" si="52"/>
        <v>0</v>
      </c>
      <c r="AN71" s="27">
        <f t="shared" si="72"/>
        <v>0</v>
      </c>
      <c r="AO71" s="27">
        <f t="shared" si="53"/>
        <v>0</v>
      </c>
      <c r="AP71" s="27">
        <f t="shared" si="73"/>
        <v>0</v>
      </c>
      <c r="AQ71" s="27">
        <f t="shared" si="54"/>
        <v>0</v>
      </c>
      <c r="AR71" s="27">
        <f t="shared" si="74"/>
        <v>0</v>
      </c>
      <c r="AS71" s="27">
        <f t="shared" si="75"/>
        <v>0</v>
      </c>
      <c r="AT71" s="89">
        <f t="shared" si="76"/>
        <v>0</v>
      </c>
    </row>
    <row r="72" spans="1:46">
      <c r="A72" s="80">
        <v>68</v>
      </c>
      <c r="C72" s="10">
        <f t="shared" si="77"/>
        <v>110</v>
      </c>
      <c r="D72" s="98" t="str" cm="1">
        <f t="array" ref="D72">_xlfn.IFS(C72&lt;=4,"1-4",C72&lt;=9,"5-9",C72&lt;=14,"10-14",C72&lt;=19,"15-19",C72&lt;=24,"20-24",C72&lt;=29,"25-29",C72&lt;=34,"30-34",C72&lt;=39,"35-39",C72&lt;=44,"40-44",C72&lt;=49,"45-49",C72&lt;=54,"50-54",C72&lt;=54,"50-54",C72&lt;=59,"55-59",C72&lt;=64,"60-64",C72&lt;=69,"65-69",C72&lt;=74,"70-74",C72&lt;=79,"75-79",C72&lt;=84,"80-84",C72&gt;84,"85+")</f>
        <v>85+</v>
      </c>
      <c r="E72" s="83">
        <f>IF(D72="85+",1,VLOOKUP(D72,'Life table 2014'!$AF$3:$AR$21,7,FALSE))</f>
        <v>1</v>
      </c>
      <c r="F72" s="72"/>
      <c r="G72" s="316">
        <f t="shared" si="55"/>
        <v>24820</v>
      </c>
      <c r="H72" s="27">
        <f>'Parameters &amp; DSA'!$B$119*G72^'Parameters &amp; DSA'!$B$120</f>
        <v>3.185789399635147</v>
      </c>
      <c r="I72" s="314">
        <f t="shared" ref="I72:I103" si="81">1-EXP(H71-H72)</f>
        <v>4.9083874940443861E-2</v>
      </c>
      <c r="J72" s="72"/>
      <c r="K72" s="140">
        <f t="shared" si="56"/>
        <v>0</v>
      </c>
      <c r="L72" s="141">
        <f t="shared" si="57"/>
        <v>0</v>
      </c>
      <c r="M72" s="141">
        <f t="shared" si="58"/>
        <v>0</v>
      </c>
      <c r="N72" s="27">
        <f t="shared" si="59"/>
        <v>0</v>
      </c>
      <c r="O72" s="27">
        <f t="shared" si="60"/>
        <v>0</v>
      </c>
      <c r="P72" s="27">
        <f t="shared" si="61"/>
        <v>0</v>
      </c>
      <c r="Q72" s="27">
        <f t="shared" si="62"/>
        <v>0</v>
      </c>
      <c r="R72" s="27">
        <f t="shared" si="63"/>
        <v>0</v>
      </c>
      <c r="S72" s="27">
        <f t="shared" si="64"/>
        <v>0</v>
      </c>
      <c r="T72" s="27">
        <f t="shared" si="65"/>
        <v>0</v>
      </c>
      <c r="U72" s="27">
        <f t="shared" si="66"/>
        <v>0</v>
      </c>
      <c r="V72" s="27">
        <f t="shared" si="67"/>
        <v>0</v>
      </c>
      <c r="W72" s="27">
        <f t="shared" si="78"/>
        <v>0</v>
      </c>
      <c r="X72" s="27">
        <f t="shared" si="79"/>
        <v>0</v>
      </c>
      <c r="Y72" s="142">
        <f t="shared" si="68"/>
        <v>1.0000000000000011</v>
      </c>
      <c r="Z72" s="89">
        <f t="shared" si="80"/>
        <v>1.0000000000000011</v>
      </c>
      <c r="AB72" s="171">
        <f>(IF('Parameters &amp; DSA'!$H$1=1,(('Parameters &amp; DSA'!$B$79+'Parameters &amp; DSA'!$B$85+'Parameters &amp; DSA'!$B$89+'Parameters &amp; DSA'!$B$93)*K72)/(1+cDC)^$A72,(('Parameters &amp; DSA'!$B$79+'Parameters &amp; DSA'!$B$85)*K72)))*($AD$2/$AF$2)</f>
        <v>0</v>
      </c>
      <c r="AC72" s="371">
        <f>(IF('Parameters &amp; DSA'!$H$1=1,(('Parameters &amp; DSA'!$B$79+'Parameters &amp; DSA'!$B$85+'Parameters &amp; DSA'!$B$89+'Parameters &amp; DSA'!$B$93)*($M72+$N72))/(1+cDC)^$A72,(('Parameters &amp; DSA'!$B$79+'Parameters &amp; DSA'!$B$85)*($M72+$N72))))*($AD$2/$AF$2)</f>
        <v>0</v>
      </c>
      <c r="AD72" s="371">
        <f>(IF('Parameters &amp; DSA'!$H$1=1,(('Parameters &amp; DSA'!$B$79+'Parameters &amp; DSA'!$B$85+'Parameters &amp; DSA'!$B$89+'Parameters &amp; DSA'!$B$93)*(P72+Q72))/(1+cDC)^$A72,(('Parameters &amp; DSA'!$B$79+'Parameters &amp; DSA'!$B$85)*(P72+Q72))))*($AD$2/$AF$2)</f>
        <v>0</v>
      </c>
      <c r="AE72" s="371">
        <f>(IF('Parameters &amp; DSA'!$H$1=1,(('Parameters &amp; DSA'!$B$79+'Parameters &amp; DSA'!$B$85+'Parameters &amp; DSA'!$B$89+'Parameters &amp; DSA'!$B$93)*(S72+T72))/(1+cDC)^$A72,(('Parameters &amp; DSA'!$B$79+'Parameters &amp; DSA'!$B$85)*(S72+T72))))*($AD$2/$AF$2)</f>
        <v>0</v>
      </c>
      <c r="AF72" s="371">
        <f>(IF('Parameters &amp; DSA'!$H$1=1,(((W72-W71)*cM_Dialysis0)+(W72*cM_Dialysis1))/(1+'Parameters &amp; DSA'!$B$6)^$A72,(((W72-W71)*cM_Dialysis0)+(W72*cM_Dialysis1))))*($AD$2/$AG$2)</f>
        <v>0</v>
      </c>
      <c r="AG72" s="172">
        <f t="shared" si="69"/>
        <v>0</v>
      </c>
      <c r="AI72" s="88">
        <f t="shared" si="50"/>
        <v>0</v>
      </c>
      <c r="AJ72" s="27">
        <f t="shared" si="70"/>
        <v>0</v>
      </c>
      <c r="AK72" s="27">
        <f t="shared" si="51"/>
        <v>0</v>
      </c>
      <c r="AL72" s="27">
        <f t="shared" si="71"/>
        <v>0</v>
      </c>
      <c r="AM72" s="27">
        <f t="shared" si="52"/>
        <v>0</v>
      </c>
      <c r="AN72" s="27">
        <f t="shared" si="72"/>
        <v>0</v>
      </c>
      <c r="AO72" s="27">
        <f t="shared" si="53"/>
        <v>0</v>
      </c>
      <c r="AP72" s="27">
        <f t="shared" si="73"/>
        <v>0</v>
      </c>
      <c r="AQ72" s="27">
        <f t="shared" si="54"/>
        <v>0</v>
      </c>
      <c r="AR72" s="27">
        <f t="shared" si="74"/>
        <v>0</v>
      </c>
      <c r="AS72" s="27">
        <f t="shared" si="75"/>
        <v>0</v>
      </c>
      <c r="AT72" s="89">
        <f t="shared" si="76"/>
        <v>0</v>
      </c>
    </row>
    <row r="73" spans="1:46">
      <c r="A73" s="80">
        <v>69</v>
      </c>
      <c r="C73" s="10">
        <f t="shared" si="77"/>
        <v>111</v>
      </c>
      <c r="D73" s="98" t="str" cm="1">
        <f t="array" ref="D73">_xlfn.IFS(C73&lt;=4,"1-4",C73&lt;=9,"5-9",C73&lt;=14,"10-14",C73&lt;=19,"15-19",C73&lt;=24,"20-24",C73&lt;=29,"25-29",C73&lt;=34,"30-34",C73&lt;=39,"35-39",C73&lt;=44,"40-44",C73&lt;=49,"45-49",C73&lt;=54,"50-54",C73&lt;=54,"50-54",C73&lt;=59,"55-59",C73&lt;=64,"60-64",C73&lt;=69,"65-69",C73&lt;=74,"70-74",C73&lt;=79,"75-79",C73&lt;=84,"80-84",C73&gt;84,"85+")</f>
        <v>85+</v>
      </c>
      <c r="E73" s="83">
        <f>IF(D73="85+",1,VLOOKUP(D73,'Life table 2014'!$AF$3:$AR$21,7,FALSE))</f>
        <v>1</v>
      </c>
      <c r="F73" s="72"/>
      <c r="G73" s="316">
        <f t="shared" si="55"/>
        <v>25185</v>
      </c>
      <c r="H73" s="27">
        <f>'Parameters &amp; DSA'!$B$119*G73^'Parameters &amp; DSA'!$B$120</f>
        <v>3.2361742595413934</v>
      </c>
      <c r="I73" s="314">
        <f t="shared" si="81"/>
        <v>4.913659512876023E-2</v>
      </c>
      <c r="J73" s="72"/>
      <c r="K73" s="140">
        <f t="shared" si="56"/>
        <v>0</v>
      </c>
      <c r="L73" s="141">
        <f t="shared" si="57"/>
        <v>0</v>
      </c>
      <c r="M73" s="141">
        <f t="shared" si="58"/>
        <v>0</v>
      </c>
      <c r="N73" s="27">
        <f t="shared" si="59"/>
        <v>0</v>
      </c>
      <c r="O73" s="27">
        <f t="shared" si="60"/>
        <v>0</v>
      </c>
      <c r="P73" s="27">
        <f t="shared" si="61"/>
        <v>0</v>
      </c>
      <c r="Q73" s="27">
        <f t="shared" si="62"/>
        <v>0</v>
      </c>
      <c r="R73" s="27">
        <f t="shared" si="63"/>
        <v>0</v>
      </c>
      <c r="S73" s="27">
        <f t="shared" si="64"/>
        <v>0</v>
      </c>
      <c r="T73" s="27">
        <f t="shared" si="65"/>
        <v>0</v>
      </c>
      <c r="U73" s="27">
        <f t="shared" si="66"/>
        <v>0</v>
      </c>
      <c r="V73" s="27">
        <f t="shared" si="67"/>
        <v>0</v>
      </c>
      <c r="W73" s="27">
        <f t="shared" si="78"/>
        <v>0</v>
      </c>
      <c r="X73" s="27">
        <f t="shared" si="79"/>
        <v>0</v>
      </c>
      <c r="Y73" s="142">
        <f t="shared" si="68"/>
        <v>1.0000000000000011</v>
      </c>
      <c r="Z73" s="89">
        <f t="shared" si="80"/>
        <v>1.0000000000000011</v>
      </c>
      <c r="AB73" s="171">
        <f>(IF('Parameters &amp; DSA'!$H$1=1,(('Parameters &amp; DSA'!$B$79+'Parameters &amp; DSA'!$B$85+'Parameters &amp; DSA'!$B$89+'Parameters &amp; DSA'!$B$93)*K73)/(1+cDC)^$A73,(('Parameters &amp; DSA'!$B$79+'Parameters &amp; DSA'!$B$85)*K73)))*($AD$2/$AF$2)</f>
        <v>0</v>
      </c>
      <c r="AC73" s="371">
        <f>(IF('Parameters &amp; DSA'!$H$1=1,(('Parameters &amp; DSA'!$B$79+'Parameters &amp; DSA'!$B$85+'Parameters &amp; DSA'!$B$89+'Parameters &amp; DSA'!$B$93)*($M73+$N73))/(1+cDC)^$A73,(('Parameters &amp; DSA'!$B$79+'Parameters &amp; DSA'!$B$85)*($M73+$N73))))*($AD$2/$AF$2)</f>
        <v>0</v>
      </c>
      <c r="AD73" s="371">
        <f>(IF('Parameters &amp; DSA'!$H$1=1,(('Parameters &amp; DSA'!$B$79+'Parameters &amp; DSA'!$B$85+'Parameters &amp; DSA'!$B$89+'Parameters &amp; DSA'!$B$93)*(P73+Q73))/(1+cDC)^$A73,(('Parameters &amp; DSA'!$B$79+'Parameters &amp; DSA'!$B$85)*(P73+Q73))))*($AD$2/$AF$2)</f>
        <v>0</v>
      </c>
      <c r="AE73" s="371">
        <f>(IF('Parameters &amp; DSA'!$H$1=1,(('Parameters &amp; DSA'!$B$79+'Parameters &amp; DSA'!$B$85+'Parameters &amp; DSA'!$B$89+'Parameters &amp; DSA'!$B$93)*(S73+T73))/(1+cDC)^$A73,(('Parameters &amp; DSA'!$B$79+'Parameters &amp; DSA'!$B$85)*(S73+T73))))*($AD$2/$AF$2)</f>
        <v>0</v>
      </c>
      <c r="AF73" s="371">
        <f>(IF('Parameters &amp; DSA'!$H$1=1,(((W73-W72)*cM_Dialysis0)+(W73*cM_Dialysis1))/(1+'Parameters &amp; DSA'!$B$6)^$A73,(((W73-W72)*cM_Dialysis0)+(W73*cM_Dialysis1))))*($AD$2/$AG$2)</f>
        <v>0</v>
      </c>
      <c r="AG73" s="172">
        <f t="shared" si="69"/>
        <v>0</v>
      </c>
      <c r="AI73" s="88">
        <f t="shared" si="50"/>
        <v>0</v>
      </c>
      <c r="AJ73" s="27">
        <f t="shared" si="70"/>
        <v>0</v>
      </c>
      <c r="AK73" s="27">
        <f t="shared" si="51"/>
        <v>0</v>
      </c>
      <c r="AL73" s="27">
        <f t="shared" si="71"/>
        <v>0</v>
      </c>
      <c r="AM73" s="27">
        <f t="shared" si="52"/>
        <v>0</v>
      </c>
      <c r="AN73" s="27">
        <f t="shared" si="72"/>
        <v>0</v>
      </c>
      <c r="AO73" s="27">
        <f t="shared" si="53"/>
        <v>0</v>
      </c>
      <c r="AP73" s="27">
        <f t="shared" si="73"/>
        <v>0</v>
      </c>
      <c r="AQ73" s="27">
        <f t="shared" si="54"/>
        <v>0</v>
      </c>
      <c r="AR73" s="27">
        <f t="shared" si="74"/>
        <v>0</v>
      </c>
      <c r="AS73" s="27">
        <f t="shared" si="75"/>
        <v>0</v>
      </c>
      <c r="AT73" s="89">
        <f t="shared" si="76"/>
        <v>0</v>
      </c>
    </row>
    <row r="74" spans="1:46">
      <c r="A74" s="80">
        <v>70</v>
      </c>
      <c r="C74" s="10">
        <f t="shared" si="77"/>
        <v>112</v>
      </c>
      <c r="D74" s="98" t="str" cm="1">
        <f t="array" ref="D74">_xlfn.IFS(C74&lt;=4,"1-4",C74&lt;=9,"5-9",C74&lt;=14,"10-14",C74&lt;=19,"15-19",C74&lt;=24,"20-24",C74&lt;=29,"25-29",C74&lt;=34,"30-34",C74&lt;=39,"35-39",C74&lt;=44,"40-44",C74&lt;=49,"45-49",C74&lt;=54,"50-54",C74&lt;=54,"50-54",C74&lt;=59,"55-59",C74&lt;=64,"60-64",C74&lt;=69,"65-69",C74&lt;=74,"70-74",C74&lt;=79,"75-79",C74&lt;=84,"80-84",C74&gt;84,"85+")</f>
        <v>85+</v>
      </c>
      <c r="E74" s="83">
        <f>IF(D74="85+",1,VLOOKUP(D74,'Life table 2014'!$AF$3:$AR$21,7,FALSE))</f>
        <v>1</v>
      </c>
      <c r="F74" s="72"/>
      <c r="G74" s="316">
        <f t="shared" si="55"/>
        <v>25550</v>
      </c>
      <c r="H74" s="27">
        <f>'Parameters &amp; DSA'!$B$119*G74^'Parameters &amp; DSA'!$B$120</f>
        <v>3.2866138186331066</v>
      </c>
      <c r="I74" s="314">
        <f t="shared" si="81"/>
        <v>4.9188605160030763E-2</v>
      </c>
      <c r="J74" s="72"/>
      <c r="K74" s="140">
        <f t="shared" si="56"/>
        <v>0</v>
      </c>
      <c r="L74" s="141">
        <f t="shared" si="57"/>
        <v>0</v>
      </c>
      <c r="M74" s="141">
        <f t="shared" si="58"/>
        <v>0</v>
      </c>
      <c r="N74" s="27">
        <f t="shared" si="59"/>
        <v>0</v>
      </c>
      <c r="O74" s="27">
        <f t="shared" si="60"/>
        <v>0</v>
      </c>
      <c r="P74" s="27">
        <f t="shared" si="61"/>
        <v>0</v>
      </c>
      <c r="Q74" s="27">
        <f t="shared" si="62"/>
        <v>0</v>
      </c>
      <c r="R74" s="27">
        <f t="shared" si="63"/>
        <v>0</v>
      </c>
      <c r="S74" s="27">
        <f t="shared" si="64"/>
        <v>0</v>
      </c>
      <c r="T74" s="27">
        <f t="shared" si="65"/>
        <v>0</v>
      </c>
      <c r="U74" s="27">
        <f t="shared" si="66"/>
        <v>0</v>
      </c>
      <c r="V74" s="27">
        <f t="shared" si="67"/>
        <v>0</v>
      </c>
      <c r="W74" s="27">
        <f t="shared" si="78"/>
        <v>0</v>
      </c>
      <c r="X74" s="27">
        <f t="shared" si="79"/>
        <v>0</v>
      </c>
      <c r="Y74" s="142">
        <f t="shared" si="68"/>
        <v>1.0000000000000011</v>
      </c>
      <c r="Z74" s="89">
        <f t="shared" si="80"/>
        <v>1.0000000000000011</v>
      </c>
      <c r="AB74" s="171">
        <f>(IF('Parameters &amp; DSA'!$H$1=1,(('Parameters &amp; DSA'!$B$79+'Parameters &amp; DSA'!$B$85+'Parameters &amp; DSA'!$B$89+'Parameters &amp; DSA'!$B$93)*K74)/(1+cDC)^$A74,(('Parameters &amp; DSA'!$B$79+'Parameters &amp; DSA'!$B$85)*K74)))*($AD$2/$AF$2)</f>
        <v>0</v>
      </c>
      <c r="AC74" s="371">
        <f>(IF('Parameters &amp; DSA'!$H$1=1,(('Parameters &amp; DSA'!$B$79+'Parameters &amp; DSA'!$B$85+'Parameters &amp; DSA'!$B$89+'Parameters &amp; DSA'!$B$93)*($M74+$N74))/(1+cDC)^$A74,(('Parameters &amp; DSA'!$B$79+'Parameters &amp; DSA'!$B$85)*($M74+$N74))))*($AD$2/$AF$2)</f>
        <v>0</v>
      </c>
      <c r="AD74" s="371">
        <f>(IF('Parameters &amp; DSA'!$H$1=1,(('Parameters &amp; DSA'!$B$79+'Parameters &amp; DSA'!$B$85+'Parameters &amp; DSA'!$B$89+'Parameters &amp; DSA'!$B$93)*(P74+Q74))/(1+cDC)^$A74,(('Parameters &amp; DSA'!$B$79+'Parameters &amp; DSA'!$B$85)*(P74+Q74))))*($AD$2/$AF$2)</f>
        <v>0</v>
      </c>
      <c r="AE74" s="371">
        <f>(IF('Parameters &amp; DSA'!$H$1=1,(('Parameters &amp; DSA'!$B$79+'Parameters &amp; DSA'!$B$85+'Parameters &amp; DSA'!$B$89+'Parameters &amp; DSA'!$B$93)*(S74+T74))/(1+cDC)^$A74,(('Parameters &amp; DSA'!$B$79+'Parameters &amp; DSA'!$B$85)*(S74+T74))))*($AD$2/$AF$2)</f>
        <v>0</v>
      </c>
      <c r="AF74" s="371">
        <f>(IF('Parameters &amp; DSA'!$H$1=1,(((W74-W73)*cM_Dialysis0)+(W74*cM_Dialysis1))/(1+'Parameters &amp; DSA'!$B$6)^$A74,(((W74-W73)*cM_Dialysis0)+(W74*cM_Dialysis1))))*($AD$2/$AG$2)</f>
        <v>0</v>
      </c>
      <c r="AG74" s="172">
        <f t="shared" si="69"/>
        <v>0</v>
      </c>
      <c r="AI74" s="88">
        <f t="shared" si="50"/>
        <v>0</v>
      </c>
      <c r="AJ74" s="27">
        <f t="shared" si="70"/>
        <v>0</v>
      </c>
      <c r="AK74" s="27">
        <f t="shared" si="51"/>
        <v>0</v>
      </c>
      <c r="AL74" s="27">
        <f t="shared" si="71"/>
        <v>0</v>
      </c>
      <c r="AM74" s="27">
        <f t="shared" si="52"/>
        <v>0</v>
      </c>
      <c r="AN74" s="27">
        <f t="shared" si="72"/>
        <v>0</v>
      </c>
      <c r="AO74" s="27">
        <f t="shared" si="53"/>
        <v>0</v>
      </c>
      <c r="AP74" s="27">
        <f t="shared" si="73"/>
        <v>0</v>
      </c>
      <c r="AQ74" s="27">
        <f t="shared" si="54"/>
        <v>0</v>
      </c>
      <c r="AR74" s="27">
        <f t="shared" si="74"/>
        <v>0</v>
      </c>
      <c r="AS74" s="27">
        <f t="shared" si="75"/>
        <v>0</v>
      </c>
      <c r="AT74" s="89">
        <f t="shared" si="76"/>
        <v>0</v>
      </c>
    </row>
    <row r="75" spans="1:46">
      <c r="A75" s="80">
        <v>71</v>
      </c>
      <c r="C75" s="10">
        <f t="shared" si="77"/>
        <v>113</v>
      </c>
      <c r="D75" s="98" t="str" cm="1">
        <f t="array" ref="D75">_xlfn.IFS(C75&lt;=4,"1-4",C75&lt;=9,"5-9",C75&lt;=14,"10-14",C75&lt;=19,"15-19",C75&lt;=24,"20-24",C75&lt;=29,"25-29",C75&lt;=34,"30-34",C75&lt;=39,"35-39",C75&lt;=44,"40-44",C75&lt;=49,"45-49",C75&lt;=54,"50-54",C75&lt;=54,"50-54",C75&lt;=59,"55-59",C75&lt;=64,"60-64",C75&lt;=69,"65-69",C75&lt;=74,"70-74",C75&lt;=79,"75-79",C75&lt;=84,"80-84",C75&gt;84,"85+")</f>
        <v>85+</v>
      </c>
      <c r="E75" s="83">
        <f>IF(D75="85+",1,VLOOKUP(D75,'Life table 2014'!$AF$3:$AR$21,7,FALSE))</f>
        <v>1</v>
      </c>
      <c r="F75" s="72"/>
      <c r="G75" s="316">
        <f t="shared" si="55"/>
        <v>25915</v>
      </c>
      <c r="H75" s="27">
        <f>'Parameters &amp; DSA'!$B$119*G75^'Parameters &amp; DSA'!$B$120</f>
        <v>3.3371073535579363</v>
      </c>
      <c r="I75" s="314">
        <f t="shared" si="81"/>
        <v>4.9239924612186292E-2</v>
      </c>
      <c r="J75" s="72"/>
      <c r="K75" s="140">
        <f t="shared" si="56"/>
        <v>0</v>
      </c>
      <c r="L75" s="141">
        <f t="shared" si="57"/>
        <v>0</v>
      </c>
      <c r="M75" s="141">
        <f t="shared" si="58"/>
        <v>0</v>
      </c>
      <c r="N75" s="27">
        <f t="shared" si="59"/>
        <v>0</v>
      </c>
      <c r="O75" s="27">
        <f t="shared" si="60"/>
        <v>0</v>
      </c>
      <c r="P75" s="27">
        <f t="shared" si="61"/>
        <v>0</v>
      </c>
      <c r="Q75" s="27">
        <f t="shared" si="62"/>
        <v>0</v>
      </c>
      <c r="R75" s="27">
        <f t="shared" si="63"/>
        <v>0</v>
      </c>
      <c r="S75" s="27">
        <f t="shared" si="64"/>
        <v>0</v>
      </c>
      <c r="T75" s="27">
        <f t="shared" si="65"/>
        <v>0</v>
      </c>
      <c r="U75" s="27">
        <f t="shared" si="66"/>
        <v>0</v>
      </c>
      <c r="V75" s="27">
        <f t="shared" si="67"/>
        <v>0</v>
      </c>
      <c r="W75" s="27">
        <f t="shared" si="78"/>
        <v>0</v>
      </c>
      <c r="X75" s="27">
        <f t="shared" si="79"/>
        <v>0</v>
      </c>
      <c r="Y75" s="142">
        <f t="shared" si="68"/>
        <v>1.0000000000000011</v>
      </c>
      <c r="Z75" s="89">
        <f t="shared" si="80"/>
        <v>1.0000000000000011</v>
      </c>
      <c r="AB75" s="171">
        <f>(IF('Parameters &amp; DSA'!$H$1=1,(('Parameters &amp; DSA'!$B$79+'Parameters &amp; DSA'!$B$85+'Parameters &amp; DSA'!$B$89+'Parameters &amp; DSA'!$B$93)*K75)/(1+cDC)^$A75,(('Parameters &amp; DSA'!$B$79+'Parameters &amp; DSA'!$B$85)*K75)))*($AD$2/$AF$2)</f>
        <v>0</v>
      </c>
      <c r="AC75" s="371">
        <f>(IF('Parameters &amp; DSA'!$H$1=1,(('Parameters &amp; DSA'!$B$79+'Parameters &amp; DSA'!$B$85+'Parameters &amp; DSA'!$B$89+'Parameters &amp; DSA'!$B$93)*($M75+$N75))/(1+cDC)^$A75,(('Parameters &amp; DSA'!$B$79+'Parameters &amp; DSA'!$B$85)*($M75+$N75))))*($AD$2/$AF$2)</f>
        <v>0</v>
      </c>
      <c r="AD75" s="371">
        <f>(IF('Parameters &amp; DSA'!$H$1=1,(('Parameters &amp; DSA'!$B$79+'Parameters &amp; DSA'!$B$85+'Parameters &amp; DSA'!$B$89+'Parameters &amp; DSA'!$B$93)*(P75+Q75))/(1+cDC)^$A75,(('Parameters &amp; DSA'!$B$79+'Parameters &amp; DSA'!$B$85)*(P75+Q75))))*($AD$2/$AF$2)</f>
        <v>0</v>
      </c>
      <c r="AE75" s="371">
        <f>(IF('Parameters &amp; DSA'!$H$1=1,(('Parameters &amp; DSA'!$B$79+'Parameters &amp; DSA'!$B$85+'Parameters &amp; DSA'!$B$89+'Parameters &amp; DSA'!$B$93)*(S75+T75))/(1+cDC)^$A75,(('Parameters &amp; DSA'!$B$79+'Parameters &amp; DSA'!$B$85)*(S75+T75))))*($AD$2/$AF$2)</f>
        <v>0</v>
      </c>
      <c r="AF75" s="371">
        <f>(IF('Parameters &amp; DSA'!$H$1=1,(((W75-W74)*cM_Dialysis0)+(W75*cM_Dialysis1))/(1+'Parameters &amp; DSA'!$B$6)^$A75,(((W75-W74)*cM_Dialysis0)+(W75*cM_Dialysis1))))*($AD$2/$AG$2)</f>
        <v>0</v>
      </c>
      <c r="AG75" s="172">
        <f t="shared" si="69"/>
        <v>0</v>
      </c>
      <c r="AI75" s="88">
        <f t="shared" si="50"/>
        <v>0</v>
      </c>
      <c r="AJ75" s="27">
        <f t="shared" si="70"/>
        <v>0</v>
      </c>
      <c r="AK75" s="27">
        <f t="shared" si="51"/>
        <v>0</v>
      </c>
      <c r="AL75" s="27">
        <f t="shared" si="71"/>
        <v>0</v>
      </c>
      <c r="AM75" s="27">
        <f t="shared" si="52"/>
        <v>0</v>
      </c>
      <c r="AN75" s="27">
        <f t="shared" si="72"/>
        <v>0</v>
      </c>
      <c r="AO75" s="27">
        <f t="shared" si="53"/>
        <v>0</v>
      </c>
      <c r="AP75" s="27">
        <f t="shared" si="73"/>
        <v>0</v>
      </c>
      <c r="AQ75" s="27">
        <f t="shared" si="54"/>
        <v>0</v>
      </c>
      <c r="AR75" s="27">
        <f t="shared" si="74"/>
        <v>0</v>
      </c>
      <c r="AS75" s="27">
        <f t="shared" si="75"/>
        <v>0</v>
      </c>
      <c r="AT75" s="89">
        <f t="shared" si="76"/>
        <v>0</v>
      </c>
    </row>
    <row r="76" spans="1:46">
      <c r="A76" s="80">
        <v>72</v>
      </c>
      <c r="C76" s="10">
        <f t="shared" si="77"/>
        <v>114</v>
      </c>
      <c r="D76" s="98" t="str" cm="1">
        <f t="array" ref="D76">_xlfn.IFS(C76&lt;=4,"1-4",C76&lt;=9,"5-9",C76&lt;=14,"10-14",C76&lt;=19,"15-19",C76&lt;=24,"20-24",C76&lt;=29,"25-29",C76&lt;=34,"30-34",C76&lt;=39,"35-39",C76&lt;=44,"40-44",C76&lt;=49,"45-49",C76&lt;=54,"50-54",C76&lt;=54,"50-54",C76&lt;=59,"55-59",C76&lt;=64,"60-64",C76&lt;=69,"65-69",C76&lt;=74,"70-74",C76&lt;=79,"75-79",C76&lt;=84,"80-84",C76&gt;84,"85+")</f>
        <v>85+</v>
      </c>
      <c r="E76" s="83">
        <f>IF(D76="85+",1,VLOOKUP(D76,'Life table 2014'!$AF$3:$AR$21,7,FALSE))</f>
        <v>1</v>
      </c>
      <c r="F76" s="72"/>
      <c r="G76" s="316">
        <f t="shared" si="55"/>
        <v>26280</v>
      </c>
      <c r="H76" s="27">
        <f>'Parameters &amp; DSA'!$B$119*G76^'Parameters &amp; DSA'!$B$120</f>
        <v>3.3876541605892512</v>
      </c>
      <c r="I76" s="314">
        <f t="shared" si="81"/>
        <v>4.9290572255098919E-2</v>
      </c>
      <c r="J76" s="72"/>
      <c r="K76" s="140">
        <f t="shared" si="56"/>
        <v>0</v>
      </c>
      <c r="L76" s="141">
        <f t="shared" si="57"/>
        <v>0</v>
      </c>
      <c r="M76" s="141">
        <f t="shared" si="58"/>
        <v>0</v>
      </c>
      <c r="N76" s="27">
        <f t="shared" si="59"/>
        <v>0</v>
      </c>
      <c r="O76" s="27">
        <f t="shared" si="60"/>
        <v>0</v>
      </c>
      <c r="P76" s="27">
        <f t="shared" si="61"/>
        <v>0</v>
      </c>
      <c r="Q76" s="27">
        <f t="shared" si="62"/>
        <v>0</v>
      </c>
      <c r="R76" s="27">
        <f t="shared" si="63"/>
        <v>0</v>
      </c>
      <c r="S76" s="27">
        <f t="shared" si="64"/>
        <v>0</v>
      </c>
      <c r="T76" s="27">
        <f t="shared" si="65"/>
        <v>0</v>
      </c>
      <c r="U76" s="27">
        <f t="shared" si="66"/>
        <v>0</v>
      </c>
      <c r="V76" s="27">
        <f t="shared" si="67"/>
        <v>0</v>
      </c>
      <c r="W76" s="27">
        <f t="shared" si="78"/>
        <v>0</v>
      </c>
      <c r="X76" s="27">
        <f t="shared" si="79"/>
        <v>0</v>
      </c>
      <c r="Y76" s="142">
        <f t="shared" si="68"/>
        <v>1.0000000000000011</v>
      </c>
      <c r="Z76" s="89">
        <f t="shared" si="80"/>
        <v>1.0000000000000011</v>
      </c>
      <c r="AB76" s="171">
        <f>(IF('Parameters &amp; DSA'!$H$1=1,(('Parameters &amp; DSA'!$B$79+'Parameters &amp; DSA'!$B$85+'Parameters &amp; DSA'!$B$89+'Parameters &amp; DSA'!$B$93)*K76)/(1+cDC)^$A76,(('Parameters &amp; DSA'!$B$79+'Parameters &amp; DSA'!$B$85)*K76)))*($AD$2/$AF$2)</f>
        <v>0</v>
      </c>
      <c r="AC76" s="371">
        <f>(IF('Parameters &amp; DSA'!$H$1=1,(('Parameters &amp; DSA'!$B$79+'Parameters &amp; DSA'!$B$85+'Parameters &amp; DSA'!$B$89+'Parameters &amp; DSA'!$B$93)*($M76+$N76))/(1+cDC)^$A76,(('Parameters &amp; DSA'!$B$79+'Parameters &amp; DSA'!$B$85)*($M76+$N76))))*($AD$2/$AF$2)</f>
        <v>0</v>
      </c>
      <c r="AD76" s="371">
        <f>(IF('Parameters &amp; DSA'!$H$1=1,(('Parameters &amp; DSA'!$B$79+'Parameters &amp; DSA'!$B$85+'Parameters &amp; DSA'!$B$89+'Parameters &amp; DSA'!$B$93)*(P76+Q76))/(1+cDC)^$A76,(('Parameters &amp; DSA'!$B$79+'Parameters &amp; DSA'!$B$85)*(P76+Q76))))*($AD$2/$AF$2)</f>
        <v>0</v>
      </c>
      <c r="AE76" s="371">
        <f>(IF('Parameters &amp; DSA'!$H$1=1,(('Parameters &amp; DSA'!$B$79+'Parameters &amp; DSA'!$B$85+'Parameters &amp; DSA'!$B$89+'Parameters &amp; DSA'!$B$93)*(S76+T76))/(1+cDC)^$A76,(('Parameters &amp; DSA'!$B$79+'Parameters &amp; DSA'!$B$85)*(S76+T76))))*($AD$2/$AF$2)</f>
        <v>0</v>
      </c>
      <c r="AF76" s="371">
        <f>(IF('Parameters &amp; DSA'!$H$1=1,(((W76-W75)*cM_Dialysis0)+(W76*cM_Dialysis1))/(1+'Parameters &amp; DSA'!$B$6)^$A76,(((W76-W75)*cM_Dialysis0)+(W76*cM_Dialysis1))))*($AD$2/$AG$2)</f>
        <v>0</v>
      </c>
      <c r="AG76" s="172">
        <f t="shared" si="69"/>
        <v>0</v>
      </c>
      <c r="AI76" s="88">
        <f t="shared" si="50"/>
        <v>0</v>
      </c>
      <c r="AJ76" s="27">
        <f t="shared" si="70"/>
        <v>0</v>
      </c>
      <c r="AK76" s="27">
        <f t="shared" si="51"/>
        <v>0</v>
      </c>
      <c r="AL76" s="27">
        <f t="shared" si="71"/>
        <v>0</v>
      </c>
      <c r="AM76" s="27">
        <f t="shared" si="52"/>
        <v>0</v>
      </c>
      <c r="AN76" s="27">
        <f t="shared" si="72"/>
        <v>0</v>
      </c>
      <c r="AO76" s="27">
        <f t="shared" si="53"/>
        <v>0</v>
      </c>
      <c r="AP76" s="27">
        <f t="shared" si="73"/>
        <v>0</v>
      </c>
      <c r="AQ76" s="27">
        <f t="shared" si="54"/>
        <v>0</v>
      </c>
      <c r="AR76" s="27">
        <f t="shared" si="74"/>
        <v>0</v>
      </c>
      <c r="AS76" s="27">
        <f t="shared" si="75"/>
        <v>0</v>
      </c>
      <c r="AT76" s="89">
        <f t="shared" si="76"/>
        <v>0</v>
      </c>
    </row>
    <row r="77" spans="1:46">
      <c r="A77" s="80">
        <v>73</v>
      </c>
      <c r="C77" s="10">
        <f t="shared" si="77"/>
        <v>115</v>
      </c>
      <c r="D77" s="98" t="str" cm="1">
        <f t="array" ref="D77">_xlfn.IFS(C77&lt;=4,"1-4",C77&lt;=9,"5-9",C77&lt;=14,"10-14",C77&lt;=19,"15-19",C77&lt;=24,"20-24",C77&lt;=29,"25-29",C77&lt;=34,"30-34",C77&lt;=39,"35-39",C77&lt;=44,"40-44",C77&lt;=49,"45-49",C77&lt;=54,"50-54",C77&lt;=54,"50-54",C77&lt;=59,"55-59",C77&lt;=64,"60-64",C77&lt;=69,"65-69",C77&lt;=74,"70-74",C77&lt;=79,"75-79",C77&lt;=84,"80-84",C77&gt;84,"85+")</f>
        <v>85+</v>
      </c>
      <c r="E77" s="83">
        <f>IF(D77="85+",1,VLOOKUP(D77,'Life table 2014'!$AF$3:$AR$21,7,FALSE))</f>
        <v>1</v>
      </c>
      <c r="F77" s="72"/>
      <c r="G77" s="316">
        <f t="shared" si="55"/>
        <v>26645</v>
      </c>
      <c r="H77" s="27">
        <f>'Parameters &amp; DSA'!$B$119*G77^'Parameters &amp; DSA'!$B$120</f>
        <v>3.4382535548283166</v>
      </c>
      <c r="I77" s="314">
        <f t="shared" si="81"/>
        <v>4.9340566094756455E-2</v>
      </c>
      <c r="J77" s="72"/>
      <c r="K77" s="140">
        <f t="shared" si="56"/>
        <v>0</v>
      </c>
      <c r="L77" s="141">
        <f t="shared" si="57"/>
        <v>0</v>
      </c>
      <c r="M77" s="141">
        <f t="shared" si="58"/>
        <v>0</v>
      </c>
      <c r="N77" s="27">
        <f t="shared" si="59"/>
        <v>0</v>
      </c>
      <c r="O77" s="27">
        <f t="shared" si="60"/>
        <v>0</v>
      </c>
      <c r="P77" s="27">
        <f t="shared" si="61"/>
        <v>0</v>
      </c>
      <c r="Q77" s="27">
        <f t="shared" si="62"/>
        <v>0</v>
      </c>
      <c r="R77" s="27">
        <f t="shared" si="63"/>
        <v>0</v>
      </c>
      <c r="S77" s="27">
        <f t="shared" si="64"/>
        <v>0</v>
      </c>
      <c r="T77" s="27">
        <f t="shared" si="65"/>
        <v>0</v>
      </c>
      <c r="U77" s="27">
        <f t="shared" si="66"/>
        <v>0</v>
      </c>
      <c r="V77" s="27">
        <f t="shared" si="67"/>
        <v>0</v>
      </c>
      <c r="W77" s="27">
        <f t="shared" si="78"/>
        <v>0</v>
      </c>
      <c r="X77" s="27">
        <f t="shared" si="79"/>
        <v>0</v>
      </c>
      <c r="Y77" s="142">
        <f t="shared" si="68"/>
        <v>1.0000000000000011</v>
      </c>
      <c r="Z77" s="89">
        <f t="shared" si="80"/>
        <v>1.0000000000000011</v>
      </c>
      <c r="AB77" s="171">
        <f>(IF('Parameters &amp; DSA'!$H$1=1,(('Parameters &amp; DSA'!$B$79+'Parameters &amp; DSA'!$B$85+'Parameters &amp; DSA'!$B$89+'Parameters &amp; DSA'!$B$93)*K77)/(1+cDC)^$A77,(('Parameters &amp; DSA'!$B$79+'Parameters &amp; DSA'!$B$85)*K77)))*($AD$2/$AF$2)</f>
        <v>0</v>
      </c>
      <c r="AC77" s="371">
        <f>(IF('Parameters &amp; DSA'!$H$1=1,(('Parameters &amp; DSA'!$B$79+'Parameters &amp; DSA'!$B$85+'Parameters &amp; DSA'!$B$89+'Parameters &amp; DSA'!$B$93)*($M77+$N77))/(1+cDC)^$A77,(('Parameters &amp; DSA'!$B$79+'Parameters &amp; DSA'!$B$85)*($M77+$N77))))*($AD$2/$AF$2)</f>
        <v>0</v>
      </c>
      <c r="AD77" s="371">
        <f>(IF('Parameters &amp; DSA'!$H$1=1,(('Parameters &amp; DSA'!$B$79+'Parameters &amp; DSA'!$B$85+'Parameters &amp; DSA'!$B$89+'Parameters &amp; DSA'!$B$93)*(P77+Q77))/(1+cDC)^$A77,(('Parameters &amp; DSA'!$B$79+'Parameters &amp; DSA'!$B$85)*(P77+Q77))))*($AD$2/$AF$2)</f>
        <v>0</v>
      </c>
      <c r="AE77" s="371">
        <f>(IF('Parameters &amp; DSA'!$H$1=1,(('Parameters &amp; DSA'!$B$79+'Parameters &amp; DSA'!$B$85+'Parameters &amp; DSA'!$B$89+'Parameters &amp; DSA'!$B$93)*(S77+T77))/(1+cDC)^$A77,(('Parameters &amp; DSA'!$B$79+'Parameters &amp; DSA'!$B$85)*(S77+T77))))*($AD$2/$AF$2)</f>
        <v>0</v>
      </c>
      <c r="AF77" s="371">
        <f>(IF('Parameters &amp; DSA'!$H$1=1,(((W77-W76)*cM_Dialysis0)+(W77*cM_Dialysis1))/(1+'Parameters &amp; DSA'!$B$6)^$A77,(((W77-W76)*cM_Dialysis0)+(W77*cM_Dialysis1))))*($AD$2/$AG$2)</f>
        <v>0</v>
      </c>
      <c r="AG77" s="172">
        <f t="shared" si="69"/>
        <v>0</v>
      </c>
      <c r="AI77" s="88">
        <f t="shared" si="50"/>
        <v>0</v>
      </c>
      <c r="AJ77" s="27">
        <f t="shared" si="70"/>
        <v>0</v>
      </c>
      <c r="AK77" s="27">
        <f t="shared" si="51"/>
        <v>0</v>
      </c>
      <c r="AL77" s="27">
        <f t="shared" si="71"/>
        <v>0</v>
      </c>
      <c r="AM77" s="27">
        <f t="shared" si="52"/>
        <v>0</v>
      </c>
      <c r="AN77" s="27">
        <f t="shared" si="72"/>
        <v>0</v>
      </c>
      <c r="AO77" s="27">
        <f t="shared" si="53"/>
        <v>0</v>
      </c>
      <c r="AP77" s="27">
        <f t="shared" si="73"/>
        <v>0</v>
      </c>
      <c r="AQ77" s="27">
        <f t="shared" si="54"/>
        <v>0</v>
      </c>
      <c r="AR77" s="27">
        <f t="shared" si="74"/>
        <v>0</v>
      </c>
      <c r="AS77" s="27">
        <f t="shared" si="75"/>
        <v>0</v>
      </c>
      <c r="AT77" s="89">
        <f t="shared" si="76"/>
        <v>0</v>
      </c>
    </row>
    <row r="78" spans="1:46">
      <c r="A78" s="80">
        <v>74</v>
      </c>
      <c r="C78" s="10">
        <f t="shared" si="77"/>
        <v>116</v>
      </c>
      <c r="D78" s="98" t="str" cm="1">
        <f t="array" ref="D78">_xlfn.IFS(C78&lt;=4,"1-4",C78&lt;=9,"5-9",C78&lt;=14,"10-14",C78&lt;=19,"15-19",C78&lt;=24,"20-24",C78&lt;=29,"25-29",C78&lt;=34,"30-34",C78&lt;=39,"35-39",C78&lt;=44,"40-44",C78&lt;=49,"45-49",C78&lt;=54,"50-54",C78&lt;=54,"50-54",C78&lt;=59,"55-59",C78&lt;=64,"60-64",C78&lt;=69,"65-69",C78&lt;=74,"70-74",C78&lt;=79,"75-79",C78&lt;=84,"80-84",C78&gt;84,"85+")</f>
        <v>85+</v>
      </c>
      <c r="E78" s="83">
        <f>IF(D78="85+",1,VLOOKUP(D78,'Life table 2014'!$AF$3:$AR$21,7,FALSE))</f>
        <v>1</v>
      </c>
      <c r="F78" s="72"/>
      <c r="G78" s="316">
        <f t="shared" si="55"/>
        <v>27010</v>
      </c>
      <c r="H78" s="27">
        <f>'Parameters &amp; DSA'!$B$119*G78^'Parameters &amp; DSA'!$B$120</f>
        <v>3.4889048694493416</v>
      </c>
      <c r="I78" s="314">
        <f t="shared" si="81"/>
        <v>4.9389923414341674E-2</v>
      </c>
      <c r="J78" s="72"/>
      <c r="K78" s="140">
        <f t="shared" si="56"/>
        <v>0</v>
      </c>
      <c r="L78" s="141">
        <f t="shared" si="57"/>
        <v>0</v>
      </c>
      <c r="M78" s="141">
        <f t="shared" si="58"/>
        <v>0</v>
      </c>
      <c r="N78" s="27">
        <f t="shared" si="59"/>
        <v>0</v>
      </c>
      <c r="O78" s="27">
        <f t="shared" si="60"/>
        <v>0</v>
      </c>
      <c r="P78" s="27">
        <f t="shared" si="61"/>
        <v>0</v>
      </c>
      <c r="Q78" s="27">
        <f t="shared" si="62"/>
        <v>0</v>
      </c>
      <c r="R78" s="27">
        <f t="shared" si="63"/>
        <v>0</v>
      </c>
      <c r="S78" s="27">
        <f t="shared" si="64"/>
        <v>0</v>
      </c>
      <c r="T78" s="27">
        <f t="shared" si="65"/>
        <v>0</v>
      </c>
      <c r="U78" s="27">
        <f t="shared" si="66"/>
        <v>0</v>
      </c>
      <c r="V78" s="27">
        <f t="shared" si="67"/>
        <v>0</v>
      </c>
      <c r="W78" s="27">
        <f t="shared" si="78"/>
        <v>0</v>
      </c>
      <c r="X78" s="27">
        <f t="shared" si="79"/>
        <v>0</v>
      </c>
      <c r="Y78" s="142">
        <f t="shared" si="68"/>
        <v>1.0000000000000011</v>
      </c>
      <c r="Z78" s="89">
        <f t="shared" si="80"/>
        <v>1.0000000000000011</v>
      </c>
      <c r="AB78" s="171">
        <f>(IF('Parameters &amp; DSA'!$H$1=1,(('Parameters &amp; DSA'!$B$79+'Parameters &amp; DSA'!$B$85+'Parameters &amp; DSA'!$B$89+'Parameters &amp; DSA'!$B$93)*K78)/(1+cDC)^$A78,(('Parameters &amp; DSA'!$B$79+'Parameters &amp; DSA'!$B$85)*K78)))*($AD$2/$AF$2)</f>
        <v>0</v>
      </c>
      <c r="AC78" s="371">
        <f>(IF('Parameters &amp; DSA'!$H$1=1,(('Parameters &amp; DSA'!$B$79+'Parameters &amp; DSA'!$B$85+'Parameters &amp; DSA'!$B$89+'Parameters &amp; DSA'!$B$93)*($M78+$N78))/(1+cDC)^$A78,(('Parameters &amp; DSA'!$B$79+'Parameters &amp; DSA'!$B$85)*($M78+$N78))))*($AD$2/$AF$2)</f>
        <v>0</v>
      </c>
      <c r="AD78" s="371">
        <f>(IF('Parameters &amp; DSA'!$H$1=1,(('Parameters &amp; DSA'!$B$79+'Parameters &amp; DSA'!$B$85+'Parameters &amp; DSA'!$B$89+'Parameters &amp; DSA'!$B$93)*(P78+Q78))/(1+cDC)^$A78,(('Parameters &amp; DSA'!$B$79+'Parameters &amp; DSA'!$B$85)*(P78+Q78))))*($AD$2/$AF$2)</f>
        <v>0</v>
      </c>
      <c r="AE78" s="371">
        <f>(IF('Parameters &amp; DSA'!$H$1=1,(('Parameters &amp; DSA'!$B$79+'Parameters &amp; DSA'!$B$85+'Parameters &amp; DSA'!$B$89+'Parameters &amp; DSA'!$B$93)*(S78+T78))/(1+cDC)^$A78,(('Parameters &amp; DSA'!$B$79+'Parameters &amp; DSA'!$B$85)*(S78+T78))))*($AD$2/$AF$2)</f>
        <v>0</v>
      </c>
      <c r="AF78" s="371">
        <f>(IF('Parameters &amp; DSA'!$H$1=1,(((W78-W77)*cM_Dialysis0)+(W78*cM_Dialysis1))/(1+'Parameters &amp; DSA'!$B$6)^$A78,(((W78-W77)*cM_Dialysis0)+(W78*cM_Dialysis1))))*($AD$2/$AG$2)</f>
        <v>0</v>
      </c>
      <c r="AG78" s="172">
        <f t="shared" si="69"/>
        <v>0</v>
      </c>
      <c r="AI78" s="88">
        <f t="shared" si="50"/>
        <v>0</v>
      </c>
      <c r="AJ78" s="27">
        <f t="shared" si="70"/>
        <v>0</v>
      </c>
      <c r="AK78" s="27">
        <f t="shared" si="51"/>
        <v>0</v>
      </c>
      <c r="AL78" s="27">
        <f t="shared" si="71"/>
        <v>0</v>
      </c>
      <c r="AM78" s="27">
        <f t="shared" si="52"/>
        <v>0</v>
      </c>
      <c r="AN78" s="27">
        <f t="shared" si="72"/>
        <v>0</v>
      </c>
      <c r="AO78" s="27">
        <f t="shared" si="53"/>
        <v>0</v>
      </c>
      <c r="AP78" s="27">
        <f t="shared" si="73"/>
        <v>0</v>
      </c>
      <c r="AQ78" s="27">
        <f t="shared" si="54"/>
        <v>0</v>
      </c>
      <c r="AR78" s="27">
        <f t="shared" si="74"/>
        <v>0</v>
      </c>
      <c r="AS78" s="27">
        <f t="shared" si="75"/>
        <v>0</v>
      </c>
      <c r="AT78" s="89">
        <f t="shared" si="76"/>
        <v>0</v>
      </c>
    </row>
    <row r="79" spans="1:46">
      <c r="A79" s="80">
        <v>75</v>
      </c>
      <c r="C79" s="10">
        <f t="shared" si="77"/>
        <v>117</v>
      </c>
      <c r="D79" s="98" t="str" cm="1">
        <f t="array" ref="D79">_xlfn.IFS(C79&lt;=4,"1-4",C79&lt;=9,"5-9",C79&lt;=14,"10-14",C79&lt;=19,"15-19",C79&lt;=24,"20-24",C79&lt;=29,"25-29",C79&lt;=34,"30-34",C79&lt;=39,"35-39",C79&lt;=44,"40-44",C79&lt;=49,"45-49",C79&lt;=54,"50-54",C79&lt;=54,"50-54",C79&lt;=59,"55-59",C79&lt;=64,"60-64",C79&lt;=69,"65-69",C79&lt;=74,"70-74",C79&lt;=79,"75-79",C79&lt;=84,"80-84",C79&gt;84,"85+")</f>
        <v>85+</v>
      </c>
      <c r="E79" s="83">
        <f>IF(D79="85+",1,VLOOKUP(D79,'Life table 2014'!$AF$3:$AR$21,7,FALSE))</f>
        <v>1</v>
      </c>
      <c r="F79" s="72"/>
      <c r="G79" s="316">
        <f t="shared" si="55"/>
        <v>27375</v>
      </c>
      <c r="H79" s="27">
        <f>'Parameters &amp; DSA'!$B$119*G79^'Parameters &amp; DSA'!$B$120</f>
        <v>3.539607454984651</v>
      </c>
      <c r="I79" s="314">
        <f t="shared" si="81"/>
        <v>4.9438660812680002E-2</v>
      </c>
      <c r="J79" s="72"/>
      <c r="K79" s="140">
        <f t="shared" si="56"/>
        <v>0</v>
      </c>
      <c r="L79" s="141">
        <f t="shared" si="57"/>
        <v>0</v>
      </c>
      <c r="M79" s="141">
        <f t="shared" si="58"/>
        <v>0</v>
      </c>
      <c r="N79" s="27">
        <f t="shared" si="59"/>
        <v>0</v>
      </c>
      <c r="O79" s="27">
        <f t="shared" si="60"/>
        <v>0</v>
      </c>
      <c r="P79" s="27">
        <f t="shared" si="61"/>
        <v>0</v>
      </c>
      <c r="Q79" s="27">
        <f t="shared" si="62"/>
        <v>0</v>
      </c>
      <c r="R79" s="27">
        <f t="shared" si="63"/>
        <v>0</v>
      </c>
      <c r="S79" s="27">
        <f t="shared" si="64"/>
        <v>0</v>
      </c>
      <c r="T79" s="27">
        <f t="shared" si="65"/>
        <v>0</v>
      </c>
      <c r="U79" s="27">
        <f t="shared" si="66"/>
        <v>0</v>
      </c>
      <c r="V79" s="27">
        <f t="shared" si="67"/>
        <v>0</v>
      </c>
      <c r="W79" s="27">
        <f t="shared" si="78"/>
        <v>0</v>
      </c>
      <c r="X79" s="27">
        <f t="shared" si="79"/>
        <v>0</v>
      </c>
      <c r="Y79" s="142">
        <f t="shared" si="68"/>
        <v>1.0000000000000011</v>
      </c>
      <c r="Z79" s="89">
        <f t="shared" si="80"/>
        <v>1.0000000000000011</v>
      </c>
      <c r="AB79" s="171">
        <f>(IF('Parameters &amp; DSA'!$H$1=1,(('Parameters &amp; DSA'!$B$79+'Parameters &amp; DSA'!$B$85+'Parameters &amp; DSA'!$B$89+'Parameters &amp; DSA'!$B$93)*K79)/(1+cDC)^$A79,(('Parameters &amp; DSA'!$B$79+'Parameters &amp; DSA'!$B$85)*K79)))*($AD$2/$AF$2)</f>
        <v>0</v>
      </c>
      <c r="AC79" s="371">
        <f>(IF('Parameters &amp; DSA'!$H$1=1,(('Parameters &amp; DSA'!$B$79+'Parameters &amp; DSA'!$B$85+'Parameters &amp; DSA'!$B$89+'Parameters &amp; DSA'!$B$93)*($M79+$N79))/(1+cDC)^$A79,(('Parameters &amp; DSA'!$B$79+'Parameters &amp; DSA'!$B$85)*($M79+$N79))))*($AD$2/$AF$2)</f>
        <v>0</v>
      </c>
      <c r="AD79" s="371">
        <f>(IF('Parameters &amp; DSA'!$H$1=1,(('Parameters &amp; DSA'!$B$79+'Parameters &amp; DSA'!$B$85+'Parameters &amp; DSA'!$B$89+'Parameters &amp; DSA'!$B$93)*(P79+Q79))/(1+cDC)^$A79,(('Parameters &amp; DSA'!$B$79+'Parameters &amp; DSA'!$B$85)*(P79+Q79))))*($AD$2/$AF$2)</f>
        <v>0</v>
      </c>
      <c r="AE79" s="371">
        <f>(IF('Parameters &amp; DSA'!$H$1=1,(('Parameters &amp; DSA'!$B$79+'Parameters &amp; DSA'!$B$85+'Parameters &amp; DSA'!$B$89+'Parameters &amp; DSA'!$B$93)*(S79+T79))/(1+cDC)^$A79,(('Parameters &amp; DSA'!$B$79+'Parameters &amp; DSA'!$B$85)*(S79+T79))))*($AD$2/$AF$2)</f>
        <v>0</v>
      </c>
      <c r="AF79" s="371">
        <f>(IF('Parameters &amp; DSA'!$H$1=1,(((W79-W78)*cM_Dialysis0)+(W79*cM_Dialysis1))/(1+'Parameters &amp; DSA'!$B$6)^$A79,(((W79-W78)*cM_Dialysis0)+(W79*cM_Dialysis1))))*($AD$2/$AG$2)</f>
        <v>0</v>
      </c>
      <c r="AG79" s="172">
        <f t="shared" si="69"/>
        <v>0</v>
      </c>
      <c r="AI79" s="88">
        <f t="shared" si="50"/>
        <v>0</v>
      </c>
      <c r="AJ79" s="27">
        <f t="shared" si="70"/>
        <v>0</v>
      </c>
      <c r="AK79" s="27">
        <f t="shared" si="51"/>
        <v>0</v>
      </c>
      <c r="AL79" s="27">
        <f t="shared" si="71"/>
        <v>0</v>
      </c>
      <c r="AM79" s="27">
        <f t="shared" si="52"/>
        <v>0</v>
      </c>
      <c r="AN79" s="27">
        <f t="shared" si="72"/>
        <v>0</v>
      </c>
      <c r="AO79" s="27">
        <f t="shared" si="53"/>
        <v>0</v>
      </c>
      <c r="AP79" s="27">
        <f t="shared" si="73"/>
        <v>0</v>
      </c>
      <c r="AQ79" s="27">
        <f t="shared" si="54"/>
        <v>0</v>
      </c>
      <c r="AR79" s="27">
        <f t="shared" si="74"/>
        <v>0</v>
      </c>
      <c r="AS79" s="27">
        <f t="shared" si="75"/>
        <v>0</v>
      </c>
      <c r="AT79" s="89">
        <f t="shared" si="76"/>
        <v>0</v>
      </c>
    </row>
    <row r="80" spans="1:46">
      <c r="A80" s="80">
        <v>76</v>
      </c>
      <c r="C80" s="10">
        <f t="shared" si="77"/>
        <v>118</v>
      </c>
      <c r="D80" s="98" t="str" cm="1">
        <f t="array" ref="D80">_xlfn.IFS(C80&lt;=4,"1-4",C80&lt;=9,"5-9",C80&lt;=14,"10-14",C80&lt;=19,"15-19",C80&lt;=24,"20-24",C80&lt;=29,"25-29",C80&lt;=34,"30-34",C80&lt;=39,"35-39",C80&lt;=44,"40-44",C80&lt;=49,"45-49",C80&lt;=54,"50-54",C80&lt;=54,"50-54",C80&lt;=59,"55-59",C80&lt;=64,"60-64",C80&lt;=69,"65-69",C80&lt;=74,"70-74",C80&lt;=79,"75-79",C80&lt;=84,"80-84",C80&gt;84,"85+")</f>
        <v>85+</v>
      </c>
      <c r="E80" s="83">
        <f>IF(D80="85+",1,VLOOKUP(D80,'Life table 2014'!$AF$3:$AR$21,7,FALSE))</f>
        <v>1</v>
      </c>
      <c r="F80" s="72"/>
      <c r="G80" s="316">
        <f t="shared" si="55"/>
        <v>27740</v>
      </c>
      <c r="H80" s="27">
        <f>'Parameters &amp; DSA'!$B$119*G80^'Parameters &amp; DSA'!$B$120</f>
        <v>3.5903606786472535</v>
      </c>
      <c r="I80" s="314">
        <f t="shared" si="81"/>
        <v>4.9486794240070076E-2</v>
      </c>
      <c r="J80" s="72"/>
      <c r="K80" s="140">
        <f t="shared" si="56"/>
        <v>0</v>
      </c>
      <c r="L80" s="141">
        <f t="shared" si="57"/>
        <v>0</v>
      </c>
      <c r="M80" s="141">
        <f t="shared" si="58"/>
        <v>0</v>
      </c>
      <c r="N80" s="27">
        <f t="shared" si="59"/>
        <v>0</v>
      </c>
      <c r="O80" s="27">
        <f t="shared" si="60"/>
        <v>0</v>
      </c>
      <c r="P80" s="27">
        <f t="shared" si="61"/>
        <v>0</v>
      </c>
      <c r="Q80" s="27">
        <f t="shared" si="62"/>
        <v>0</v>
      </c>
      <c r="R80" s="27">
        <f t="shared" si="63"/>
        <v>0</v>
      </c>
      <c r="S80" s="27">
        <f t="shared" si="64"/>
        <v>0</v>
      </c>
      <c r="T80" s="27">
        <f t="shared" si="65"/>
        <v>0</v>
      </c>
      <c r="U80" s="27">
        <f t="shared" si="66"/>
        <v>0</v>
      </c>
      <c r="V80" s="27">
        <f t="shared" si="67"/>
        <v>0</v>
      </c>
      <c r="W80" s="27">
        <f t="shared" si="78"/>
        <v>0</v>
      </c>
      <c r="X80" s="27">
        <f t="shared" si="79"/>
        <v>0</v>
      </c>
      <c r="Y80" s="142">
        <f t="shared" si="68"/>
        <v>1.0000000000000011</v>
      </c>
      <c r="Z80" s="89">
        <f t="shared" si="80"/>
        <v>1.0000000000000011</v>
      </c>
      <c r="AB80" s="171">
        <f>(IF('Parameters &amp; DSA'!$H$1=1,(('Parameters &amp; DSA'!$B$79+'Parameters &amp; DSA'!$B$85+'Parameters &amp; DSA'!$B$89+'Parameters &amp; DSA'!$B$93)*K80)/(1+cDC)^$A80,(('Parameters &amp; DSA'!$B$79+'Parameters &amp; DSA'!$B$85)*K80)))*($AD$2/$AF$2)</f>
        <v>0</v>
      </c>
      <c r="AC80" s="371">
        <f>(IF('Parameters &amp; DSA'!$H$1=1,(('Parameters &amp; DSA'!$B$79+'Parameters &amp; DSA'!$B$85+'Parameters &amp; DSA'!$B$89+'Parameters &amp; DSA'!$B$93)*($M80+$N80))/(1+cDC)^$A80,(('Parameters &amp; DSA'!$B$79+'Parameters &amp; DSA'!$B$85)*($M80+$N80))))*($AD$2/$AF$2)</f>
        <v>0</v>
      </c>
      <c r="AD80" s="371">
        <f>(IF('Parameters &amp; DSA'!$H$1=1,(('Parameters &amp; DSA'!$B$79+'Parameters &amp; DSA'!$B$85+'Parameters &amp; DSA'!$B$89+'Parameters &amp; DSA'!$B$93)*(P80+Q80))/(1+cDC)^$A80,(('Parameters &amp; DSA'!$B$79+'Parameters &amp; DSA'!$B$85)*(P80+Q80))))*($AD$2/$AF$2)</f>
        <v>0</v>
      </c>
      <c r="AE80" s="371">
        <f>(IF('Parameters &amp; DSA'!$H$1=1,(('Parameters &amp; DSA'!$B$79+'Parameters &amp; DSA'!$B$85+'Parameters &amp; DSA'!$B$89+'Parameters &amp; DSA'!$B$93)*(S80+T80))/(1+cDC)^$A80,(('Parameters &amp; DSA'!$B$79+'Parameters &amp; DSA'!$B$85)*(S80+T80))))*($AD$2/$AF$2)</f>
        <v>0</v>
      </c>
      <c r="AF80" s="371">
        <f>(IF('Parameters &amp; DSA'!$H$1=1,(((W80-W79)*cM_Dialysis0)+(W80*cM_Dialysis1))/(1+'Parameters &amp; DSA'!$B$6)^$A80,(((W80-W79)*cM_Dialysis0)+(W80*cM_Dialysis1))))*($AD$2/$AG$2)</f>
        <v>0</v>
      </c>
      <c r="AG80" s="172">
        <f t="shared" si="69"/>
        <v>0</v>
      </c>
      <c r="AI80" s="88">
        <f t="shared" si="50"/>
        <v>0</v>
      </c>
      <c r="AJ80" s="27">
        <f t="shared" si="70"/>
        <v>0</v>
      </c>
      <c r="AK80" s="27">
        <f t="shared" si="51"/>
        <v>0</v>
      </c>
      <c r="AL80" s="27">
        <f t="shared" si="71"/>
        <v>0</v>
      </c>
      <c r="AM80" s="27">
        <f t="shared" si="52"/>
        <v>0</v>
      </c>
      <c r="AN80" s="27">
        <f t="shared" si="72"/>
        <v>0</v>
      </c>
      <c r="AO80" s="27">
        <f t="shared" si="53"/>
        <v>0</v>
      </c>
      <c r="AP80" s="27">
        <f t="shared" si="73"/>
        <v>0</v>
      </c>
      <c r="AQ80" s="27">
        <f t="shared" si="54"/>
        <v>0</v>
      </c>
      <c r="AR80" s="27">
        <f t="shared" si="74"/>
        <v>0</v>
      </c>
      <c r="AS80" s="27">
        <f t="shared" si="75"/>
        <v>0</v>
      </c>
      <c r="AT80" s="89">
        <f t="shared" si="76"/>
        <v>0</v>
      </c>
    </row>
    <row r="81" spans="1:46">
      <c r="A81" s="80">
        <v>77</v>
      </c>
      <c r="C81" s="10">
        <f t="shared" si="77"/>
        <v>119</v>
      </c>
      <c r="D81" s="98" t="str" cm="1">
        <f t="array" ref="D81">_xlfn.IFS(C81&lt;=4,"1-4",C81&lt;=9,"5-9",C81&lt;=14,"10-14",C81&lt;=19,"15-19",C81&lt;=24,"20-24",C81&lt;=29,"25-29",C81&lt;=34,"30-34",C81&lt;=39,"35-39",C81&lt;=44,"40-44",C81&lt;=49,"45-49",C81&lt;=54,"50-54",C81&lt;=54,"50-54",C81&lt;=59,"55-59",C81&lt;=64,"60-64",C81&lt;=69,"65-69",C81&lt;=74,"70-74",C81&lt;=79,"75-79",C81&lt;=84,"80-84",C81&gt;84,"85+")</f>
        <v>85+</v>
      </c>
      <c r="E81" s="83">
        <f>IF(D81="85+",1,VLOOKUP(D81,'Life table 2014'!$AF$3:$AR$21,7,FALSE))</f>
        <v>1</v>
      </c>
      <c r="F81" s="72"/>
      <c r="G81" s="316">
        <f t="shared" si="55"/>
        <v>28105</v>
      </c>
      <c r="H81" s="27">
        <f>'Parameters &amp; DSA'!$B$119*G81^'Parameters &amp; DSA'!$B$120</f>
        <v>3.6411639236884201</v>
      </c>
      <c r="I81" s="314">
        <f t="shared" si="81"/>
        <v>4.953433903182769E-2</v>
      </c>
      <c r="J81" s="72"/>
      <c r="K81" s="140">
        <f t="shared" si="56"/>
        <v>0</v>
      </c>
      <c r="L81" s="141">
        <f t="shared" si="57"/>
        <v>0</v>
      </c>
      <c r="M81" s="141">
        <f t="shared" si="58"/>
        <v>0</v>
      </c>
      <c r="N81" s="27">
        <f t="shared" si="59"/>
        <v>0</v>
      </c>
      <c r="O81" s="27">
        <f t="shared" si="60"/>
        <v>0</v>
      </c>
      <c r="P81" s="27">
        <f t="shared" si="61"/>
        <v>0</v>
      </c>
      <c r="Q81" s="27">
        <f t="shared" si="62"/>
        <v>0</v>
      </c>
      <c r="R81" s="27">
        <f t="shared" si="63"/>
        <v>0</v>
      </c>
      <c r="S81" s="27">
        <f t="shared" si="64"/>
        <v>0</v>
      </c>
      <c r="T81" s="27">
        <f t="shared" si="65"/>
        <v>0</v>
      </c>
      <c r="U81" s="27">
        <f t="shared" si="66"/>
        <v>0</v>
      </c>
      <c r="V81" s="27">
        <f t="shared" si="67"/>
        <v>0</v>
      </c>
      <c r="W81" s="27">
        <f t="shared" si="78"/>
        <v>0</v>
      </c>
      <c r="X81" s="27">
        <f t="shared" si="79"/>
        <v>0</v>
      </c>
      <c r="Y81" s="142">
        <f t="shared" si="68"/>
        <v>1.0000000000000011</v>
      </c>
      <c r="Z81" s="89">
        <f t="shared" si="80"/>
        <v>1.0000000000000011</v>
      </c>
      <c r="AB81" s="171">
        <f>(IF('Parameters &amp; DSA'!$H$1=1,(('Parameters &amp; DSA'!$B$79+'Parameters &amp; DSA'!$B$85+'Parameters &amp; DSA'!$B$89+'Parameters &amp; DSA'!$B$93)*K81)/(1+cDC)^$A81,(('Parameters &amp; DSA'!$B$79+'Parameters &amp; DSA'!$B$85)*K81)))*($AD$2/$AF$2)</f>
        <v>0</v>
      </c>
      <c r="AC81" s="371">
        <f>(IF('Parameters &amp; DSA'!$H$1=1,(('Parameters &amp; DSA'!$B$79+'Parameters &amp; DSA'!$B$85+'Parameters &amp; DSA'!$B$89+'Parameters &amp; DSA'!$B$93)*($M81+$N81))/(1+cDC)^$A81,(('Parameters &amp; DSA'!$B$79+'Parameters &amp; DSA'!$B$85)*($M81+$N81))))*($AD$2/$AF$2)</f>
        <v>0</v>
      </c>
      <c r="AD81" s="371">
        <f>(IF('Parameters &amp; DSA'!$H$1=1,(('Parameters &amp; DSA'!$B$79+'Parameters &amp; DSA'!$B$85+'Parameters &amp; DSA'!$B$89+'Parameters &amp; DSA'!$B$93)*(P81+Q81))/(1+cDC)^$A81,(('Parameters &amp; DSA'!$B$79+'Parameters &amp; DSA'!$B$85)*(P81+Q81))))*($AD$2/$AF$2)</f>
        <v>0</v>
      </c>
      <c r="AE81" s="371">
        <f>(IF('Parameters &amp; DSA'!$H$1=1,(('Parameters &amp; DSA'!$B$79+'Parameters &amp; DSA'!$B$85+'Parameters &amp; DSA'!$B$89+'Parameters &amp; DSA'!$B$93)*(S81+T81))/(1+cDC)^$A81,(('Parameters &amp; DSA'!$B$79+'Parameters &amp; DSA'!$B$85)*(S81+T81))))*($AD$2/$AF$2)</f>
        <v>0</v>
      </c>
      <c r="AF81" s="371">
        <f>(IF('Parameters &amp; DSA'!$H$1=1,(((W81-W80)*cM_Dialysis0)+(W81*cM_Dialysis1))/(1+'Parameters &amp; DSA'!$B$6)^$A81,(((W81-W80)*cM_Dialysis0)+(W81*cM_Dialysis1))))*($AD$2/$AG$2)</f>
        <v>0</v>
      </c>
      <c r="AG81" s="172">
        <f t="shared" si="69"/>
        <v>0</v>
      </c>
      <c r="AI81" s="88">
        <f t="shared" si="50"/>
        <v>0</v>
      </c>
      <c r="AJ81" s="27">
        <f t="shared" si="70"/>
        <v>0</v>
      </c>
      <c r="AK81" s="27">
        <f t="shared" si="51"/>
        <v>0</v>
      </c>
      <c r="AL81" s="27">
        <f t="shared" si="71"/>
        <v>0</v>
      </c>
      <c r="AM81" s="27">
        <f t="shared" si="52"/>
        <v>0</v>
      </c>
      <c r="AN81" s="27">
        <f t="shared" si="72"/>
        <v>0</v>
      </c>
      <c r="AO81" s="27">
        <f t="shared" si="53"/>
        <v>0</v>
      </c>
      <c r="AP81" s="27">
        <f t="shared" si="73"/>
        <v>0</v>
      </c>
      <c r="AQ81" s="27">
        <f t="shared" si="54"/>
        <v>0</v>
      </c>
      <c r="AR81" s="27">
        <f t="shared" si="74"/>
        <v>0</v>
      </c>
      <c r="AS81" s="27">
        <f t="shared" si="75"/>
        <v>0</v>
      </c>
      <c r="AT81" s="89">
        <f t="shared" si="76"/>
        <v>0</v>
      </c>
    </row>
    <row r="82" spans="1:46">
      <c r="A82" s="80">
        <v>78</v>
      </c>
      <c r="C82" s="10">
        <f t="shared" si="77"/>
        <v>120</v>
      </c>
      <c r="D82" s="98" t="str" cm="1">
        <f t="array" ref="D82">_xlfn.IFS(C82&lt;=4,"1-4",C82&lt;=9,"5-9",C82&lt;=14,"10-14",C82&lt;=19,"15-19",C82&lt;=24,"20-24",C82&lt;=29,"25-29",C82&lt;=34,"30-34",C82&lt;=39,"35-39",C82&lt;=44,"40-44",C82&lt;=49,"45-49",C82&lt;=54,"50-54",C82&lt;=54,"50-54",C82&lt;=59,"55-59",C82&lt;=64,"60-64",C82&lt;=69,"65-69",C82&lt;=74,"70-74",C82&lt;=79,"75-79",C82&lt;=84,"80-84",C82&gt;84,"85+")</f>
        <v>85+</v>
      </c>
      <c r="E82" s="83">
        <f>IF(D82="85+",1,VLOOKUP(D82,'Life table 2014'!$AF$3:$AR$21,7,FALSE))</f>
        <v>1</v>
      </c>
      <c r="F82" s="72"/>
      <c r="G82" s="316">
        <f t="shared" si="55"/>
        <v>28470</v>
      </c>
      <c r="H82" s="27">
        <f>'Parameters &amp; DSA'!$B$119*G82^'Parameters &amp; DSA'!$B$120</f>
        <v>3.6920165887880727</v>
      </c>
      <c r="I82" s="314">
        <f t="shared" si="81"/>
        <v>4.9581309939719542E-2</v>
      </c>
      <c r="J82" s="72"/>
      <c r="K82" s="140">
        <f t="shared" si="56"/>
        <v>0</v>
      </c>
      <c r="L82" s="141">
        <f t="shared" si="57"/>
        <v>0</v>
      </c>
      <c r="M82" s="141">
        <f t="shared" si="58"/>
        <v>0</v>
      </c>
      <c r="N82" s="27">
        <f t="shared" si="59"/>
        <v>0</v>
      </c>
      <c r="O82" s="27">
        <f t="shared" si="60"/>
        <v>0</v>
      </c>
      <c r="P82" s="27">
        <f t="shared" si="61"/>
        <v>0</v>
      </c>
      <c r="Q82" s="27">
        <f t="shared" si="62"/>
        <v>0</v>
      </c>
      <c r="R82" s="27">
        <f t="shared" si="63"/>
        <v>0</v>
      </c>
      <c r="S82" s="27">
        <f t="shared" si="64"/>
        <v>0</v>
      </c>
      <c r="T82" s="27">
        <f t="shared" si="65"/>
        <v>0</v>
      </c>
      <c r="U82" s="27">
        <f t="shared" si="66"/>
        <v>0</v>
      </c>
      <c r="V82" s="27">
        <f t="shared" si="67"/>
        <v>0</v>
      </c>
      <c r="W82" s="27">
        <f t="shared" si="78"/>
        <v>0</v>
      </c>
      <c r="X82" s="27">
        <f t="shared" si="79"/>
        <v>0</v>
      </c>
      <c r="Y82" s="142">
        <f t="shared" si="68"/>
        <v>1.0000000000000011</v>
      </c>
      <c r="Z82" s="89">
        <f t="shared" si="80"/>
        <v>1.0000000000000011</v>
      </c>
      <c r="AB82" s="171">
        <f>(IF('Parameters &amp; DSA'!$H$1=1,(('Parameters &amp; DSA'!$B$79+'Parameters &amp; DSA'!$B$85+'Parameters &amp; DSA'!$B$89+'Parameters &amp; DSA'!$B$93)*K82)/(1+cDC)^$A82,(('Parameters &amp; DSA'!$B$79+'Parameters &amp; DSA'!$B$85)*K82)))*($AD$2/$AF$2)</f>
        <v>0</v>
      </c>
      <c r="AC82" s="371">
        <f>(IF('Parameters &amp; DSA'!$H$1=1,(('Parameters &amp; DSA'!$B$79+'Parameters &amp; DSA'!$B$85+'Parameters &amp; DSA'!$B$89+'Parameters &amp; DSA'!$B$93)*($M82+$N82))/(1+cDC)^$A82,(('Parameters &amp; DSA'!$B$79+'Parameters &amp; DSA'!$B$85)*($M82+$N82))))*($AD$2/$AF$2)</f>
        <v>0</v>
      </c>
      <c r="AD82" s="371">
        <f>(IF('Parameters &amp; DSA'!$H$1=1,(('Parameters &amp; DSA'!$B$79+'Parameters &amp; DSA'!$B$85+'Parameters &amp; DSA'!$B$89+'Parameters &amp; DSA'!$B$93)*(P82+Q82))/(1+cDC)^$A82,(('Parameters &amp; DSA'!$B$79+'Parameters &amp; DSA'!$B$85)*(P82+Q82))))*($AD$2/$AF$2)</f>
        <v>0</v>
      </c>
      <c r="AE82" s="371">
        <f>(IF('Parameters &amp; DSA'!$H$1=1,(('Parameters &amp; DSA'!$B$79+'Parameters &amp; DSA'!$B$85+'Parameters &amp; DSA'!$B$89+'Parameters &amp; DSA'!$B$93)*(S82+T82))/(1+cDC)^$A82,(('Parameters &amp; DSA'!$B$79+'Parameters &amp; DSA'!$B$85)*(S82+T82))))*($AD$2/$AF$2)</f>
        <v>0</v>
      </c>
      <c r="AF82" s="371">
        <f>(IF('Parameters &amp; DSA'!$H$1=1,(((W82-W81)*cM_Dialysis0)+(W82*cM_Dialysis1))/(1+'Parameters &amp; DSA'!$B$6)^$A82,(((W82-W81)*cM_Dialysis0)+(W82*cM_Dialysis1))))*($AD$2/$AG$2)</f>
        <v>0</v>
      </c>
      <c r="AG82" s="172">
        <f t="shared" si="69"/>
        <v>0</v>
      </c>
      <c r="AI82" s="88">
        <f t="shared" si="50"/>
        <v>0</v>
      </c>
      <c r="AJ82" s="27">
        <f t="shared" si="70"/>
        <v>0</v>
      </c>
      <c r="AK82" s="27">
        <f t="shared" si="51"/>
        <v>0</v>
      </c>
      <c r="AL82" s="27">
        <f t="shared" si="71"/>
        <v>0</v>
      </c>
      <c r="AM82" s="27">
        <f t="shared" si="52"/>
        <v>0</v>
      </c>
      <c r="AN82" s="27">
        <f t="shared" si="72"/>
        <v>0</v>
      </c>
      <c r="AO82" s="27">
        <f t="shared" si="53"/>
        <v>0</v>
      </c>
      <c r="AP82" s="27">
        <f t="shared" si="73"/>
        <v>0</v>
      </c>
      <c r="AQ82" s="27">
        <f t="shared" si="54"/>
        <v>0</v>
      </c>
      <c r="AR82" s="27">
        <f t="shared" si="74"/>
        <v>0</v>
      </c>
      <c r="AS82" s="27">
        <f t="shared" si="75"/>
        <v>0</v>
      </c>
      <c r="AT82" s="89">
        <f t="shared" si="76"/>
        <v>0</v>
      </c>
    </row>
    <row r="83" spans="1:46">
      <c r="A83" s="80">
        <v>79</v>
      </c>
      <c r="C83" s="10">
        <f t="shared" si="77"/>
        <v>121</v>
      </c>
      <c r="D83" s="98" t="str" cm="1">
        <f t="array" ref="D83">_xlfn.IFS(C83&lt;=4,"1-4",C83&lt;=9,"5-9",C83&lt;=14,"10-14",C83&lt;=19,"15-19",C83&lt;=24,"20-24",C83&lt;=29,"25-29",C83&lt;=34,"30-34",C83&lt;=39,"35-39",C83&lt;=44,"40-44",C83&lt;=49,"45-49",C83&lt;=54,"50-54",C83&lt;=54,"50-54",C83&lt;=59,"55-59",C83&lt;=64,"60-64",C83&lt;=69,"65-69",C83&lt;=74,"70-74",C83&lt;=79,"75-79",C83&lt;=84,"80-84",C83&gt;84,"85+")</f>
        <v>85+</v>
      </c>
      <c r="E83" s="83">
        <f>IF(D83="85+",1,VLOOKUP(D83,'Life table 2014'!$AF$3:$AR$21,7,FALSE))</f>
        <v>1</v>
      </c>
      <c r="F83" s="72"/>
      <c r="G83" s="316">
        <f t="shared" si="55"/>
        <v>28835</v>
      </c>
      <c r="H83" s="27">
        <f>'Parameters &amp; DSA'!$B$119*G83^'Parameters &amp; DSA'!$B$120</f>
        <v>3.7429180874758061</v>
      </c>
      <c r="I83" s="314">
        <f t="shared" si="81"/>
        <v>4.9627721161311866E-2</v>
      </c>
      <c r="J83" s="72"/>
      <c r="K83" s="140">
        <f t="shared" si="56"/>
        <v>0</v>
      </c>
      <c r="L83" s="141">
        <f t="shared" si="57"/>
        <v>0</v>
      </c>
      <c r="M83" s="141">
        <f t="shared" si="58"/>
        <v>0</v>
      </c>
      <c r="N83" s="27">
        <f t="shared" si="59"/>
        <v>0</v>
      </c>
      <c r="O83" s="27">
        <f t="shared" si="60"/>
        <v>0</v>
      </c>
      <c r="P83" s="27">
        <f t="shared" si="61"/>
        <v>0</v>
      </c>
      <c r="Q83" s="27">
        <f t="shared" si="62"/>
        <v>0</v>
      </c>
      <c r="R83" s="27">
        <f t="shared" si="63"/>
        <v>0</v>
      </c>
      <c r="S83" s="27">
        <f t="shared" si="64"/>
        <v>0</v>
      </c>
      <c r="T83" s="27">
        <f t="shared" si="65"/>
        <v>0</v>
      </c>
      <c r="U83" s="27">
        <f t="shared" si="66"/>
        <v>0</v>
      </c>
      <c r="V83" s="27">
        <f t="shared" si="67"/>
        <v>0</v>
      </c>
      <c r="W83" s="27">
        <f t="shared" si="78"/>
        <v>0</v>
      </c>
      <c r="X83" s="27">
        <f t="shared" si="79"/>
        <v>0</v>
      </c>
      <c r="Y83" s="142">
        <f t="shared" si="68"/>
        <v>1.0000000000000011</v>
      </c>
      <c r="Z83" s="89">
        <f t="shared" si="80"/>
        <v>1.0000000000000011</v>
      </c>
      <c r="AB83" s="171">
        <f>(IF('Parameters &amp; DSA'!$H$1=1,(('Parameters &amp; DSA'!$B$79+'Parameters &amp; DSA'!$B$85+'Parameters &amp; DSA'!$B$89+'Parameters &amp; DSA'!$B$93)*K83)/(1+cDC)^$A83,(('Parameters &amp; DSA'!$B$79+'Parameters &amp; DSA'!$B$85)*K83)))*($AD$2/$AF$2)</f>
        <v>0</v>
      </c>
      <c r="AC83" s="371">
        <f>(IF('Parameters &amp; DSA'!$H$1=1,(('Parameters &amp; DSA'!$B$79+'Parameters &amp; DSA'!$B$85+'Parameters &amp; DSA'!$B$89+'Parameters &amp; DSA'!$B$93)*($M83+$N83))/(1+cDC)^$A83,(('Parameters &amp; DSA'!$B$79+'Parameters &amp; DSA'!$B$85)*($M83+$N83))))*($AD$2/$AF$2)</f>
        <v>0</v>
      </c>
      <c r="AD83" s="371">
        <f>(IF('Parameters &amp; DSA'!$H$1=1,(('Parameters &amp; DSA'!$B$79+'Parameters &amp; DSA'!$B$85+'Parameters &amp; DSA'!$B$89+'Parameters &amp; DSA'!$B$93)*(P83+Q83))/(1+cDC)^$A83,(('Parameters &amp; DSA'!$B$79+'Parameters &amp; DSA'!$B$85)*(P83+Q83))))*($AD$2/$AF$2)</f>
        <v>0</v>
      </c>
      <c r="AE83" s="371">
        <f>(IF('Parameters &amp; DSA'!$H$1=1,(('Parameters &amp; DSA'!$B$79+'Parameters &amp; DSA'!$B$85+'Parameters &amp; DSA'!$B$89+'Parameters &amp; DSA'!$B$93)*(S83+T83))/(1+cDC)^$A83,(('Parameters &amp; DSA'!$B$79+'Parameters &amp; DSA'!$B$85)*(S83+T83))))*($AD$2/$AF$2)</f>
        <v>0</v>
      </c>
      <c r="AF83" s="371">
        <f>(IF('Parameters &amp; DSA'!$H$1=1,(((W83-W82)*cM_Dialysis0)+(W83*cM_Dialysis1))/(1+'Parameters &amp; DSA'!$B$6)^$A83,(((W83-W82)*cM_Dialysis0)+(W83*cM_Dialysis1))))*($AD$2/$AG$2)</f>
        <v>0</v>
      </c>
      <c r="AG83" s="172">
        <f t="shared" si="69"/>
        <v>0</v>
      </c>
      <c r="AI83" s="88">
        <f t="shared" si="50"/>
        <v>0</v>
      </c>
      <c r="AJ83" s="27">
        <f t="shared" si="70"/>
        <v>0</v>
      </c>
      <c r="AK83" s="27">
        <f t="shared" si="51"/>
        <v>0</v>
      </c>
      <c r="AL83" s="27">
        <f t="shared" si="71"/>
        <v>0</v>
      </c>
      <c r="AM83" s="27">
        <f t="shared" si="52"/>
        <v>0</v>
      </c>
      <c r="AN83" s="27">
        <f t="shared" si="72"/>
        <v>0</v>
      </c>
      <c r="AO83" s="27">
        <f t="shared" si="53"/>
        <v>0</v>
      </c>
      <c r="AP83" s="27">
        <f t="shared" si="73"/>
        <v>0</v>
      </c>
      <c r="AQ83" s="27">
        <f t="shared" si="54"/>
        <v>0</v>
      </c>
      <c r="AR83" s="27">
        <f t="shared" si="74"/>
        <v>0</v>
      </c>
      <c r="AS83" s="27">
        <f t="shared" si="75"/>
        <v>0</v>
      </c>
      <c r="AT83" s="89">
        <f t="shared" si="76"/>
        <v>0</v>
      </c>
    </row>
    <row r="84" spans="1:46">
      <c r="A84" s="80">
        <v>80</v>
      </c>
      <c r="C84" s="10">
        <f t="shared" si="77"/>
        <v>122</v>
      </c>
      <c r="D84" s="98" t="str" cm="1">
        <f t="array" ref="D84">_xlfn.IFS(C84&lt;=4,"1-4",C84&lt;=9,"5-9",C84&lt;=14,"10-14",C84&lt;=19,"15-19",C84&lt;=24,"20-24",C84&lt;=29,"25-29",C84&lt;=34,"30-34",C84&lt;=39,"35-39",C84&lt;=44,"40-44",C84&lt;=49,"45-49",C84&lt;=54,"50-54",C84&lt;=54,"50-54",C84&lt;=59,"55-59",C84&lt;=64,"60-64",C84&lt;=69,"65-69",C84&lt;=74,"70-74",C84&lt;=79,"75-79",C84&lt;=84,"80-84",C84&gt;84,"85+")</f>
        <v>85+</v>
      </c>
      <c r="E84" s="83">
        <f>IF(D84="85+",1,VLOOKUP(D84,'Life table 2014'!$AF$3:$AR$21,7,FALSE))</f>
        <v>1</v>
      </c>
      <c r="F84" s="72"/>
      <c r="G84" s="316">
        <f t="shared" si="55"/>
        <v>29200</v>
      </c>
      <c r="H84" s="27">
        <f>'Parameters &amp; DSA'!$B$119*G84^'Parameters &amp; DSA'!$B$120</f>
        <v>3.7938678475807368</v>
      </c>
      <c r="I84" s="314">
        <f t="shared" si="81"/>
        <v>4.9673586367584788E-2</v>
      </c>
      <c r="J84" s="72"/>
      <c r="K84" s="140">
        <f t="shared" si="56"/>
        <v>0</v>
      </c>
      <c r="L84" s="141">
        <f t="shared" si="57"/>
        <v>0</v>
      </c>
      <c r="M84" s="141">
        <f t="shared" si="58"/>
        <v>0</v>
      </c>
      <c r="N84" s="27">
        <f t="shared" si="59"/>
        <v>0</v>
      </c>
      <c r="O84" s="27">
        <f t="shared" si="60"/>
        <v>0</v>
      </c>
      <c r="P84" s="27">
        <f t="shared" si="61"/>
        <v>0</v>
      </c>
      <c r="Q84" s="27">
        <f t="shared" si="62"/>
        <v>0</v>
      </c>
      <c r="R84" s="27">
        <f t="shared" si="63"/>
        <v>0</v>
      </c>
      <c r="S84" s="27">
        <f t="shared" si="64"/>
        <v>0</v>
      </c>
      <c r="T84" s="27">
        <f t="shared" si="65"/>
        <v>0</v>
      </c>
      <c r="U84" s="27">
        <f t="shared" si="66"/>
        <v>0</v>
      </c>
      <c r="V84" s="27">
        <f t="shared" si="67"/>
        <v>0</v>
      </c>
      <c r="W84" s="27">
        <f t="shared" si="78"/>
        <v>0</v>
      </c>
      <c r="X84" s="27">
        <f t="shared" si="79"/>
        <v>0</v>
      </c>
      <c r="Y84" s="142">
        <f t="shared" si="68"/>
        <v>1.0000000000000011</v>
      </c>
      <c r="Z84" s="89">
        <f t="shared" si="80"/>
        <v>1.0000000000000011</v>
      </c>
      <c r="AB84" s="171">
        <f>(IF('Parameters &amp; DSA'!$H$1=1,(('Parameters &amp; DSA'!$B$79+'Parameters &amp; DSA'!$B$85+'Parameters &amp; DSA'!$B$89+'Parameters &amp; DSA'!$B$93)*K84)/(1+cDC)^$A84,(('Parameters &amp; DSA'!$B$79+'Parameters &amp; DSA'!$B$85)*K84)))*($AD$2/$AF$2)</f>
        <v>0</v>
      </c>
      <c r="AC84" s="371">
        <f>(IF('Parameters &amp; DSA'!$H$1=1,(('Parameters &amp; DSA'!$B$79+'Parameters &amp; DSA'!$B$85+'Parameters &amp; DSA'!$B$89+'Parameters &amp; DSA'!$B$93)*($M84+$N84))/(1+cDC)^$A84,(('Parameters &amp; DSA'!$B$79+'Parameters &amp; DSA'!$B$85)*($M84+$N84))))*($AD$2/$AF$2)</f>
        <v>0</v>
      </c>
      <c r="AD84" s="371">
        <f>(IF('Parameters &amp; DSA'!$H$1=1,(('Parameters &amp; DSA'!$B$79+'Parameters &amp; DSA'!$B$85+'Parameters &amp; DSA'!$B$89+'Parameters &amp; DSA'!$B$93)*(P84+Q84))/(1+cDC)^$A84,(('Parameters &amp; DSA'!$B$79+'Parameters &amp; DSA'!$B$85)*(P84+Q84))))*($AD$2/$AF$2)</f>
        <v>0</v>
      </c>
      <c r="AE84" s="371">
        <f>(IF('Parameters &amp; DSA'!$H$1=1,(('Parameters &amp; DSA'!$B$79+'Parameters &amp; DSA'!$B$85+'Parameters &amp; DSA'!$B$89+'Parameters &amp; DSA'!$B$93)*(S84+T84))/(1+cDC)^$A84,(('Parameters &amp; DSA'!$B$79+'Parameters &amp; DSA'!$B$85)*(S84+T84))))*($AD$2/$AF$2)</f>
        <v>0</v>
      </c>
      <c r="AF84" s="371">
        <f>(IF('Parameters &amp; DSA'!$H$1=1,(((W84-W83)*cM_Dialysis0)+(W84*cM_Dialysis1))/(1+'Parameters &amp; DSA'!$B$6)^$A84,(((W84-W83)*cM_Dialysis0)+(W84*cM_Dialysis1))))*($AD$2/$AG$2)</f>
        <v>0</v>
      </c>
      <c r="AG84" s="172">
        <f t="shared" si="69"/>
        <v>0</v>
      </c>
      <c r="AI84" s="88">
        <f t="shared" si="50"/>
        <v>0</v>
      </c>
      <c r="AJ84" s="27">
        <f t="shared" si="70"/>
        <v>0</v>
      </c>
      <c r="AK84" s="27">
        <f t="shared" si="51"/>
        <v>0</v>
      </c>
      <c r="AL84" s="27">
        <f t="shared" si="71"/>
        <v>0</v>
      </c>
      <c r="AM84" s="27">
        <f t="shared" si="52"/>
        <v>0</v>
      </c>
      <c r="AN84" s="27">
        <f t="shared" si="72"/>
        <v>0</v>
      </c>
      <c r="AO84" s="27">
        <f t="shared" si="53"/>
        <v>0</v>
      </c>
      <c r="AP84" s="27">
        <f t="shared" si="73"/>
        <v>0</v>
      </c>
      <c r="AQ84" s="27">
        <f t="shared" si="54"/>
        <v>0</v>
      </c>
      <c r="AR84" s="27">
        <f t="shared" si="74"/>
        <v>0</v>
      </c>
      <c r="AS84" s="27">
        <f t="shared" si="75"/>
        <v>0</v>
      </c>
      <c r="AT84" s="89">
        <f t="shared" si="76"/>
        <v>0</v>
      </c>
    </row>
    <row r="85" spans="1:46">
      <c r="A85" s="80">
        <v>81</v>
      </c>
      <c r="C85" s="10">
        <f t="shared" si="77"/>
        <v>123</v>
      </c>
      <c r="D85" s="98" t="str" cm="1">
        <f t="array" ref="D85">_xlfn.IFS(C85&lt;=4,"1-4",C85&lt;=9,"5-9",C85&lt;=14,"10-14",C85&lt;=19,"15-19",C85&lt;=24,"20-24",C85&lt;=29,"25-29",C85&lt;=34,"30-34",C85&lt;=39,"35-39",C85&lt;=44,"40-44",C85&lt;=49,"45-49",C85&lt;=54,"50-54",C85&lt;=54,"50-54",C85&lt;=59,"55-59",C85&lt;=64,"60-64",C85&lt;=69,"65-69",C85&lt;=74,"70-74",C85&lt;=79,"75-79",C85&lt;=84,"80-84",C85&gt;84,"85+")</f>
        <v>85+</v>
      </c>
      <c r="E85" s="83">
        <f>IF(D85="85+",1,VLOOKUP(D85,'Life table 2014'!$AF$3:$AR$21,7,FALSE))</f>
        <v>1</v>
      </c>
      <c r="F85" s="72"/>
      <c r="G85" s="316">
        <f t="shared" si="55"/>
        <v>29565</v>
      </c>
      <c r="H85" s="27">
        <f>'Parameters &amp; DSA'!$B$119*G85^'Parameters &amp; DSA'!$B$120</f>
        <v>3.8448653107083817</v>
      </c>
      <c r="I85" s="314">
        <f t="shared" si="81"/>
        <v>4.9718918728826278E-2</v>
      </c>
      <c r="J85" s="72"/>
      <c r="K85" s="140">
        <f t="shared" si="56"/>
        <v>0</v>
      </c>
      <c r="L85" s="141">
        <f t="shared" si="57"/>
        <v>0</v>
      </c>
      <c r="M85" s="141">
        <f t="shared" si="58"/>
        <v>0</v>
      </c>
      <c r="N85" s="27">
        <f t="shared" si="59"/>
        <v>0</v>
      </c>
      <c r="O85" s="27">
        <f t="shared" si="60"/>
        <v>0</v>
      </c>
      <c r="P85" s="27">
        <f t="shared" si="61"/>
        <v>0</v>
      </c>
      <c r="Q85" s="27">
        <f t="shared" si="62"/>
        <v>0</v>
      </c>
      <c r="R85" s="27">
        <f t="shared" si="63"/>
        <v>0</v>
      </c>
      <c r="S85" s="27">
        <f t="shared" si="64"/>
        <v>0</v>
      </c>
      <c r="T85" s="27">
        <f t="shared" si="65"/>
        <v>0</v>
      </c>
      <c r="U85" s="27">
        <f t="shared" si="66"/>
        <v>0</v>
      </c>
      <c r="V85" s="27">
        <f t="shared" si="67"/>
        <v>0</v>
      </c>
      <c r="W85" s="27">
        <f t="shared" si="78"/>
        <v>0</v>
      </c>
      <c r="X85" s="27">
        <f t="shared" si="79"/>
        <v>0</v>
      </c>
      <c r="Y85" s="142">
        <f t="shared" si="68"/>
        <v>1.0000000000000011</v>
      </c>
      <c r="Z85" s="89">
        <f t="shared" si="80"/>
        <v>1.0000000000000011</v>
      </c>
      <c r="AB85" s="171">
        <f>(IF('Parameters &amp; DSA'!$H$1=1,(('Parameters &amp; DSA'!$B$79+'Parameters &amp; DSA'!$B$85+'Parameters &amp; DSA'!$B$89+'Parameters &amp; DSA'!$B$93)*K85)/(1+cDC)^$A85,(('Parameters &amp; DSA'!$B$79+'Parameters &amp; DSA'!$B$85)*K85)))*($AD$2/$AF$2)</f>
        <v>0</v>
      </c>
      <c r="AC85" s="371">
        <f>(IF('Parameters &amp; DSA'!$H$1=1,(('Parameters &amp; DSA'!$B$79+'Parameters &amp; DSA'!$B$85+'Parameters &amp; DSA'!$B$89+'Parameters &amp; DSA'!$B$93)*($M85+$N85))/(1+cDC)^$A85,(('Parameters &amp; DSA'!$B$79+'Parameters &amp; DSA'!$B$85)*($M85+$N85))))*($AD$2/$AF$2)</f>
        <v>0</v>
      </c>
      <c r="AD85" s="371">
        <f>(IF('Parameters &amp; DSA'!$H$1=1,(('Parameters &amp; DSA'!$B$79+'Parameters &amp; DSA'!$B$85+'Parameters &amp; DSA'!$B$89+'Parameters &amp; DSA'!$B$93)*(P85+Q85))/(1+cDC)^$A85,(('Parameters &amp; DSA'!$B$79+'Parameters &amp; DSA'!$B$85)*(P85+Q85))))*($AD$2/$AF$2)</f>
        <v>0</v>
      </c>
      <c r="AE85" s="371">
        <f>(IF('Parameters &amp; DSA'!$H$1=1,(('Parameters &amp; DSA'!$B$79+'Parameters &amp; DSA'!$B$85+'Parameters &amp; DSA'!$B$89+'Parameters &amp; DSA'!$B$93)*(S85+T85))/(1+cDC)^$A85,(('Parameters &amp; DSA'!$B$79+'Parameters &amp; DSA'!$B$85)*(S85+T85))))*($AD$2/$AF$2)</f>
        <v>0</v>
      </c>
      <c r="AF85" s="371">
        <f>(IF('Parameters &amp; DSA'!$H$1=1,(((W85-W84)*cM_Dialysis0)+(W85*cM_Dialysis1))/(1+'Parameters &amp; DSA'!$B$6)^$A85,(((W85-W84)*cM_Dialysis0)+(W85*cM_Dialysis1))))*($AD$2/$AG$2)</f>
        <v>0</v>
      </c>
      <c r="AG85" s="172">
        <f t="shared" si="69"/>
        <v>0</v>
      </c>
      <c r="AI85" s="88">
        <f t="shared" si="50"/>
        <v>0</v>
      </c>
      <c r="AJ85" s="27">
        <f t="shared" si="70"/>
        <v>0</v>
      </c>
      <c r="AK85" s="27">
        <f t="shared" si="51"/>
        <v>0</v>
      </c>
      <c r="AL85" s="27">
        <f t="shared" si="71"/>
        <v>0</v>
      </c>
      <c r="AM85" s="27">
        <f t="shared" si="52"/>
        <v>0</v>
      </c>
      <c r="AN85" s="27">
        <f t="shared" si="72"/>
        <v>0</v>
      </c>
      <c r="AO85" s="27">
        <f t="shared" si="53"/>
        <v>0</v>
      </c>
      <c r="AP85" s="27">
        <f t="shared" si="73"/>
        <v>0</v>
      </c>
      <c r="AQ85" s="27">
        <f t="shared" si="54"/>
        <v>0</v>
      </c>
      <c r="AR85" s="27">
        <f t="shared" si="74"/>
        <v>0</v>
      </c>
      <c r="AS85" s="27">
        <f t="shared" si="75"/>
        <v>0</v>
      </c>
      <c r="AT85" s="89">
        <f t="shared" si="76"/>
        <v>0</v>
      </c>
    </row>
    <row r="86" spans="1:46">
      <c r="A86" s="80">
        <v>82</v>
      </c>
      <c r="C86" s="10">
        <f t="shared" si="77"/>
        <v>124</v>
      </c>
      <c r="D86" s="98" t="str" cm="1">
        <f t="array" ref="D86">_xlfn.IFS(C86&lt;=4,"1-4",C86&lt;=9,"5-9",C86&lt;=14,"10-14",C86&lt;=19,"15-19",C86&lt;=24,"20-24",C86&lt;=29,"25-29",C86&lt;=34,"30-34",C86&lt;=39,"35-39",C86&lt;=44,"40-44",C86&lt;=49,"45-49",C86&lt;=54,"50-54",C86&lt;=54,"50-54",C86&lt;=59,"55-59",C86&lt;=64,"60-64",C86&lt;=69,"65-69",C86&lt;=74,"70-74",C86&lt;=79,"75-79",C86&lt;=84,"80-84",C86&gt;84,"85+")</f>
        <v>85+</v>
      </c>
      <c r="E86" s="83">
        <f>IF(D86="85+",1,VLOOKUP(D86,'Life table 2014'!$AF$3:$AR$21,7,FALSE))</f>
        <v>1</v>
      </c>
      <c r="F86" s="72"/>
      <c r="G86" s="316">
        <f t="shared" si="55"/>
        <v>29930</v>
      </c>
      <c r="H86" s="27">
        <f>'Parameters &amp; DSA'!$B$119*G86^'Parameters &amp; DSA'!$B$120</f>
        <v>3.8959099317428132</v>
      </c>
      <c r="I86" s="314">
        <f t="shared" si="81"/>
        <v>4.9763730938844675E-2</v>
      </c>
      <c r="J86" s="72"/>
      <c r="K86" s="140">
        <f t="shared" si="56"/>
        <v>0</v>
      </c>
      <c r="L86" s="141">
        <f t="shared" si="57"/>
        <v>0</v>
      </c>
      <c r="M86" s="141">
        <f t="shared" si="58"/>
        <v>0</v>
      </c>
      <c r="N86" s="27">
        <f t="shared" si="59"/>
        <v>0</v>
      </c>
      <c r="O86" s="27">
        <f t="shared" si="60"/>
        <v>0</v>
      </c>
      <c r="P86" s="27">
        <f t="shared" si="61"/>
        <v>0</v>
      </c>
      <c r="Q86" s="27">
        <f t="shared" si="62"/>
        <v>0</v>
      </c>
      <c r="R86" s="27">
        <f t="shared" si="63"/>
        <v>0</v>
      </c>
      <c r="S86" s="27">
        <f t="shared" si="64"/>
        <v>0</v>
      </c>
      <c r="T86" s="27">
        <f t="shared" si="65"/>
        <v>0</v>
      </c>
      <c r="U86" s="27">
        <f t="shared" si="66"/>
        <v>0</v>
      </c>
      <c r="V86" s="27">
        <f t="shared" si="67"/>
        <v>0</v>
      </c>
      <c r="W86" s="27">
        <f t="shared" si="78"/>
        <v>0</v>
      </c>
      <c r="X86" s="27">
        <f t="shared" si="79"/>
        <v>0</v>
      </c>
      <c r="Y86" s="142">
        <f t="shared" si="68"/>
        <v>1.0000000000000011</v>
      </c>
      <c r="Z86" s="89">
        <f t="shared" si="80"/>
        <v>1.0000000000000011</v>
      </c>
      <c r="AB86" s="171">
        <f>(IF('Parameters &amp; DSA'!$H$1=1,(('Parameters &amp; DSA'!$B$79+'Parameters &amp; DSA'!$B$85+'Parameters &amp; DSA'!$B$89+'Parameters &amp; DSA'!$B$93)*K86)/(1+cDC)^$A86,(('Parameters &amp; DSA'!$B$79+'Parameters &amp; DSA'!$B$85)*K86)))*($AD$2/$AF$2)</f>
        <v>0</v>
      </c>
      <c r="AC86" s="371">
        <f>(IF('Parameters &amp; DSA'!$H$1=1,(('Parameters &amp; DSA'!$B$79+'Parameters &amp; DSA'!$B$85+'Parameters &amp; DSA'!$B$89+'Parameters &amp; DSA'!$B$93)*($M86+$N86))/(1+cDC)^$A86,(('Parameters &amp; DSA'!$B$79+'Parameters &amp; DSA'!$B$85)*($M86+$N86))))*($AD$2/$AF$2)</f>
        <v>0</v>
      </c>
      <c r="AD86" s="371">
        <f>(IF('Parameters &amp; DSA'!$H$1=1,(('Parameters &amp; DSA'!$B$79+'Parameters &amp; DSA'!$B$85+'Parameters &amp; DSA'!$B$89+'Parameters &amp; DSA'!$B$93)*(P86+Q86))/(1+cDC)^$A86,(('Parameters &amp; DSA'!$B$79+'Parameters &amp; DSA'!$B$85)*(P86+Q86))))*($AD$2/$AF$2)</f>
        <v>0</v>
      </c>
      <c r="AE86" s="371">
        <f>(IF('Parameters &amp; DSA'!$H$1=1,(('Parameters &amp; DSA'!$B$79+'Parameters &amp; DSA'!$B$85+'Parameters &amp; DSA'!$B$89+'Parameters &amp; DSA'!$B$93)*(S86+T86))/(1+cDC)^$A86,(('Parameters &amp; DSA'!$B$79+'Parameters &amp; DSA'!$B$85)*(S86+T86))))*($AD$2/$AF$2)</f>
        <v>0</v>
      </c>
      <c r="AF86" s="371">
        <f>(IF('Parameters &amp; DSA'!$H$1=1,(((W86-W85)*cM_Dialysis0)+(W86*cM_Dialysis1))/(1+'Parameters &amp; DSA'!$B$6)^$A86,(((W86-W85)*cM_Dialysis0)+(W86*cM_Dialysis1))))*($AD$2/$AG$2)</f>
        <v>0</v>
      </c>
      <c r="AG86" s="172">
        <f t="shared" si="69"/>
        <v>0</v>
      </c>
      <c r="AI86" s="88">
        <f t="shared" si="50"/>
        <v>0</v>
      </c>
      <c r="AJ86" s="27">
        <f t="shared" si="70"/>
        <v>0</v>
      </c>
      <c r="AK86" s="27">
        <f t="shared" si="51"/>
        <v>0</v>
      </c>
      <c r="AL86" s="27">
        <f t="shared" si="71"/>
        <v>0</v>
      </c>
      <c r="AM86" s="27">
        <f t="shared" si="52"/>
        <v>0</v>
      </c>
      <c r="AN86" s="27">
        <f t="shared" si="72"/>
        <v>0</v>
      </c>
      <c r="AO86" s="27">
        <f t="shared" si="53"/>
        <v>0</v>
      </c>
      <c r="AP86" s="27">
        <f t="shared" si="73"/>
        <v>0</v>
      </c>
      <c r="AQ86" s="27">
        <f t="shared" si="54"/>
        <v>0</v>
      </c>
      <c r="AR86" s="27">
        <f t="shared" si="74"/>
        <v>0</v>
      </c>
      <c r="AS86" s="27">
        <f t="shared" si="75"/>
        <v>0</v>
      </c>
      <c r="AT86" s="89">
        <f t="shared" si="76"/>
        <v>0</v>
      </c>
    </row>
    <row r="87" spans="1:46">
      <c r="A87" s="80">
        <v>83</v>
      </c>
      <c r="C87" s="10">
        <f t="shared" si="77"/>
        <v>125</v>
      </c>
      <c r="D87" s="98" t="str" cm="1">
        <f t="array" ref="D87">_xlfn.IFS(C87&lt;=4,"1-4",C87&lt;=9,"5-9",C87&lt;=14,"10-14",C87&lt;=19,"15-19",C87&lt;=24,"20-24",C87&lt;=29,"25-29",C87&lt;=34,"30-34",C87&lt;=39,"35-39",C87&lt;=44,"40-44",C87&lt;=49,"45-49",C87&lt;=54,"50-54",C87&lt;=54,"50-54",C87&lt;=59,"55-59",C87&lt;=64,"60-64",C87&lt;=69,"65-69",C87&lt;=74,"70-74",C87&lt;=79,"75-79",C87&lt;=84,"80-84",C87&gt;84,"85+")</f>
        <v>85+</v>
      </c>
      <c r="E87" s="83">
        <f>IF(D87="85+",1,VLOOKUP(D87,'Life table 2014'!$AF$3:$AR$21,7,FALSE))</f>
        <v>1</v>
      </c>
      <c r="F87" s="72"/>
      <c r="G87" s="316">
        <f t="shared" si="55"/>
        <v>30295</v>
      </c>
      <c r="H87" s="27">
        <f>'Parameters &amp; DSA'!$B$119*G87^'Parameters &amp; DSA'!$B$120</f>
        <v>3.9470011783727803</v>
      </c>
      <c r="I87" s="314">
        <f t="shared" si="81"/>
        <v>4.9808035237923987E-2</v>
      </c>
      <c r="J87" s="72"/>
      <c r="K87" s="140">
        <f t="shared" si="56"/>
        <v>0</v>
      </c>
      <c r="L87" s="141">
        <f t="shared" si="57"/>
        <v>0</v>
      </c>
      <c r="M87" s="141">
        <f t="shared" si="58"/>
        <v>0</v>
      </c>
      <c r="N87" s="27">
        <f t="shared" si="59"/>
        <v>0</v>
      </c>
      <c r="O87" s="27">
        <f t="shared" si="60"/>
        <v>0</v>
      </c>
      <c r="P87" s="27">
        <f t="shared" si="61"/>
        <v>0</v>
      </c>
      <c r="Q87" s="27">
        <f t="shared" si="62"/>
        <v>0</v>
      </c>
      <c r="R87" s="27">
        <f t="shared" si="63"/>
        <v>0</v>
      </c>
      <c r="S87" s="27">
        <f t="shared" si="64"/>
        <v>0</v>
      </c>
      <c r="T87" s="27">
        <f t="shared" si="65"/>
        <v>0</v>
      </c>
      <c r="U87" s="27">
        <f t="shared" si="66"/>
        <v>0</v>
      </c>
      <c r="V87" s="27">
        <f t="shared" si="67"/>
        <v>0</v>
      </c>
      <c r="W87" s="27">
        <f t="shared" si="78"/>
        <v>0</v>
      </c>
      <c r="X87" s="27">
        <f t="shared" si="79"/>
        <v>0</v>
      </c>
      <c r="Y87" s="142">
        <f t="shared" si="68"/>
        <v>1.0000000000000011</v>
      </c>
      <c r="Z87" s="89">
        <f t="shared" si="80"/>
        <v>1.0000000000000011</v>
      </c>
      <c r="AB87" s="171">
        <f>(IF('Parameters &amp; DSA'!$H$1=1,(('Parameters &amp; DSA'!$B$79+'Parameters &amp; DSA'!$B$85+'Parameters &amp; DSA'!$B$89+'Parameters &amp; DSA'!$B$93)*K87)/(1+cDC)^$A87,(('Parameters &amp; DSA'!$B$79+'Parameters &amp; DSA'!$B$85)*K87)))*($AD$2/$AF$2)</f>
        <v>0</v>
      </c>
      <c r="AC87" s="371">
        <f>(IF('Parameters &amp; DSA'!$H$1=1,(('Parameters &amp; DSA'!$B$79+'Parameters &amp; DSA'!$B$85+'Parameters &amp; DSA'!$B$89+'Parameters &amp; DSA'!$B$93)*($M87+$N87))/(1+cDC)^$A87,(('Parameters &amp; DSA'!$B$79+'Parameters &amp; DSA'!$B$85)*($M87+$N87))))*($AD$2/$AF$2)</f>
        <v>0</v>
      </c>
      <c r="AD87" s="371">
        <f>(IF('Parameters &amp; DSA'!$H$1=1,(('Parameters &amp; DSA'!$B$79+'Parameters &amp; DSA'!$B$85+'Parameters &amp; DSA'!$B$89+'Parameters &amp; DSA'!$B$93)*(P87+Q87))/(1+cDC)^$A87,(('Parameters &amp; DSA'!$B$79+'Parameters &amp; DSA'!$B$85)*(P87+Q87))))*($AD$2/$AF$2)</f>
        <v>0</v>
      </c>
      <c r="AE87" s="371">
        <f>(IF('Parameters &amp; DSA'!$H$1=1,(('Parameters &amp; DSA'!$B$79+'Parameters &amp; DSA'!$B$85+'Parameters &amp; DSA'!$B$89+'Parameters &amp; DSA'!$B$93)*(S87+T87))/(1+cDC)^$A87,(('Parameters &amp; DSA'!$B$79+'Parameters &amp; DSA'!$B$85)*(S87+T87))))*($AD$2/$AF$2)</f>
        <v>0</v>
      </c>
      <c r="AF87" s="371">
        <f>(IF('Parameters &amp; DSA'!$H$1=1,(((W87-W86)*cM_Dialysis0)+(W87*cM_Dialysis1))/(1+'Parameters &amp; DSA'!$B$6)^$A87,(((W87-W86)*cM_Dialysis0)+(W87*cM_Dialysis1))))*($AD$2/$AG$2)</f>
        <v>0</v>
      </c>
      <c r="AG87" s="172">
        <f t="shared" si="69"/>
        <v>0</v>
      </c>
      <c r="AI87" s="88">
        <f t="shared" si="50"/>
        <v>0</v>
      </c>
      <c r="AJ87" s="27">
        <f t="shared" si="70"/>
        <v>0</v>
      </c>
      <c r="AK87" s="27">
        <f t="shared" si="51"/>
        <v>0</v>
      </c>
      <c r="AL87" s="27">
        <f t="shared" si="71"/>
        <v>0</v>
      </c>
      <c r="AM87" s="27">
        <f t="shared" si="52"/>
        <v>0</v>
      </c>
      <c r="AN87" s="27">
        <f t="shared" si="72"/>
        <v>0</v>
      </c>
      <c r="AO87" s="27">
        <f t="shared" si="53"/>
        <v>0</v>
      </c>
      <c r="AP87" s="27">
        <f t="shared" si="73"/>
        <v>0</v>
      </c>
      <c r="AQ87" s="27">
        <f t="shared" si="54"/>
        <v>0</v>
      </c>
      <c r="AR87" s="27">
        <f t="shared" si="74"/>
        <v>0</v>
      </c>
      <c r="AS87" s="27">
        <f t="shared" si="75"/>
        <v>0</v>
      </c>
      <c r="AT87" s="89">
        <f t="shared" si="76"/>
        <v>0</v>
      </c>
    </row>
    <row r="88" spans="1:46">
      <c r="A88" s="80">
        <v>84</v>
      </c>
      <c r="C88" s="10">
        <f t="shared" si="77"/>
        <v>126</v>
      </c>
      <c r="D88" s="98" t="str" cm="1">
        <f t="array" ref="D88">_xlfn.IFS(C88&lt;=4,"1-4",C88&lt;=9,"5-9",C88&lt;=14,"10-14",C88&lt;=19,"15-19",C88&lt;=24,"20-24",C88&lt;=29,"25-29",C88&lt;=34,"30-34",C88&lt;=39,"35-39",C88&lt;=44,"40-44",C88&lt;=49,"45-49",C88&lt;=54,"50-54",C88&lt;=54,"50-54",C88&lt;=59,"55-59",C88&lt;=64,"60-64",C88&lt;=69,"65-69",C88&lt;=74,"70-74",C88&lt;=79,"75-79",C88&lt;=84,"80-84",C88&gt;84,"85+")</f>
        <v>85+</v>
      </c>
      <c r="E88" s="83">
        <f>IF(D88="85+",1,VLOOKUP(D88,'Life table 2014'!$AF$3:$AR$21,7,FALSE))</f>
        <v>1</v>
      </c>
      <c r="F88" s="72"/>
      <c r="G88" s="316">
        <f t="shared" si="55"/>
        <v>30660</v>
      </c>
      <c r="H88" s="27">
        <f>'Parameters &amp; DSA'!$B$119*G88^'Parameters &amp; DSA'!$B$120</f>
        <v>3.998138530640146</v>
      </c>
      <c r="I88" s="314">
        <f t="shared" si="81"/>
        <v>4.9851843434200127E-2</v>
      </c>
      <c r="J88" s="72"/>
      <c r="K88" s="140">
        <f t="shared" si="56"/>
        <v>0</v>
      </c>
      <c r="L88" s="141">
        <f t="shared" si="57"/>
        <v>0</v>
      </c>
      <c r="M88" s="141">
        <f t="shared" si="58"/>
        <v>0</v>
      </c>
      <c r="N88" s="27">
        <f t="shared" si="59"/>
        <v>0</v>
      </c>
      <c r="O88" s="27">
        <f t="shared" si="60"/>
        <v>0</v>
      </c>
      <c r="P88" s="27">
        <f t="shared" si="61"/>
        <v>0</v>
      </c>
      <c r="Q88" s="27">
        <f t="shared" si="62"/>
        <v>0</v>
      </c>
      <c r="R88" s="27">
        <f t="shared" si="63"/>
        <v>0</v>
      </c>
      <c r="S88" s="27">
        <f t="shared" si="64"/>
        <v>0</v>
      </c>
      <c r="T88" s="27">
        <f t="shared" si="65"/>
        <v>0</v>
      </c>
      <c r="U88" s="27">
        <f t="shared" si="66"/>
        <v>0</v>
      </c>
      <c r="V88" s="27">
        <f t="shared" si="67"/>
        <v>0</v>
      </c>
      <c r="W88" s="27">
        <f t="shared" si="78"/>
        <v>0</v>
      </c>
      <c r="X88" s="27">
        <f t="shared" si="79"/>
        <v>0</v>
      </c>
      <c r="Y88" s="142">
        <f t="shared" si="68"/>
        <v>1.0000000000000011</v>
      </c>
      <c r="Z88" s="89">
        <f t="shared" si="80"/>
        <v>1.0000000000000011</v>
      </c>
      <c r="AB88" s="171">
        <f>(IF('Parameters &amp; DSA'!$H$1=1,(('Parameters &amp; DSA'!$B$79+'Parameters &amp; DSA'!$B$85+'Parameters &amp; DSA'!$B$89+'Parameters &amp; DSA'!$B$93)*K88)/(1+cDC)^$A88,(('Parameters &amp; DSA'!$B$79+'Parameters &amp; DSA'!$B$85)*K88)))*($AD$2/$AF$2)</f>
        <v>0</v>
      </c>
      <c r="AC88" s="371">
        <f>(IF('Parameters &amp; DSA'!$H$1=1,(('Parameters &amp; DSA'!$B$79+'Parameters &amp; DSA'!$B$85+'Parameters &amp; DSA'!$B$89+'Parameters &amp; DSA'!$B$93)*($M88+$N88))/(1+cDC)^$A88,(('Parameters &amp; DSA'!$B$79+'Parameters &amp; DSA'!$B$85)*($M88+$N88))))*($AD$2/$AF$2)</f>
        <v>0</v>
      </c>
      <c r="AD88" s="371">
        <f>(IF('Parameters &amp; DSA'!$H$1=1,(('Parameters &amp; DSA'!$B$79+'Parameters &amp; DSA'!$B$85+'Parameters &amp; DSA'!$B$89+'Parameters &amp; DSA'!$B$93)*(P88+Q88))/(1+cDC)^$A88,(('Parameters &amp; DSA'!$B$79+'Parameters &amp; DSA'!$B$85)*(P88+Q88))))*($AD$2/$AF$2)</f>
        <v>0</v>
      </c>
      <c r="AE88" s="371">
        <f>(IF('Parameters &amp; DSA'!$H$1=1,(('Parameters &amp; DSA'!$B$79+'Parameters &amp; DSA'!$B$85+'Parameters &amp; DSA'!$B$89+'Parameters &amp; DSA'!$B$93)*(S88+T88))/(1+cDC)^$A88,(('Parameters &amp; DSA'!$B$79+'Parameters &amp; DSA'!$B$85)*(S88+T88))))*($AD$2/$AF$2)</f>
        <v>0</v>
      </c>
      <c r="AF88" s="371">
        <f>(IF('Parameters &amp; DSA'!$H$1=1,(((W88-W87)*cM_Dialysis0)+(W88*cM_Dialysis1))/(1+'Parameters &amp; DSA'!$B$6)^$A88,(((W88-W87)*cM_Dialysis0)+(W88*cM_Dialysis1))))*($AD$2/$AG$2)</f>
        <v>0</v>
      </c>
      <c r="AG88" s="172">
        <f t="shared" si="69"/>
        <v>0</v>
      </c>
      <c r="AI88" s="88">
        <f t="shared" si="50"/>
        <v>0</v>
      </c>
      <c r="AJ88" s="27">
        <f t="shared" si="70"/>
        <v>0</v>
      </c>
      <c r="AK88" s="27">
        <f t="shared" si="51"/>
        <v>0</v>
      </c>
      <c r="AL88" s="27">
        <f t="shared" si="71"/>
        <v>0</v>
      </c>
      <c r="AM88" s="27">
        <f t="shared" si="52"/>
        <v>0</v>
      </c>
      <c r="AN88" s="27">
        <f t="shared" si="72"/>
        <v>0</v>
      </c>
      <c r="AO88" s="27">
        <f t="shared" si="53"/>
        <v>0</v>
      </c>
      <c r="AP88" s="27">
        <f t="shared" si="73"/>
        <v>0</v>
      </c>
      <c r="AQ88" s="27">
        <f t="shared" si="54"/>
        <v>0</v>
      </c>
      <c r="AR88" s="27">
        <f t="shared" si="74"/>
        <v>0</v>
      </c>
      <c r="AS88" s="27">
        <f t="shared" si="75"/>
        <v>0</v>
      </c>
      <c r="AT88" s="89">
        <f t="shared" si="76"/>
        <v>0</v>
      </c>
    </row>
    <row r="89" spans="1:46">
      <c r="A89" s="80">
        <v>85</v>
      </c>
      <c r="C89" s="10">
        <f t="shared" si="77"/>
        <v>127</v>
      </c>
      <c r="D89" s="98" t="str" cm="1">
        <f t="array" ref="D89">_xlfn.IFS(C89&lt;=4,"1-4",C89&lt;=9,"5-9",C89&lt;=14,"10-14",C89&lt;=19,"15-19",C89&lt;=24,"20-24",C89&lt;=29,"25-29",C89&lt;=34,"30-34",C89&lt;=39,"35-39",C89&lt;=44,"40-44",C89&lt;=49,"45-49",C89&lt;=54,"50-54",C89&lt;=54,"50-54",C89&lt;=59,"55-59",C89&lt;=64,"60-64",C89&lt;=69,"65-69",C89&lt;=74,"70-74",C89&lt;=79,"75-79",C89&lt;=84,"80-84",C89&gt;84,"85+")</f>
        <v>85+</v>
      </c>
      <c r="E89" s="83">
        <f>IF(D89="85+",1,VLOOKUP(D89,'Life table 2014'!$AF$3:$AR$21,7,FALSE))</f>
        <v>1</v>
      </c>
      <c r="F89" s="72"/>
      <c r="G89" s="316">
        <f t="shared" si="55"/>
        <v>31025</v>
      </c>
      <c r="H89" s="27">
        <f>'Parameters &amp; DSA'!$B$119*G89^'Parameters &amp; DSA'!$B$120</f>
        <v>4.0493214805094873</v>
      </c>
      <c r="I89" s="314">
        <f t="shared" si="81"/>
        <v>4.9895166923929923E-2</v>
      </c>
      <c r="J89" s="72"/>
      <c r="K89" s="140">
        <f t="shared" si="56"/>
        <v>0</v>
      </c>
      <c r="L89" s="141">
        <f t="shared" si="57"/>
        <v>0</v>
      </c>
      <c r="M89" s="141">
        <f t="shared" si="58"/>
        <v>0</v>
      </c>
      <c r="N89" s="27">
        <f t="shared" si="59"/>
        <v>0</v>
      </c>
      <c r="O89" s="27">
        <f t="shared" si="60"/>
        <v>0</v>
      </c>
      <c r="P89" s="27">
        <f t="shared" si="61"/>
        <v>0</v>
      </c>
      <c r="Q89" s="27">
        <f t="shared" si="62"/>
        <v>0</v>
      </c>
      <c r="R89" s="27">
        <f t="shared" si="63"/>
        <v>0</v>
      </c>
      <c r="S89" s="27">
        <f t="shared" si="64"/>
        <v>0</v>
      </c>
      <c r="T89" s="27">
        <f t="shared" si="65"/>
        <v>0</v>
      </c>
      <c r="U89" s="27">
        <f t="shared" si="66"/>
        <v>0</v>
      </c>
      <c r="V89" s="27">
        <f t="shared" si="67"/>
        <v>0</v>
      </c>
      <c r="W89" s="27">
        <f t="shared" si="78"/>
        <v>0</v>
      </c>
      <c r="X89" s="27">
        <f t="shared" si="79"/>
        <v>0</v>
      </c>
      <c r="Y89" s="142">
        <f t="shared" si="68"/>
        <v>1.0000000000000011</v>
      </c>
      <c r="Z89" s="89">
        <f t="shared" si="80"/>
        <v>1.0000000000000011</v>
      </c>
      <c r="AB89" s="171">
        <f>(IF('Parameters &amp; DSA'!$H$1=1,(('Parameters &amp; DSA'!$B$79+'Parameters &amp; DSA'!$B$85+'Parameters &amp; DSA'!$B$89+'Parameters &amp; DSA'!$B$93)*K89)/(1+cDC)^$A89,(('Parameters &amp; DSA'!$B$79+'Parameters &amp; DSA'!$B$85)*K89)))*($AD$2/$AF$2)</f>
        <v>0</v>
      </c>
      <c r="AC89" s="371">
        <f>(IF('Parameters &amp; DSA'!$H$1=1,(('Parameters &amp; DSA'!$B$79+'Parameters &amp; DSA'!$B$85+'Parameters &amp; DSA'!$B$89+'Parameters &amp; DSA'!$B$93)*($M89+$N89))/(1+cDC)^$A89,(('Parameters &amp; DSA'!$B$79+'Parameters &amp; DSA'!$B$85)*($M89+$N89))))*($AD$2/$AF$2)</f>
        <v>0</v>
      </c>
      <c r="AD89" s="371">
        <f>(IF('Parameters &amp; DSA'!$H$1=1,(('Parameters &amp; DSA'!$B$79+'Parameters &amp; DSA'!$B$85+'Parameters &amp; DSA'!$B$89+'Parameters &amp; DSA'!$B$93)*(P89+Q89))/(1+cDC)^$A89,(('Parameters &amp; DSA'!$B$79+'Parameters &amp; DSA'!$B$85)*(P89+Q89))))*($AD$2/$AF$2)</f>
        <v>0</v>
      </c>
      <c r="AE89" s="371">
        <f>(IF('Parameters &amp; DSA'!$H$1=1,(('Parameters &amp; DSA'!$B$79+'Parameters &amp; DSA'!$B$85+'Parameters &amp; DSA'!$B$89+'Parameters &amp; DSA'!$B$93)*(S89+T89))/(1+cDC)^$A89,(('Parameters &amp; DSA'!$B$79+'Parameters &amp; DSA'!$B$85)*(S89+T89))))*($AD$2/$AF$2)</f>
        <v>0</v>
      </c>
      <c r="AF89" s="371">
        <f>(IF('Parameters &amp; DSA'!$H$1=1,(((W89-W88)*cM_Dialysis0)+(W89*cM_Dialysis1))/(1+'Parameters &amp; DSA'!$B$6)^$A89,(((W89-W88)*cM_Dialysis0)+(W89*cM_Dialysis1))))*($AD$2/$AG$2)</f>
        <v>0</v>
      </c>
      <c r="AG89" s="172">
        <f t="shared" si="69"/>
        <v>0</v>
      </c>
      <c r="AI89" s="88">
        <f t="shared" si="50"/>
        <v>0</v>
      </c>
      <c r="AJ89" s="27">
        <f t="shared" si="70"/>
        <v>0</v>
      </c>
      <c r="AK89" s="27">
        <f t="shared" si="51"/>
        <v>0</v>
      </c>
      <c r="AL89" s="27">
        <f t="shared" si="71"/>
        <v>0</v>
      </c>
      <c r="AM89" s="27">
        <f t="shared" si="52"/>
        <v>0</v>
      </c>
      <c r="AN89" s="27">
        <f t="shared" si="72"/>
        <v>0</v>
      </c>
      <c r="AO89" s="27">
        <f t="shared" si="53"/>
        <v>0</v>
      </c>
      <c r="AP89" s="27">
        <f t="shared" si="73"/>
        <v>0</v>
      </c>
      <c r="AQ89" s="27">
        <f t="shared" si="54"/>
        <v>0</v>
      </c>
      <c r="AR89" s="27">
        <f t="shared" si="74"/>
        <v>0</v>
      </c>
      <c r="AS89" s="27">
        <f t="shared" si="75"/>
        <v>0</v>
      </c>
      <c r="AT89" s="89">
        <f t="shared" si="76"/>
        <v>0</v>
      </c>
    </row>
    <row r="90" spans="1:46">
      <c r="A90" s="80">
        <v>86</v>
      </c>
      <c r="C90" s="10">
        <f t="shared" si="77"/>
        <v>128</v>
      </c>
      <c r="D90" s="98" t="str" cm="1">
        <f t="array" ref="D90">_xlfn.IFS(C90&lt;=4,"1-4",C90&lt;=9,"5-9",C90&lt;=14,"10-14",C90&lt;=19,"15-19",C90&lt;=24,"20-24",C90&lt;=29,"25-29",C90&lt;=34,"30-34",C90&lt;=39,"35-39",C90&lt;=44,"40-44",C90&lt;=49,"45-49",C90&lt;=54,"50-54",C90&lt;=54,"50-54",C90&lt;=59,"55-59",C90&lt;=64,"60-64",C90&lt;=69,"65-69",C90&lt;=74,"70-74",C90&lt;=79,"75-79",C90&lt;=84,"80-84",C90&gt;84,"85+")</f>
        <v>85+</v>
      </c>
      <c r="E90" s="83">
        <f>IF(D90="85+",1,VLOOKUP(D90,'Life table 2014'!$AF$3:$AR$21,7,FALSE))</f>
        <v>1</v>
      </c>
      <c r="F90" s="72"/>
      <c r="G90" s="316">
        <f t="shared" si="55"/>
        <v>31390</v>
      </c>
      <c r="H90" s="27">
        <f>'Parameters &amp; DSA'!$B$119*G90^'Parameters &amp; DSA'!$B$120</f>
        <v>4.1005495314575944</v>
      </c>
      <c r="I90" s="314">
        <f t="shared" si="81"/>
        <v>4.9938016710549205E-2</v>
      </c>
      <c r="J90" s="72"/>
      <c r="K90" s="140">
        <f t="shared" si="56"/>
        <v>0</v>
      </c>
      <c r="L90" s="141">
        <f t="shared" si="57"/>
        <v>0</v>
      </c>
      <c r="M90" s="141">
        <f t="shared" si="58"/>
        <v>0</v>
      </c>
      <c r="N90" s="27">
        <f t="shared" si="59"/>
        <v>0</v>
      </c>
      <c r="O90" s="27">
        <f t="shared" si="60"/>
        <v>0</v>
      </c>
      <c r="P90" s="27">
        <f t="shared" si="61"/>
        <v>0</v>
      </c>
      <c r="Q90" s="27">
        <f t="shared" si="62"/>
        <v>0</v>
      </c>
      <c r="R90" s="27">
        <f t="shared" si="63"/>
        <v>0</v>
      </c>
      <c r="S90" s="27">
        <f t="shared" si="64"/>
        <v>0</v>
      </c>
      <c r="T90" s="27">
        <f t="shared" si="65"/>
        <v>0</v>
      </c>
      <c r="U90" s="27">
        <f t="shared" si="66"/>
        <v>0</v>
      </c>
      <c r="V90" s="27">
        <f t="shared" si="67"/>
        <v>0</v>
      </c>
      <c r="W90" s="27">
        <f t="shared" si="78"/>
        <v>0</v>
      </c>
      <c r="X90" s="27">
        <f t="shared" si="79"/>
        <v>0</v>
      </c>
      <c r="Y90" s="142">
        <f t="shared" si="68"/>
        <v>1.0000000000000011</v>
      </c>
      <c r="Z90" s="89">
        <f t="shared" si="80"/>
        <v>1.0000000000000011</v>
      </c>
      <c r="AB90" s="171">
        <f>(IF('Parameters &amp; DSA'!$H$1=1,(('Parameters &amp; DSA'!$B$79+'Parameters &amp; DSA'!$B$85+'Parameters &amp; DSA'!$B$89+'Parameters &amp; DSA'!$B$93)*K90)/(1+cDC)^$A90,(('Parameters &amp; DSA'!$B$79+'Parameters &amp; DSA'!$B$85)*K90)))*($AD$2/$AF$2)</f>
        <v>0</v>
      </c>
      <c r="AC90" s="371">
        <f>(IF('Parameters &amp; DSA'!$H$1=1,(('Parameters &amp; DSA'!$B$79+'Parameters &amp; DSA'!$B$85+'Parameters &amp; DSA'!$B$89+'Parameters &amp; DSA'!$B$93)*($M90+$N90))/(1+cDC)^$A90,(('Parameters &amp; DSA'!$B$79+'Parameters &amp; DSA'!$B$85)*($M90+$N90))))*($AD$2/$AF$2)</f>
        <v>0</v>
      </c>
      <c r="AD90" s="371">
        <f>(IF('Parameters &amp; DSA'!$H$1=1,(('Parameters &amp; DSA'!$B$79+'Parameters &amp; DSA'!$B$85+'Parameters &amp; DSA'!$B$89+'Parameters &amp; DSA'!$B$93)*(P90+Q90))/(1+cDC)^$A90,(('Parameters &amp; DSA'!$B$79+'Parameters &amp; DSA'!$B$85)*(P90+Q90))))*($AD$2/$AF$2)</f>
        <v>0</v>
      </c>
      <c r="AE90" s="371">
        <f>(IF('Parameters &amp; DSA'!$H$1=1,(('Parameters &amp; DSA'!$B$79+'Parameters &amp; DSA'!$B$85+'Parameters &amp; DSA'!$B$89+'Parameters &amp; DSA'!$B$93)*(S90+T90))/(1+cDC)^$A90,(('Parameters &amp; DSA'!$B$79+'Parameters &amp; DSA'!$B$85)*(S90+T90))))*($AD$2/$AF$2)</f>
        <v>0</v>
      </c>
      <c r="AF90" s="371">
        <f>(IF('Parameters &amp; DSA'!$H$1=1,(((W90-W89)*cM_Dialysis0)+(W90*cM_Dialysis1))/(1+'Parameters &amp; DSA'!$B$6)^$A90,(((W90-W89)*cM_Dialysis0)+(W90*cM_Dialysis1))))*($AD$2/$AG$2)</f>
        <v>0</v>
      </c>
      <c r="AG90" s="172">
        <f t="shared" si="69"/>
        <v>0</v>
      </c>
      <c r="AI90" s="88">
        <f t="shared" si="50"/>
        <v>0</v>
      </c>
      <c r="AJ90" s="27">
        <f t="shared" si="70"/>
        <v>0</v>
      </c>
      <c r="AK90" s="27">
        <f t="shared" si="51"/>
        <v>0</v>
      </c>
      <c r="AL90" s="27">
        <f t="shared" si="71"/>
        <v>0</v>
      </c>
      <c r="AM90" s="27">
        <f t="shared" si="52"/>
        <v>0</v>
      </c>
      <c r="AN90" s="27">
        <f t="shared" si="72"/>
        <v>0</v>
      </c>
      <c r="AO90" s="27">
        <f t="shared" si="53"/>
        <v>0</v>
      </c>
      <c r="AP90" s="27">
        <f t="shared" si="73"/>
        <v>0</v>
      </c>
      <c r="AQ90" s="27">
        <f t="shared" si="54"/>
        <v>0</v>
      </c>
      <c r="AR90" s="27">
        <f t="shared" si="74"/>
        <v>0</v>
      </c>
      <c r="AS90" s="27">
        <f t="shared" si="75"/>
        <v>0</v>
      </c>
      <c r="AT90" s="89">
        <f t="shared" si="76"/>
        <v>0</v>
      </c>
    </row>
    <row r="91" spans="1:46">
      <c r="A91" s="80">
        <v>87</v>
      </c>
      <c r="C91" s="10">
        <f t="shared" si="77"/>
        <v>129</v>
      </c>
      <c r="D91" s="98" t="str" cm="1">
        <f t="array" ref="D91">_xlfn.IFS(C91&lt;=4,"1-4",C91&lt;=9,"5-9",C91&lt;=14,"10-14",C91&lt;=19,"15-19",C91&lt;=24,"20-24",C91&lt;=29,"25-29",C91&lt;=34,"30-34",C91&lt;=39,"35-39",C91&lt;=44,"40-44",C91&lt;=49,"45-49",C91&lt;=54,"50-54",C91&lt;=54,"50-54",C91&lt;=59,"55-59",C91&lt;=64,"60-64",C91&lt;=69,"65-69",C91&lt;=74,"70-74",C91&lt;=79,"75-79",C91&lt;=84,"80-84",C91&gt;84,"85+")</f>
        <v>85+</v>
      </c>
      <c r="E91" s="83">
        <f>IF(D91="85+",1,VLOOKUP(D91,'Life table 2014'!$AF$3:$AR$21,7,FALSE))</f>
        <v>1</v>
      </c>
      <c r="F91" s="72"/>
      <c r="G91" s="316">
        <f t="shared" si="55"/>
        <v>31755</v>
      </c>
      <c r="H91" s="27">
        <f>'Parameters &amp; DSA'!$B$119*G91^'Parameters &amp; DSA'!$B$120</f>
        <v>4.1518221980816685</v>
      </c>
      <c r="I91" s="314">
        <f t="shared" si="81"/>
        <v>4.9980403422581365E-2</v>
      </c>
      <c r="J91" s="72"/>
      <c r="K91" s="140">
        <f t="shared" si="56"/>
        <v>0</v>
      </c>
      <c r="L91" s="141">
        <f t="shared" si="57"/>
        <v>0</v>
      </c>
      <c r="M91" s="141">
        <f t="shared" si="58"/>
        <v>0</v>
      </c>
      <c r="N91" s="27">
        <f t="shared" si="59"/>
        <v>0</v>
      </c>
      <c r="O91" s="27">
        <f t="shared" si="60"/>
        <v>0</v>
      </c>
      <c r="P91" s="27">
        <f t="shared" si="61"/>
        <v>0</v>
      </c>
      <c r="Q91" s="27">
        <f t="shared" si="62"/>
        <v>0</v>
      </c>
      <c r="R91" s="27">
        <f t="shared" si="63"/>
        <v>0</v>
      </c>
      <c r="S91" s="27">
        <f t="shared" si="64"/>
        <v>0</v>
      </c>
      <c r="T91" s="27">
        <f t="shared" si="65"/>
        <v>0</v>
      </c>
      <c r="U91" s="27">
        <f t="shared" si="66"/>
        <v>0</v>
      </c>
      <c r="V91" s="27">
        <f t="shared" si="67"/>
        <v>0</v>
      </c>
      <c r="W91" s="27">
        <f t="shared" si="78"/>
        <v>0</v>
      </c>
      <c r="X91" s="27">
        <f t="shared" si="79"/>
        <v>0</v>
      </c>
      <c r="Y91" s="142">
        <f t="shared" si="68"/>
        <v>1.0000000000000011</v>
      </c>
      <c r="Z91" s="89">
        <f t="shared" si="80"/>
        <v>1.0000000000000011</v>
      </c>
      <c r="AB91" s="171">
        <f>(IF('Parameters &amp; DSA'!$H$1=1,(('Parameters &amp; DSA'!$B$79+'Parameters &amp; DSA'!$B$85+'Parameters &amp; DSA'!$B$89+'Parameters &amp; DSA'!$B$93)*K91)/(1+cDC)^$A91,(('Parameters &amp; DSA'!$B$79+'Parameters &amp; DSA'!$B$85)*K91)))*($AD$2/$AF$2)</f>
        <v>0</v>
      </c>
      <c r="AC91" s="371">
        <f>(IF('Parameters &amp; DSA'!$H$1=1,(('Parameters &amp; DSA'!$B$79+'Parameters &amp; DSA'!$B$85+'Parameters &amp; DSA'!$B$89+'Parameters &amp; DSA'!$B$93)*($M91+$N91))/(1+cDC)^$A91,(('Parameters &amp; DSA'!$B$79+'Parameters &amp; DSA'!$B$85)*($M91+$N91))))*($AD$2/$AF$2)</f>
        <v>0</v>
      </c>
      <c r="AD91" s="371">
        <f>(IF('Parameters &amp; DSA'!$H$1=1,(('Parameters &amp; DSA'!$B$79+'Parameters &amp; DSA'!$B$85+'Parameters &amp; DSA'!$B$89+'Parameters &amp; DSA'!$B$93)*(P91+Q91))/(1+cDC)^$A91,(('Parameters &amp; DSA'!$B$79+'Parameters &amp; DSA'!$B$85)*(P91+Q91))))*($AD$2/$AF$2)</f>
        <v>0</v>
      </c>
      <c r="AE91" s="371">
        <f>(IF('Parameters &amp; DSA'!$H$1=1,(('Parameters &amp; DSA'!$B$79+'Parameters &amp; DSA'!$B$85+'Parameters &amp; DSA'!$B$89+'Parameters &amp; DSA'!$B$93)*(S91+T91))/(1+cDC)^$A91,(('Parameters &amp; DSA'!$B$79+'Parameters &amp; DSA'!$B$85)*(S91+T91))))*($AD$2/$AF$2)</f>
        <v>0</v>
      </c>
      <c r="AF91" s="371">
        <f>(IF('Parameters &amp; DSA'!$H$1=1,(((W91-W90)*cM_Dialysis0)+(W91*cM_Dialysis1))/(1+'Parameters &amp; DSA'!$B$6)^$A91,(((W91-W90)*cM_Dialysis0)+(W91*cM_Dialysis1))))*($AD$2/$AG$2)</f>
        <v>0</v>
      </c>
      <c r="AG91" s="172">
        <f t="shared" si="69"/>
        <v>0</v>
      </c>
      <c r="AI91" s="88">
        <f t="shared" si="50"/>
        <v>0</v>
      </c>
      <c r="AJ91" s="27">
        <f t="shared" si="70"/>
        <v>0</v>
      </c>
      <c r="AK91" s="27">
        <f t="shared" si="51"/>
        <v>0</v>
      </c>
      <c r="AL91" s="27">
        <f t="shared" si="71"/>
        <v>0</v>
      </c>
      <c r="AM91" s="27">
        <f t="shared" si="52"/>
        <v>0</v>
      </c>
      <c r="AN91" s="27">
        <f t="shared" si="72"/>
        <v>0</v>
      </c>
      <c r="AO91" s="27">
        <f t="shared" si="53"/>
        <v>0</v>
      </c>
      <c r="AP91" s="27">
        <f t="shared" si="73"/>
        <v>0</v>
      </c>
      <c r="AQ91" s="27">
        <f t="shared" si="54"/>
        <v>0</v>
      </c>
      <c r="AR91" s="27">
        <f t="shared" si="74"/>
        <v>0</v>
      </c>
      <c r="AS91" s="27">
        <f t="shared" si="75"/>
        <v>0</v>
      </c>
      <c r="AT91" s="89">
        <f t="shared" si="76"/>
        <v>0</v>
      </c>
    </row>
    <row r="92" spans="1:46">
      <c r="A92" s="80">
        <v>88</v>
      </c>
      <c r="C92" s="10">
        <f t="shared" si="77"/>
        <v>130</v>
      </c>
      <c r="D92" s="98" t="str" cm="1">
        <f t="array" ref="D92">_xlfn.IFS(C92&lt;=4,"1-4",C92&lt;=9,"5-9",C92&lt;=14,"10-14",C92&lt;=19,"15-19",C92&lt;=24,"20-24",C92&lt;=29,"25-29",C92&lt;=34,"30-34",C92&lt;=39,"35-39",C92&lt;=44,"40-44",C92&lt;=49,"45-49",C92&lt;=54,"50-54",C92&lt;=54,"50-54",C92&lt;=59,"55-59",C92&lt;=64,"60-64",C92&lt;=69,"65-69",C92&lt;=74,"70-74",C92&lt;=79,"75-79",C92&lt;=84,"80-84",C92&gt;84,"85+")</f>
        <v>85+</v>
      </c>
      <c r="E92" s="83">
        <f>IF(D92="85+",1,VLOOKUP(D92,'Life table 2014'!$AF$3:$AR$21,7,FALSE))</f>
        <v>1</v>
      </c>
      <c r="F92" s="72"/>
      <c r="G92" s="316">
        <f t="shared" si="55"/>
        <v>32120</v>
      </c>
      <c r="H92" s="27">
        <f>'Parameters &amp; DSA'!$B$119*G92^'Parameters &amp; DSA'!$B$120</f>
        <v>4.203139005725248</v>
      </c>
      <c r="I92" s="314">
        <f t="shared" si="81"/>
        <v>5.0022337330614786E-2</v>
      </c>
      <c r="J92" s="72"/>
      <c r="K92" s="140">
        <f t="shared" si="56"/>
        <v>0</v>
      </c>
      <c r="L92" s="141">
        <f t="shared" si="57"/>
        <v>0</v>
      </c>
      <c r="M92" s="141">
        <f t="shared" si="58"/>
        <v>0</v>
      </c>
      <c r="N92" s="27">
        <f t="shared" si="59"/>
        <v>0</v>
      </c>
      <c r="O92" s="27">
        <f t="shared" si="60"/>
        <v>0</v>
      </c>
      <c r="P92" s="27">
        <f t="shared" si="61"/>
        <v>0</v>
      </c>
      <c r="Q92" s="27">
        <f t="shared" si="62"/>
        <v>0</v>
      </c>
      <c r="R92" s="27">
        <f t="shared" si="63"/>
        <v>0</v>
      </c>
      <c r="S92" s="27">
        <f t="shared" si="64"/>
        <v>0</v>
      </c>
      <c r="T92" s="27">
        <f t="shared" si="65"/>
        <v>0</v>
      </c>
      <c r="U92" s="27">
        <f t="shared" si="66"/>
        <v>0</v>
      </c>
      <c r="V92" s="27">
        <f t="shared" si="67"/>
        <v>0</v>
      </c>
      <c r="W92" s="27">
        <f t="shared" si="78"/>
        <v>0</v>
      </c>
      <c r="X92" s="27">
        <f t="shared" si="79"/>
        <v>0</v>
      </c>
      <c r="Y92" s="142">
        <f t="shared" si="68"/>
        <v>1.0000000000000011</v>
      </c>
      <c r="Z92" s="89">
        <f t="shared" si="80"/>
        <v>1.0000000000000011</v>
      </c>
      <c r="AB92" s="171">
        <f>(IF('Parameters &amp; DSA'!$H$1=1,(('Parameters &amp; DSA'!$B$79+'Parameters &amp; DSA'!$B$85+'Parameters &amp; DSA'!$B$89+'Parameters &amp; DSA'!$B$93)*K92)/(1+cDC)^$A92,(('Parameters &amp; DSA'!$B$79+'Parameters &amp; DSA'!$B$85)*K92)))*($AD$2/$AF$2)</f>
        <v>0</v>
      </c>
      <c r="AC92" s="371">
        <f>(IF('Parameters &amp; DSA'!$H$1=1,(('Parameters &amp; DSA'!$B$79+'Parameters &amp; DSA'!$B$85+'Parameters &amp; DSA'!$B$89+'Parameters &amp; DSA'!$B$93)*($M92+$N92))/(1+cDC)^$A92,(('Parameters &amp; DSA'!$B$79+'Parameters &amp; DSA'!$B$85)*($M92+$N92))))*($AD$2/$AF$2)</f>
        <v>0</v>
      </c>
      <c r="AD92" s="371">
        <f>(IF('Parameters &amp; DSA'!$H$1=1,(('Parameters &amp; DSA'!$B$79+'Parameters &amp; DSA'!$B$85+'Parameters &amp; DSA'!$B$89+'Parameters &amp; DSA'!$B$93)*(P92+Q92))/(1+cDC)^$A92,(('Parameters &amp; DSA'!$B$79+'Parameters &amp; DSA'!$B$85)*(P92+Q92))))*($AD$2/$AF$2)</f>
        <v>0</v>
      </c>
      <c r="AE92" s="371">
        <f>(IF('Parameters &amp; DSA'!$H$1=1,(('Parameters &amp; DSA'!$B$79+'Parameters &amp; DSA'!$B$85+'Parameters &amp; DSA'!$B$89+'Parameters &amp; DSA'!$B$93)*(S92+T92))/(1+cDC)^$A92,(('Parameters &amp; DSA'!$B$79+'Parameters &amp; DSA'!$B$85)*(S92+T92))))*($AD$2/$AF$2)</f>
        <v>0</v>
      </c>
      <c r="AF92" s="371">
        <f>(IF('Parameters &amp; DSA'!$H$1=1,(((W92-W91)*cM_Dialysis0)+(W92*cM_Dialysis1))/(1+'Parameters &amp; DSA'!$B$6)^$A92,(((W92-W91)*cM_Dialysis0)+(W92*cM_Dialysis1))))*($AD$2/$AG$2)</f>
        <v>0</v>
      </c>
      <c r="AG92" s="172">
        <f t="shared" si="69"/>
        <v>0</v>
      </c>
      <c r="AI92" s="88">
        <f t="shared" si="50"/>
        <v>0</v>
      </c>
      <c r="AJ92" s="27">
        <f t="shared" si="70"/>
        <v>0</v>
      </c>
      <c r="AK92" s="27">
        <f t="shared" si="51"/>
        <v>0</v>
      </c>
      <c r="AL92" s="27">
        <f t="shared" si="71"/>
        <v>0</v>
      </c>
      <c r="AM92" s="27">
        <f t="shared" si="52"/>
        <v>0</v>
      </c>
      <c r="AN92" s="27">
        <f t="shared" si="72"/>
        <v>0</v>
      </c>
      <c r="AO92" s="27">
        <f t="shared" si="53"/>
        <v>0</v>
      </c>
      <c r="AP92" s="27">
        <f t="shared" si="73"/>
        <v>0</v>
      </c>
      <c r="AQ92" s="27">
        <f t="shared" si="54"/>
        <v>0</v>
      </c>
      <c r="AR92" s="27">
        <f t="shared" si="74"/>
        <v>0</v>
      </c>
      <c r="AS92" s="27">
        <f t="shared" si="75"/>
        <v>0</v>
      </c>
      <c r="AT92" s="89">
        <f t="shared" si="76"/>
        <v>0</v>
      </c>
    </row>
    <row r="93" spans="1:46">
      <c r="A93" s="80">
        <v>89</v>
      </c>
      <c r="C93" s="10">
        <f t="shared" si="77"/>
        <v>131</v>
      </c>
      <c r="D93" s="98" t="str" cm="1">
        <f t="array" ref="D93">_xlfn.IFS(C93&lt;=4,"1-4",C93&lt;=9,"5-9",C93&lt;=14,"10-14",C93&lt;=19,"15-19",C93&lt;=24,"20-24",C93&lt;=29,"25-29",C93&lt;=34,"30-34",C93&lt;=39,"35-39",C93&lt;=44,"40-44",C93&lt;=49,"45-49",C93&lt;=54,"50-54",C93&lt;=54,"50-54",C93&lt;=59,"55-59",C93&lt;=64,"60-64",C93&lt;=69,"65-69",C93&lt;=74,"70-74",C93&lt;=79,"75-79",C93&lt;=84,"80-84",C93&gt;84,"85+")</f>
        <v>85+</v>
      </c>
      <c r="E93" s="83">
        <f>IF(D93="85+",1,VLOOKUP(D93,'Life table 2014'!$AF$3:$AR$21,7,FALSE))</f>
        <v>1</v>
      </c>
      <c r="F93" s="72"/>
      <c r="G93" s="316">
        <f t="shared" si="55"/>
        <v>32485</v>
      </c>
      <c r="H93" s="27">
        <f>'Parameters &amp; DSA'!$B$119*G93^'Parameters &amp; DSA'!$B$120</f>
        <v>4.2544994901208497</v>
      </c>
      <c r="I93" s="314">
        <f t="shared" si="81"/>
        <v>5.006382836331047E-2</v>
      </c>
      <c r="J93" s="72"/>
      <c r="K93" s="140">
        <f t="shared" si="56"/>
        <v>0</v>
      </c>
      <c r="L93" s="141">
        <f t="shared" si="57"/>
        <v>0</v>
      </c>
      <c r="M93" s="141">
        <f t="shared" si="58"/>
        <v>0</v>
      </c>
      <c r="N93" s="27">
        <f t="shared" si="59"/>
        <v>0</v>
      </c>
      <c r="O93" s="27">
        <f t="shared" si="60"/>
        <v>0</v>
      </c>
      <c r="P93" s="27">
        <f t="shared" si="61"/>
        <v>0</v>
      </c>
      <c r="Q93" s="27">
        <f t="shared" si="62"/>
        <v>0</v>
      </c>
      <c r="R93" s="27">
        <f t="shared" si="63"/>
        <v>0</v>
      </c>
      <c r="S93" s="27">
        <f t="shared" si="64"/>
        <v>0</v>
      </c>
      <c r="T93" s="27">
        <f t="shared" si="65"/>
        <v>0</v>
      </c>
      <c r="U93" s="27">
        <f t="shared" si="66"/>
        <v>0</v>
      </c>
      <c r="V93" s="27">
        <f t="shared" si="67"/>
        <v>0</v>
      </c>
      <c r="W93" s="27">
        <f t="shared" si="78"/>
        <v>0</v>
      </c>
      <c r="X93" s="27">
        <f t="shared" si="79"/>
        <v>0</v>
      </c>
      <c r="Y93" s="142">
        <f t="shared" si="68"/>
        <v>1.0000000000000011</v>
      </c>
      <c r="Z93" s="89">
        <f t="shared" si="80"/>
        <v>1.0000000000000011</v>
      </c>
      <c r="AB93" s="171">
        <f>(IF('Parameters &amp; DSA'!$H$1=1,(('Parameters &amp; DSA'!$B$79+'Parameters &amp; DSA'!$B$85+'Parameters &amp; DSA'!$B$89+'Parameters &amp; DSA'!$B$93)*K93)/(1+cDC)^$A93,(('Parameters &amp; DSA'!$B$79+'Parameters &amp; DSA'!$B$85)*K93)))*($AD$2/$AF$2)</f>
        <v>0</v>
      </c>
      <c r="AC93" s="371">
        <f>(IF('Parameters &amp; DSA'!$H$1=1,(('Parameters &amp; DSA'!$B$79+'Parameters &amp; DSA'!$B$85+'Parameters &amp; DSA'!$B$89+'Parameters &amp; DSA'!$B$93)*($M93+$N93))/(1+cDC)^$A93,(('Parameters &amp; DSA'!$B$79+'Parameters &amp; DSA'!$B$85)*($M93+$N93))))*($AD$2/$AF$2)</f>
        <v>0</v>
      </c>
      <c r="AD93" s="371">
        <f>(IF('Parameters &amp; DSA'!$H$1=1,(('Parameters &amp; DSA'!$B$79+'Parameters &amp; DSA'!$B$85+'Parameters &amp; DSA'!$B$89+'Parameters &amp; DSA'!$B$93)*(P93+Q93))/(1+cDC)^$A93,(('Parameters &amp; DSA'!$B$79+'Parameters &amp; DSA'!$B$85)*(P93+Q93))))*($AD$2/$AF$2)</f>
        <v>0</v>
      </c>
      <c r="AE93" s="371">
        <f>(IF('Parameters &amp; DSA'!$H$1=1,(('Parameters &amp; DSA'!$B$79+'Parameters &amp; DSA'!$B$85+'Parameters &amp; DSA'!$B$89+'Parameters &amp; DSA'!$B$93)*(S93+T93))/(1+cDC)^$A93,(('Parameters &amp; DSA'!$B$79+'Parameters &amp; DSA'!$B$85)*(S93+T93))))*($AD$2/$AF$2)</f>
        <v>0</v>
      </c>
      <c r="AF93" s="371">
        <f>(IF('Parameters &amp; DSA'!$H$1=1,(((W93-W92)*cM_Dialysis0)+(W93*cM_Dialysis1))/(1+'Parameters &amp; DSA'!$B$6)^$A93,(((W93-W92)*cM_Dialysis0)+(W93*cM_Dialysis1))))*($AD$2/$AG$2)</f>
        <v>0</v>
      </c>
      <c r="AG93" s="172">
        <f t="shared" si="69"/>
        <v>0</v>
      </c>
      <c r="AI93" s="88">
        <f t="shared" si="50"/>
        <v>0</v>
      </c>
      <c r="AJ93" s="27">
        <f t="shared" si="70"/>
        <v>0</v>
      </c>
      <c r="AK93" s="27">
        <f t="shared" si="51"/>
        <v>0</v>
      </c>
      <c r="AL93" s="27">
        <f t="shared" si="71"/>
        <v>0</v>
      </c>
      <c r="AM93" s="27">
        <f t="shared" si="52"/>
        <v>0</v>
      </c>
      <c r="AN93" s="27">
        <f t="shared" si="72"/>
        <v>0</v>
      </c>
      <c r="AO93" s="27">
        <f t="shared" si="53"/>
        <v>0</v>
      </c>
      <c r="AP93" s="27">
        <f t="shared" si="73"/>
        <v>0</v>
      </c>
      <c r="AQ93" s="27">
        <f t="shared" si="54"/>
        <v>0</v>
      </c>
      <c r="AR93" s="27">
        <f t="shared" si="74"/>
        <v>0</v>
      </c>
      <c r="AS93" s="27">
        <f t="shared" si="75"/>
        <v>0</v>
      </c>
      <c r="AT93" s="89">
        <f t="shared" si="76"/>
        <v>0</v>
      </c>
    </row>
    <row r="94" spans="1:46">
      <c r="A94" s="80">
        <v>90</v>
      </c>
      <c r="C94" s="10">
        <f t="shared" si="77"/>
        <v>132</v>
      </c>
      <c r="D94" s="98" t="str" cm="1">
        <f t="array" ref="D94">_xlfn.IFS(C94&lt;=4,"1-4",C94&lt;=9,"5-9",C94&lt;=14,"10-14",C94&lt;=19,"15-19",C94&lt;=24,"20-24",C94&lt;=29,"25-29",C94&lt;=34,"30-34",C94&lt;=39,"35-39",C94&lt;=44,"40-44",C94&lt;=49,"45-49",C94&lt;=54,"50-54",C94&lt;=54,"50-54",C94&lt;=59,"55-59",C94&lt;=64,"60-64",C94&lt;=69,"65-69",C94&lt;=74,"70-74",C94&lt;=79,"75-79",C94&lt;=84,"80-84",C94&gt;84,"85+")</f>
        <v>85+</v>
      </c>
      <c r="E94" s="83">
        <f>IF(D94="85+",1,VLOOKUP(D94,'Life table 2014'!$AF$3:$AR$21,7,FALSE))</f>
        <v>1</v>
      </c>
      <c r="F94" s="72"/>
      <c r="G94" s="316">
        <f t="shared" si="55"/>
        <v>32850</v>
      </c>
      <c r="H94" s="27">
        <f>'Parameters &amp; DSA'!$B$119*G94^'Parameters &amp; DSA'!$B$120</f>
        <v>4.305903197048246</v>
      </c>
      <c r="I94" s="314">
        <f t="shared" si="81"/>
        <v>5.0104886122375292E-2</v>
      </c>
      <c r="J94" s="72"/>
      <c r="K94" s="140">
        <f t="shared" si="56"/>
        <v>0</v>
      </c>
      <c r="L94" s="141">
        <f t="shared" si="57"/>
        <v>0</v>
      </c>
      <c r="M94" s="141">
        <f t="shared" si="58"/>
        <v>0</v>
      </c>
      <c r="N94" s="27">
        <f t="shared" si="59"/>
        <v>0</v>
      </c>
      <c r="O94" s="27">
        <f t="shared" si="60"/>
        <v>0</v>
      </c>
      <c r="P94" s="27">
        <f t="shared" si="61"/>
        <v>0</v>
      </c>
      <c r="Q94" s="27">
        <f t="shared" si="62"/>
        <v>0</v>
      </c>
      <c r="R94" s="27">
        <f t="shared" si="63"/>
        <v>0</v>
      </c>
      <c r="S94" s="27">
        <f t="shared" si="64"/>
        <v>0</v>
      </c>
      <c r="T94" s="27">
        <f t="shared" si="65"/>
        <v>0</v>
      </c>
      <c r="U94" s="27">
        <f t="shared" si="66"/>
        <v>0</v>
      </c>
      <c r="V94" s="27">
        <f t="shared" si="67"/>
        <v>0</v>
      </c>
      <c r="W94" s="27">
        <f t="shared" si="78"/>
        <v>0</v>
      </c>
      <c r="X94" s="27">
        <f t="shared" si="79"/>
        <v>0</v>
      </c>
      <c r="Y94" s="142">
        <f t="shared" si="68"/>
        <v>1.0000000000000011</v>
      </c>
      <c r="Z94" s="89">
        <f t="shared" si="80"/>
        <v>1.0000000000000011</v>
      </c>
      <c r="AB94" s="171">
        <f>(IF('Parameters &amp; DSA'!$H$1=1,(('Parameters &amp; DSA'!$B$79+'Parameters &amp; DSA'!$B$85+'Parameters &amp; DSA'!$B$89+'Parameters &amp; DSA'!$B$93)*K94)/(1+cDC)^$A94,(('Parameters &amp; DSA'!$B$79+'Parameters &amp; DSA'!$B$85)*K94)))*($AD$2/$AF$2)</f>
        <v>0</v>
      </c>
      <c r="AC94" s="371">
        <f>(IF('Parameters &amp; DSA'!$H$1=1,(('Parameters &amp; DSA'!$B$79+'Parameters &amp; DSA'!$B$85+'Parameters &amp; DSA'!$B$89+'Parameters &amp; DSA'!$B$93)*($M94+$N94))/(1+cDC)^$A94,(('Parameters &amp; DSA'!$B$79+'Parameters &amp; DSA'!$B$85)*($M94+$N94))))*($AD$2/$AF$2)</f>
        <v>0</v>
      </c>
      <c r="AD94" s="371">
        <f>(IF('Parameters &amp; DSA'!$H$1=1,(('Parameters &amp; DSA'!$B$79+'Parameters &amp; DSA'!$B$85+'Parameters &amp; DSA'!$B$89+'Parameters &amp; DSA'!$B$93)*(P94+Q94))/(1+cDC)^$A94,(('Parameters &amp; DSA'!$B$79+'Parameters &amp; DSA'!$B$85)*(P94+Q94))))*($AD$2/$AF$2)</f>
        <v>0</v>
      </c>
      <c r="AE94" s="371">
        <f>(IF('Parameters &amp; DSA'!$H$1=1,(('Parameters &amp; DSA'!$B$79+'Parameters &amp; DSA'!$B$85+'Parameters &amp; DSA'!$B$89+'Parameters &amp; DSA'!$B$93)*(S94+T94))/(1+cDC)^$A94,(('Parameters &amp; DSA'!$B$79+'Parameters &amp; DSA'!$B$85)*(S94+T94))))*($AD$2/$AF$2)</f>
        <v>0</v>
      </c>
      <c r="AF94" s="371">
        <f>(IF('Parameters &amp; DSA'!$H$1=1,(((W94-W93)*cM_Dialysis0)+(W94*cM_Dialysis1))/(1+'Parameters &amp; DSA'!$B$6)^$A94,(((W94-W93)*cM_Dialysis0)+(W94*cM_Dialysis1))))*($AD$2/$AG$2)</f>
        <v>0</v>
      </c>
      <c r="AG94" s="172">
        <f t="shared" si="69"/>
        <v>0</v>
      </c>
      <c r="AI94" s="88">
        <f t="shared" si="50"/>
        <v>0</v>
      </c>
      <c r="AJ94" s="27">
        <f t="shared" si="70"/>
        <v>0</v>
      </c>
      <c r="AK94" s="27">
        <f t="shared" si="51"/>
        <v>0</v>
      </c>
      <c r="AL94" s="27">
        <f t="shared" si="71"/>
        <v>0</v>
      </c>
      <c r="AM94" s="27">
        <f t="shared" si="52"/>
        <v>0</v>
      </c>
      <c r="AN94" s="27">
        <f t="shared" si="72"/>
        <v>0</v>
      </c>
      <c r="AO94" s="27">
        <f t="shared" si="53"/>
        <v>0</v>
      </c>
      <c r="AP94" s="27">
        <f t="shared" si="73"/>
        <v>0</v>
      </c>
      <c r="AQ94" s="27">
        <f t="shared" si="54"/>
        <v>0</v>
      </c>
      <c r="AR94" s="27">
        <f t="shared" si="74"/>
        <v>0</v>
      </c>
      <c r="AS94" s="27">
        <f t="shared" si="75"/>
        <v>0</v>
      </c>
      <c r="AT94" s="89">
        <f t="shared" si="76"/>
        <v>0</v>
      </c>
    </row>
    <row r="95" spans="1:46">
      <c r="A95" s="80">
        <v>91</v>
      </c>
      <c r="C95" s="10">
        <f t="shared" si="77"/>
        <v>133</v>
      </c>
      <c r="D95" s="98" t="str" cm="1">
        <f t="array" ref="D95">_xlfn.IFS(C95&lt;=4,"1-4",C95&lt;=9,"5-9",C95&lt;=14,"10-14",C95&lt;=19,"15-19",C95&lt;=24,"20-24",C95&lt;=29,"25-29",C95&lt;=34,"30-34",C95&lt;=39,"35-39",C95&lt;=44,"40-44",C95&lt;=49,"45-49",C95&lt;=54,"50-54",C95&lt;=54,"50-54",C95&lt;=59,"55-59",C95&lt;=64,"60-64",C95&lt;=69,"65-69",C95&lt;=74,"70-74",C95&lt;=79,"75-79",C95&lt;=84,"80-84",C95&gt;84,"85+")</f>
        <v>85+</v>
      </c>
      <c r="E95" s="83">
        <f>IF(D95="85+",1,VLOOKUP(D95,'Life table 2014'!$AF$3:$AR$21,7,FALSE))</f>
        <v>1</v>
      </c>
      <c r="F95" s="72"/>
      <c r="G95" s="316">
        <f t="shared" si="55"/>
        <v>33215</v>
      </c>
      <c r="H95" s="27">
        <f>'Parameters &amp; DSA'!$B$119*G95^'Parameters &amp; DSA'!$B$120</f>
        <v>4.3573496820078708</v>
      </c>
      <c r="I95" s="314">
        <f t="shared" si="81"/>
        <v>5.0145519897047852E-2</v>
      </c>
      <c r="J95" s="72"/>
      <c r="K95" s="140">
        <f t="shared" si="56"/>
        <v>0</v>
      </c>
      <c r="L95" s="141">
        <f t="shared" si="57"/>
        <v>0</v>
      </c>
      <c r="M95" s="141">
        <f t="shared" si="58"/>
        <v>0</v>
      </c>
      <c r="N95" s="27">
        <f t="shared" si="59"/>
        <v>0</v>
      </c>
      <c r="O95" s="27">
        <f t="shared" si="60"/>
        <v>0</v>
      </c>
      <c r="P95" s="27">
        <f t="shared" si="61"/>
        <v>0</v>
      </c>
      <c r="Q95" s="27">
        <f t="shared" si="62"/>
        <v>0</v>
      </c>
      <c r="R95" s="27">
        <f t="shared" si="63"/>
        <v>0</v>
      </c>
      <c r="S95" s="27">
        <f t="shared" si="64"/>
        <v>0</v>
      </c>
      <c r="T95" s="27">
        <f t="shared" si="65"/>
        <v>0</v>
      </c>
      <c r="U95" s="27">
        <f t="shared" si="66"/>
        <v>0</v>
      </c>
      <c r="V95" s="27">
        <f t="shared" si="67"/>
        <v>0</v>
      </c>
      <c r="W95" s="27">
        <f t="shared" si="78"/>
        <v>0</v>
      </c>
      <c r="X95" s="27">
        <f t="shared" si="79"/>
        <v>0</v>
      </c>
      <c r="Y95" s="142">
        <f t="shared" si="68"/>
        <v>1.0000000000000011</v>
      </c>
      <c r="Z95" s="89">
        <f t="shared" si="80"/>
        <v>1.0000000000000011</v>
      </c>
      <c r="AB95" s="171">
        <f>(IF('Parameters &amp; DSA'!$H$1=1,(('Parameters &amp; DSA'!$B$79+'Parameters &amp; DSA'!$B$85+'Parameters &amp; DSA'!$B$89+'Parameters &amp; DSA'!$B$93)*K95)/(1+cDC)^$A95,(('Parameters &amp; DSA'!$B$79+'Parameters &amp; DSA'!$B$85)*K95)))*($AD$2/$AF$2)</f>
        <v>0</v>
      </c>
      <c r="AC95" s="371">
        <f>(IF('Parameters &amp; DSA'!$H$1=1,(('Parameters &amp; DSA'!$B$79+'Parameters &amp; DSA'!$B$85+'Parameters &amp; DSA'!$B$89+'Parameters &amp; DSA'!$B$93)*($M95+$N95))/(1+cDC)^$A95,(('Parameters &amp; DSA'!$B$79+'Parameters &amp; DSA'!$B$85)*($M95+$N95))))*($AD$2/$AF$2)</f>
        <v>0</v>
      </c>
      <c r="AD95" s="371">
        <f>(IF('Parameters &amp; DSA'!$H$1=1,(('Parameters &amp; DSA'!$B$79+'Parameters &amp; DSA'!$B$85+'Parameters &amp; DSA'!$B$89+'Parameters &amp; DSA'!$B$93)*(P95+Q95))/(1+cDC)^$A95,(('Parameters &amp; DSA'!$B$79+'Parameters &amp; DSA'!$B$85)*(P95+Q95))))*($AD$2/$AF$2)</f>
        <v>0</v>
      </c>
      <c r="AE95" s="371">
        <f>(IF('Parameters &amp; DSA'!$H$1=1,(('Parameters &amp; DSA'!$B$79+'Parameters &amp; DSA'!$B$85+'Parameters &amp; DSA'!$B$89+'Parameters &amp; DSA'!$B$93)*(S95+T95))/(1+cDC)^$A95,(('Parameters &amp; DSA'!$B$79+'Parameters &amp; DSA'!$B$85)*(S95+T95))))*($AD$2/$AF$2)</f>
        <v>0</v>
      </c>
      <c r="AF95" s="371">
        <f>(IF('Parameters &amp; DSA'!$H$1=1,(((W95-W94)*cM_Dialysis0)+(W95*cM_Dialysis1))/(1+'Parameters &amp; DSA'!$B$6)^$A95,(((W95-W94)*cM_Dialysis0)+(W95*cM_Dialysis1))))*($AD$2/$AG$2)</f>
        <v>0</v>
      </c>
      <c r="AG95" s="172">
        <f t="shared" si="69"/>
        <v>0</v>
      </c>
      <c r="AI95" s="88">
        <f t="shared" si="50"/>
        <v>0</v>
      </c>
      <c r="AJ95" s="27">
        <f t="shared" si="70"/>
        <v>0</v>
      </c>
      <c r="AK95" s="27">
        <f t="shared" si="51"/>
        <v>0</v>
      </c>
      <c r="AL95" s="27">
        <f t="shared" si="71"/>
        <v>0</v>
      </c>
      <c r="AM95" s="27">
        <f t="shared" si="52"/>
        <v>0</v>
      </c>
      <c r="AN95" s="27">
        <f t="shared" si="72"/>
        <v>0</v>
      </c>
      <c r="AO95" s="27">
        <f t="shared" si="53"/>
        <v>0</v>
      </c>
      <c r="AP95" s="27">
        <f t="shared" si="73"/>
        <v>0</v>
      </c>
      <c r="AQ95" s="27">
        <f t="shared" si="54"/>
        <v>0</v>
      </c>
      <c r="AR95" s="27">
        <f t="shared" si="74"/>
        <v>0</v>
      </c>
      <c r="AS95" s="27">
        <f t="shared" si="75"/>
        <v>0</v>
      </c>
      <c r="AT95" s="89">
        <f t="shared" si="76"/>
        <v>0</v>
      </c>
    </row>
    <row r="96" spans="1:46">
      <c r="A96" s="80">
        <v>92</v>
      </c>
      <c r="C96" s="10">
        <f t="shared" si="77"/>
        <v>134</v>
      </c>
      <c r="D96" s="98" t="str" cm="1">
        <f t="array" ref="D96">_xlfn.IFS(C96&lt;=4,"1-4",C96&lt;=9,"5-9",C96&lt;=14,"10-14",C96&lt;=19,"15-19",C96&lt;=24,"20-24",C96&lt;=29,"25-29",C96&lt;=34,"30-34",C96&lt;=39,"35-39",C96&lt;=44,"40-44",C96&lt;=49,"45-49",C96&lt;=54,"50-54",C96&lt;=54,"50-54",C96&lt;=59,"55-59",C96&lt;=64,"60-64",C96&lt;=69,"65-69",C96&lt;=74,"70-74",C96&lt;=79,"75-79",C96&lt;=84,"80-84",C96&gt;84,"85+")</f>
        <v>85+</v>
      </c>
      <c r="E96" s="83">
        <f>IF(D96="85+",1,VLOOKUP(D96,'Life table 2014'!$AF$3:$AR$21,7,FALSE))</f>
        <v>1</v>
      </c>
      <c r="F96" s="72"/>
      <c r="G96" s="316">
        <f t="shared" si="55"/>
        <v>33580</v>
      </c>
      <c r="H96" s="27">
        <f>'Parameters &amp; DSA'!$B$119*G96^'Parameters &amp; DSA'!$B$120</f>
        <v>4.4088385099081071</v>
      </c>
      <c r="I96" s="314">
        <f t="shared" si="81"/>
        <v>5.0185738677391734E-2</v>
      </c>
      <c r="J96" s="72"/>
      <c r="K96" s="140">
        <f t="shared" si="56"/>
        <v>0</v>
      </c>
      <c r="L96" s="141">
        <f t="shared" si="57"/>
        <v>0</v>
      </c>
      <c r="M96" s="141">
        <f t="shared" si="58"/>
        <v>0</v>
      </c>
      <c r="N96" s="27">
        <f t="shared" si="59"/>
        <v>0</v>
      </c>
      <c r="O96" s="27">
        <f t="shared" si="60"/>
        <v>0</v>
      </c>
      <c r="P96" s="27">
        <f t="shared" si="61"/>
        <v>0</v>
      </c>
      <c r="Q96" s="27">
        <f t="shared" si="62"/>
        <v>0</v>
      </c>
      <c r="R96" s="27">
        <f t="shared" si="63"/>
        <v>0</v>
      </c>
      <c r="S96" s="27">
        <f t="shared" si="64"/>
        <v>0</v>
      </c>
      <c r="T96" s="27">
        <f t="shared" si="65"/>
        <v>0</v>
      </c>
      <c r="U96" s="27">
        <f t="shared" si="66"/>
        <v>0</v>
      </c>
      <c r="V96" s="27">
        <f t="shared" si="67"/>
        <v>0</v>
      </c>
      <c r="W96" s="27">
        <f t="shared" si="78"/>
        <v>0</v>
      </c>
      <c r="X96" s="27">
        <f t="shared" si="79"/>
        <v>0</v>
      </c>
      <c r="Y96" s="142">
        <f t="shared" si="68"/>
        <v>1.0000000000000011</v>
      </c>
      <c r="Z96" s="89">
        <f t="shared" si="80"/>
        <v>1.0000000000000011</v>
      </c>
      <c r="AB96" s="171">
        <f>(IF('Parameters &amp; DSA'!$H$1=1,(('Parameters &amp; DSA'!$B$79+'Parameters &amp; DSA'!$B$85+'Parameters &amp; DSA'!$B$89+'Parameters &amp; DSA'!$B$93)*K96)/(1+cDC)^$A96,(('Parameters &amp; DSA'!$B$79+'Parameters &amp; DSA'!$B$85)*K96)))*($AD$2/$AF$2)</f>
        <v>0</v>
      </c>
      <c r="AC96" s="371">
        <f>(IF('Parameters &amp; DSA'!$H$1=1,(('Parameters &amp; DSA'!$B$79+'Parameters &amp; DSA'!$B$85+'Parameters &amp; DSA'!$B$89+'Parameters &amp; DSA'!$B$93)*($M96+$N96))/(1+cDC)^$A96,(('Parameters &amp; DSA'!$B$79+'Parameters &amp; DSA'!$B$85)*($M96+$N96))))*($AD$2/$AF$2)</f>
        <v>0</v>
      </c>
      <c r="AD96" s="371">
        <f>(IF('Parameters &amp; DSA'!$H$1=1,(('Parameters &amp; DSA'!$B$79+'Parameters &amp; DSA'!$B$85+'Parameters &amp; DSA'!$B$89+'Parameters &amp; DSA'!$B$93)*(P96+Q96))/(1+cDC)^$A96,(('Parameters &amp; DSA'!$B$79+'Parameters &amp; DSA'!$B$85)*(P96+Q96))))*($AD$2/$AF$2)</f>
        <v>0</v>
      </c>
      <c r="AE96" s="371">
        <f>(IF('Parameters &amp; DSA'!$H$1=1,(('Parameters &amp; DSA'!$B$79+'Parameters &amp; DSA'!$B$85+'Parameters &amp; DSA'!$B$89+'Parameters &amp; DSA'!$B$93)*(S96+T96))/(1+cDC)^$A96,(('Parameters &amp; DSA'!$B$79+'Parameters &amp; DSA'!$B$85)*(S96+T96))))*($AD$2/$AF$2)</f>
        <v>0</v>
      </c>
      <c r="AF96" s="371">
        <f>(IF('Parameters &amp; DSA'!$H$1=1,(((W96-W95)*cM_Dialysis0)+(W96*cM_Dialysis1))/(1+'Parameters &amp; DSA'!$B$6)^$A96,(((W96-W95)*cM_Dialysis0)+(W96*cM_Dialysis1))))*($AD$2/$AG$2)</f>
        <v>0</v>
      </c>
      <c r="AG96" s="172">
        <f t="shared" si="69"/>
        <v>0</v>
      </c>
      <c r="AI96" s="88">
        <f t="shared" si="50"/>
        <v>0</v>
      </c>
      <c r="AJ96" s="27">
        <f t="shared" si="70"/>
        <v>0</v>
      </c>
      <c r="AK96" s="27">
        <f t="shared" si="51"/>
        <v>0</v>
      </c>
      <c r="AL96" s="27">
        <f t="shared" si="71"/>
        <v>0</v>
      </c>
      <c r="AM96" s="27">
        <f t="shared" si="52"/>
        <v>0</v>
      </c>
      <c r="AN96" s="27">
        <f t="shared" si="72"/>
        <v>0</v>
      </c>
      <c r="AO96" s="27">
        <f t="shared" si="53"/>
        <v>0</v>
      </c>
      <c r="AP96" s="27">
        <f t="shared" si="73"/>
        <v>0</v>
      </c>
      <c r="AQ96" s="27">
        <f t="shared" si="54"/>
        <v>0</v>
      </c>
      <c r="AR96" s="27">
        <f t="shared" si="74"/>
        <v>0</v>
      </c>
      <c r="AS96" s="27">
        <f t="shared" si="75"/>
        <v>0</v>
      </c>
      <c r="AT96" s="89">
        <f t="shared" si="76"/>
        <v>0</v>
      </c>
    </row>
    <row r="97" spans="1:46">
      <c r="A97" s="80">
        <v>93</v>
      </c>
      <c r="C97" s="10">
        <f t="shared" si="77"/>
        <v>135</v>
      </c>
      <c r="D97" s="98" t="str" cm="1">
        <f t="array" ref="D97">_xlfn.IFS(C97&lt;=4,"1-4",C97&lt;=9,"5-9",C97&lt;=14,"10-14",C97&lt;=19,"15-19",C97&lt;=24,"20-24",C97&lt;=29,"25-29",C97&lt;=34,"30-34",C97&lt;=39,"35-39",C97&lt;=44,"40-44",C97&lt;=49,"45-49",C97&lt;=54,"50-54",C97&lt;=54,"50-54",C97&lt;=59,"55-59",C97&lt;=64,"60-64",C97&lt;=69,"65-69",C97&lt;=74,"70-74",C97&lt;=79,"75-79",C97&lt;=84,"80-84",C97&gt;84,"85+")</f>
        <v>85+</v>
      </c>
      <c r="E97" s="83">
        <f>IF(D97="85+",1,VLOOKUP(D97,'Life table 2014'!$AF$3:$AR$21,7,FALSE))</f>
        <v>1</v>
      </c>
      <c r="F97" s="72"/>
      <c r="G97" s="316">
        <f t="shared" si="55"/>
        <v>33945</v>
      </c>
      <c r="H97" s="27">
        <f>'Parameters &amp; DSA'!$B$119*G97^'Parameters &amp; DSA'!$B$120</f>
        <v>4.4603692547660705</v>
      </c>
      <c r="I97" s="314">
        <f t="shared" si="81"/>
        <v>5.0225551167217053E-2</v>
      </c>
      <c r="J97" s="72"/>
      <c r="K97" s="140">
        <f t="shared" si="56"/>
        <v>0</v>
      </c>
      <c r="L97" s="141">
        <f t="shared" si="57"/>
        <v>0</v>
      </c>
      <c r="M97" s="141">
        <f t="shared" si="58"/>
        <v>0</v>
      </c>
      <c r="N97" s="27">
        <f t="shared" si="59"/>
        <v>0</v>
      </c>
      <c r="O97" s="27">
        <f t="shared" si="60"/>
        <v>0</v>
      </c>
      <c r="P97" s="27">
        <f t="shared" si="61"/>
        <v>0</v>
      </c>
      <c r="Q97" s="27">
        <f t="shared" si="62"/>
        <v>0</v>
      </c>
      <c r="R97" s="27">
        <f t="shared" si="63"/>
        <v>0</v>
      </c>
      <c r="S97" s="27">
        <f t="shared" si="64"/>
        <v>0</v>
      </c>
      <c r="T97" s="27">
        <f t="shared" si="65"/>
        <v>0</v>
      </c>
      <c r="U97" s="27">
        <f t="shared" si="66"/>
        <v>0</v>
      </c>
      <c r="V97" s="27">
        <f t="shared" si="67"/>
        <v>0</v>
      </c>
      <c r="W97" s="27">
        <f t="shared" si="78"/>
        <v>0</v>
      </c>
      <c r="X97" s="27">
        <f t="shared" si="79"/>
        <v>0</v>
      </c>
      <c r="Y97" s="142">
        <f t="shared" si="68"/>
        <v>1.0000000000000011</v>
      </c>
      <c r="Z97" s="89">
        <f t="shared" si="80"/>
        <v>1.0000000000000011</v>
      </c>
      <c r="AB97" s="171">
        <f>(IF('Parameters &amp; DSA'!$H$1=1,(('Parameters &amp; DSA'!$B$79+'Parameters &amp; DSA'!$B$85+'Parameters &amp; DSA'!$B$89+'Parameters &amp; DSA'!$B$93)*K97)/(1+cDC)^$A97,(('Parameters &amp; DSA'!$B$79+'Parameters &amp; DSA'!$B$85)*K97)))*($AD$2/$AF$2)</f>
        <v>0</v>
      </c>
      <c r="AC97" s="371">
        <f>(IF('Parameters &amp; DSA'!$H$1=1,(('Parameters &amp; DSA'!$B$79+'Parameters &amp; DSA'!$B$85+'Parameters &amp; DSA'!$B$89+'Parameters &amp; DSA'!$B$93)*($M97+$N97))/(1+cDC)^$A97,(('Parameters &amp; DSA'!$B$79+'Parameters &amp; DSA'!$B$85)*($M97+$N97))))*($AD$2/$AF$2)</f>
        <v>0</v>
      </c>
      <c r="AD97" s="371">
        <f>(IF('Parameters &amp; DSA'!$H$1=1,(('Parameters &amp; DSA'!$B$79+'Parameters &amp; DSA'!$B$85+'Parameters &amp; DSA'!$B$89+'Parameters &amp; DSA'!$B$93)*(P97+Q97))/(1+cDC)^$A97,(('Parameters &amp; DSA'!$B$79+'Parameters &amp; DSA'!$B$85)*(P97+Q97))))*($AD$2/$AF$2)</f>
        <v>0</v>
      </c>
      <c r="AE97" s="371">
        <f>(IF('Parameters &amp; DSA'!$H$1=1,(('Parameters &amp; DSA'!$B$79+'Parameters &amp; DSA'!$B$85+'Parameters &amp; DSA'!$B$89+'Parameters &amp; DSA'!$B$93)*(S97+T97))/(1+cDC)^$A97,(('Parameters &amp; DSA'!$B$79+'Parameters &amp; DSA'!$B$85)*(S97+T97))))*($AD$2/$AF$2)</f>
        <v>0</v>
      </c>
      <c r="AF97" s="371">
        <f>(IF('Parameters &amp; DSA'!$H$1=1,(((W97-W96)*cM_Dialysis0)+(W97*cM_Dialysis1))/(1+'Parameters &amp; DSA'!$B$6)^$A97,(((W97-W96)*cM_Dialysis0)+(W97*cM_Dialysis1))))*($AD$2/$AG$2)</f>
        <v>0</v>
      </c>
      <c r="AG97" s="172">
        <f t="shared" si="69"/>
        <v>0</v>
      </c>
      <c r="AI97" s="88">
        <f t="shared" si="50"/>
        <v>0</v>
      </c>
      <c r="AJ97" s="27">
        <f t="shared" si="70"/>
        <v>0</v>
      </c>
      <c r="AK97" s="27">
        <f t="shared" si="51"/>
        <v>0</v>
      </c>
      <c r="AL97" s="27">
        <f t="shared" si="71"/>
        <v>0</v>
      </c>
      <c r="AM97" s="27">
        <f t="shared" si="52"/>
        <v>0</v>
      </c>
      <c r="AN97" s="27">
        <f t="shared" si="72"/>
        <v>0</v>
      </c>
      <c r="AO97" s="27">
        <f t="shared" si="53"/>
        <v>0</v>
      </c>
      <c r="AP97" s="27">
        <f t="shared" si="73"/>
        <v>0</v>
      </c>
      <c r="AQ97" s="27">
        <f t="shared" si="54"/>
        <v>0</v>
      </c>
      <c r="AR97" s="27">
        <f t="shared" si="74"/>
        <v>0</v>
      </c>
      <c r="AS97" s="27">
        <f t="shared" si="75"/>
        <v>0</v>
      </c>
      <c r="AT97" s="89">
        <f t="shared" si="76"/>
        <v>0</v>
      </c>
    </row>
    <row r="98" spans="1:46">
      <c r="A98" s="80">
        <v>94</v>
      </c>
      <c r="C98" s="10">
        <f t="shared" si="77"/>
        <v>136</v>
      </c>
      <c r="D98" s="98" t="str" cm="1">
        <f t="array" ref="D98">_xlfn.IFS(C98&lt;=4,"1-4",C98&lt;=9,"5-9",C98&lt;=14,"10-14",C98&lt;=19,"15-19",C98&lt;=24,"20-24",C98&lt;=29,"25-29",C98&lt;=34,"30-34",C98&lt;=39,"35-39",C98&lt;=44,"40-44",C98&lt;=49,"45-49",C98&lt;=54,"50-54",C98&lt;=54,"50-54",C98&lt;=59,"55-59",C98&lt;=64,"60-64",C98&lt;=69,"65-69",C98&lt;=74,"70-74",C98&lt;=79,"75-79",C98&lt;=84,"80-84",C98&gt;84,"85+")</f>
        <v>85+</v>
      </c>
      <c r="E98" s="83">
        <f>IF(D98="85+",1,VLOOKUP(D98,'Life table 2014'!$AF$3:$AR$21,7,FALSE))</f>
        <v>1</v>
      </c>
      <c r="F98" s="72"/>
      <c r="G98" s="316">
        <f t="shared" si="55"/>
        <v>34310</v>
      </c>
      <c r="H98" s="27">
        <f>'Parameters &amp; DSA'!$B$119*G98^'Parameters &amp; DSA'!$B$120</f>
        <v>4.5119414994209519</v>
      </c>
      <c r="I98" s="314">
        <f t="shared" si="81"/>
        <v>5.0264965796106398E-2</v>
      </c>
      <c r="J98" s="72"/>
      <c r="K98" s="140">
        <f t="shared" si="56"/>
        <v>0</v>
      </c>
      <c r="L98" s="141">
        <f t="shared" si="57"/>
        <v>0</v>
      </c>
      <c r="M98" s="141">
        <f t="shared" si="58"/>
        <v>0</v>
      </c>
      <c r="N98" s="27">
        <f t="shared" si="59"/>
        <v>0</v>
      </c>
      <c r="O98" s="27">
        <f t="shared" si="60"/>
        <v>0</v>
      </c>
      <c r="P98" s="27">
        <f t="shared" si="61"/>
        <v>0</v>
      </c>
      <c r="Q98" s="27">
        <f t="shared" si="62"/>
        <v>0</v>
      </c>
      <c r="R98" s="27">
        <f t="shared" si="63"/>
        <v>0</v>
      </c>
      <c r="S98" s="27">
        <f t="shared" si="64"/>
        <v>0</v>
      </c>
      <c r="T98" s="27">
        <f t="shared" si="65"/>
        <v>0</v>
      </c>
      <c r="U98" s="27">
        <f t="shared" si="66"/>
        <v>0</v>
      </c>
      <c r="V98" s="27">
        <f t="shared" si="67"/>
        <v>0</v>
      </c>
      <c r="W98" s="27">
        <f t="shared" si="78"/>
        <v>0</v>
      </c>
      <c r="X98" s="27">
        <f t="shared" si="79"/>
        <v>0</v>
      </c>
      <c r="Y98" s="142">
        <f t="shared" si="68"/>
        <v>1.0000000000000011</v>
      </c>
      <c r="Z98" s="89">
        <f t="shared" si="80"/>
        <v>1.0000000000000011</v>
      </c>
      <c r="AB98" s="171">
        <f>(IF('Parameters &amp; DSA'!$H$1=1,(('Parameters &amp; DSA'!$B$79+'Parameters &amp; DSA'!$B$85+'Parameters &amp; DSA'!$B$89+'Parameters &amp; DSA'!$B$93)*K98)/(1+cDC)^$A98,(('Parameters &amp; DSA'!$B$79+'Parameters &amp; DSA'!$B$85)*K98)))*($AD$2/$AF$2)</f>
        <v>0</v>
      </c>
      <c r="AC98" s="371">
        <f>(IF('Parameters &amp; DSA'!$H$1=1,(('Parameters &amp; DSA'!$B$79+'Parameters &amp; DSA'!$B$85+'Parameters &amp; DSA'!$B$89+'Parameters &amp; DSA'!$B$93)*($M98+$N98))/(1+cDC)^$A98,(('Parameters &amp; DSA'!$B$79+'Parameters &amp; DSA'!$B$85)*($M98+$N98))))*($AD$2/$AF$2)</f>
        <v>0</v>
      </c>
      <c r="AD98" s="371">
        <f>(IF('Parameters &amp; DSA'!$H$1=1,(('Parameters &amp; DSA'!$B$79+'Parameters &amp; DSA'!$B$85+'Parameters &amp; DSA'!$B$89+'Parameters &amp; DSA'!$B$93)*(P98+Q98))/(1+cDC)^$A98,(('Parameters &amp; DSA'!$B$79+'Parameters &amp; DSA'!$B$85)*(P98+Q98))))*($AD$2/$AF$2)</f>
        <v>0</v>
      </c>
      <c r="AE98" s="371">
        <f>(IF('Parameters &amp; DSA'!$H$1=1,(('Parameters &amp; DSA'!$B$79+'Parameters &amp; DSA'!$B$85+'Parameters &amp; DSA'!$B$89+'Parameters &amp; DSA'!$B$93)*(S98+T98))/(1+cDC)^$A98,(('Parameters &amp; DSA'!$B$79+'Parameters &amp; DSA'!$B$85)*(S98+T98))))*($AD$2/$AF$2)</f>
        <v>0</v>
      </c>
      <c r="AF98" s="371">
        <f>(IF('Parameters &amp; DSA'!$H$1=1,(((W98-W97)*cM_Dialysis0)+(W98*cM_Dialysis1))/(1+'Parameters &amp; DSA'!$B$6)^$A98,(((W98-W97)*cM_Dialysis0)+(W98*cM_Dialysis1))))*($AD$2/$AG$2)</f>
        <v>0</v>
      </c>
      <c r="AG98" s="172">
        <f t="shared" si="69"/>
        <v>0</v>
      </c>
      <c r="AI98" s="88">
        <f t="shared" si="50"/>
        <v>0</v>
      </c>
      <c r="AJ98" s="27">
        <f t="shared" si="70"/>
        <v>0</v>
      </c>
      <c r="AK98" s="27">
        <f t="shared" si="51"/>
        <v>0</v>
      </c>
      <c r="AL98" s="27">
        <f t="shared" si="71"/>
        <v>0</v>
      </c>
      <c r="AM98" s="27">
        <f t="shared" si="52"/>
        <v>0</v>
      </c>
      <c r="AN98" s="27">
        <f t="shared" si="72"/>
        <v>0</v>
      </c>
      <c r="AO98" s="27">
        <f t="shared" si="53"/>
        <v>0</v>
      </c>
      <c r="AP98" s="27">
        <f t="shared" si="73"/>
        <v>0</v>
      </c>
      <c r="AQ98" s="27">
        <f t="shared" si="54"/>
        <v>0</v>
      </c>
      <c r="AR98" s="27">
        <f t="shared" si="74"/>
        <v>0</v>
      </c>
      <c r="AS98" s="27">
        <f t="shared" si="75"/>
        <v>0</v>
      </c>
      <c r="AT98" s="89">
        <f t="shared" si="76"/>
        <v>0</v>
      </c>
    </row>
    <row r="99" spans="1:46">
      <c r="A99" s="80">
        <v>95</v>
      </c>
      <c r="C99" s="10">
        <f t="shared" si="77"/>
        <v>137</v>
      </c>
      <c r="D99" s="98" t="str" cm="1">
        <f t="array" ref="D99">_xlfn.IFS(C99&lt;=4,"1-4",C99&lt;=9,"5-9",C99&lt;=14,"10-14",C99&lt;=19,"15-19",C99&lt;=24,"20-24",C99&lt;=29,"25-29",C99&lt;=34,"30-34",C99&lt;=39,"35-39",C99&lt;=44,"40-44",C99&lt;=49,"45-49",C99&lt;=54,"50-54",C99&lt;=54,"50-54",C99&lt;=59,"55-59",C99&lt;=64,"60-64",C99&lt;=69,"65-69",C99&lt;=74,"70-74",C99&lt;=79,"75-79",C99&lt;=84,"80-84",C99&gt;84,"85+")</f>
        <v>85+</v>
      </c>
      <c r="E99" s="83">
        <f>IF(D99="85+",1,VLOOKUP(D99,'Life table 2014'!$AF$3:$AR$21,7,FALSE))</f>
        <v>1</v>
      </c>
      <c r="F99" s="72"/>
      <c r="G99" s="316">
        <f t="shared" si="55"/>
        <v>34675</v>
      </c>
      <c r="H99" s="27">
        <f>'Parameters &amp; DSA'!$B$119*G99^'Parameters &amp; DSA'!$B$120</f>
        <v>4.563554835259346</v>
      </c>
      <c r="I99" s="314">
        <f t="shared" si="81"/>
        <v>5.0303990730889425E-2</v>
      </c>
      <c r="J99" s="72"/>
      <c r="K99" s="140">
        <f t="shared" si="56"/>
        <v>0</v>
      </c>
      <c r="L99" s="141">
        <f t="shared" si="57"/>
        <v>0</v>
      </c>
      <c r="M99" s="141">
        <f t="shared" si="58"/>
        <v>0</v>
      </c>
      <c r="N99" s="27">
        <f t="shared" si="59"/>
        <v>0</v>
      </c>
      <c r="O99" s="27">
        <f t="shared" si="60"/>
        <v>0</v>
      </c>
      <c r="P99" s="27">
        <f t="shared" si="61"/>
        <v>0</v>
      </c>
      <c r="Q99" s="27">
        <f t="shared" si="62"/>
        <v>0</v>
      </c>
      <c r="R99" s="27">
        <f t="shared" si="63"/>
        <v>0</v>
      </c>
      <c r="S99" s="27">
        <f t="shared" si="64"/>
        <v>0</v>
      </c>
      <c r="T99" s="27">
        <f t="shared" si="65"/>
        <v>0</v>
      </c>
      <c r="U99" s="27">
        <f t="shared" si="66"/>
        <v>0</v>
      </c>
      <c r="V99" s="27">
        <f t="shared" si="67"/>
        <v>0</v>
      </c>
      <c r="W99" s="27">
        <f t="shared" si="78"/>
        <v>0</v>
      </c>
      <c r="X99" s="27">
        <f t="shared" si="79"/>
        <v>0</v>
      </c>
      <c r="Y99" s="142">
        <f t="shared" si="68"/>
        <v>1.0000000000000011</v>
      </c>
      <c r="Z99" s="89">
        <f t="shared" si="80"/>
        <v>1.0000000000000011</v>
      </c>
      <c r="AB99" s="171">
        <f>(IF('Parameters &amp; DSA'!$H$1=1,(('Parameters &amp; DSA'!$B$79+'Parameters &amp; DSA'!$B$85+'Parameters &amp; DSA'!$B$89+'Parameters &amp; DSA'!$B$93)*K99)/(1+cDC)^$A99,(('Parameters &amp; DSA'!$B$79+'Parameters &amp; DSA'!$B$85)*K99)))*($AD$2/$AF$2)</f>
        <v>0</v>
      </c>
      <c r="AC99" s="371">
        <f>(IF('Parameters &amp; DSA'!$H$1=1,(('Parameters &amp; DSA'!$B$79+'Parameters &amp; DSA'!$B$85+'Parameters &amp; DSA'!$B$89+'Parameters &amp; DSA'!$B$93)*($M99+$N99))/(1+cDC)^$A99,(('Parameters &amp; DSA'!$B$79+'Parameters &amp; DSA'!$B$85)*($M99+$N99))))*($AD$2/$AF$2)</f>
        <v>0</v>
      </c>
      <c r="AD99" s="371">
        <f>(IF('Parameters &amp; DSA'!$H$1=1,(('Parameters &amp; DSA'!$B$79+'Parameters &amp; DSA'!$B$85+'Parameters &amp; DSA'!$B$89+'Parameters &amp; DSA'!$B$93)*(P99+Q99))/(1+cDC)^$A99,(('Parameters &amp; DSA'!$B$79+'Parameters &amp; DSA'!$B$85)*(P99+Q99))))*($AD$2/$AF$2)</f>
        <v>0</v>
      </c>
      <c r="AE99" s="371">
        <f>(IF('Parameters &amp; DSA'!$H$1=1,(('Parameters &amp; DSA'!$B$79+'Parameters &amp; DSA'!$B$85+'Parameters &amp; DSA'!$B$89+'Parameters &amp; DSA'!$B$93)*(S99+T99))/(1+cDC)^$A99,(('Parameters &amp; DSA'!$B$79+'Parameters &amp; DSA'!$B$85)*(S99+T99))))*($AD$2/$AF$2)</f>
        <v>0</v>
      </c>
      <c r="AF99" s="371">
        <f>(IF('Parameters &amp; DSA'!$H$1=1,(((W99-W98)*cM_Dialysis0)+(W99*cM_Dialysis1))/(1+'Parameters &amp; DSA'!$B$6)^$A99,(((W99-W98)*cM_Dialysis0)+(W99*cM_Dialysis1))))*($AD$2/$AG$2)</f>
        <v>0</v>
      </c>
      <c r="AG99" s="172">
        <f t="shared" si="69"/>
        <v>0</v>
      </c>
      <c r="AI99" s="88">
        <f t="shared" si="50"/>
        <v>0</v>
      </c>
      <c r="AJ99" s="27">
        <f t="shared" si="70"/>
        <v>0</v>
      </c>
      <c r="AK99" s="27">
        <f t="shared" si="51"/>
        <v>0</v>
      </c>
      <c r="AL99" s="27">
        <f t="shared" si="71"/>
        <v>0</v>
      </c>
      <c r="AM99" s="27">
        <f t="shared" si="52"/>
        <v>0</v>
      </c>
      <c r="AN99" s="27">
        <f t="shared" si="72"/>
        <v>0</v>
      </c>
      <c r="AO99" s="27">
        <f t="shared" si="53"/>
        <v>0</v>
      </c>
      <c r="AP99" s="27">
        <f t="shared" si="73"/>
        <v>0</v>
      </c>
      <c r="AQ99" s="27">
        <f t="shared" si="54"/>
        <v>0</v>
      </c>
      <c r="AR99" s="27">
        <f t="shared" si="74"/>
        <v>0</v>
      </c>
      <c r="AS99" s="27">
        <f t="shared" si="75"/>
        <v>0</v>
      </c>
      <c r="AT99" s="89">
        <f t="shared" si="76"/>
        <v>0</v>
      </c>
    </row>
    <row r="100" spans="1:46">
      <c r="A100" s="80">
        <v>96</v>
      </c>
      <c r="C100" s="10">
        <f t="shared" si="77"/>
        <v>138</v>
      </c>
      <c r="D100" s="98" t="str" cm="1">
        <f t="array" ref="D100">_xlfn.IFS(C100&lt;=4,"1-4",C100&lt;=9,"5-9",C100&lt;=14,"10-14",C100&lt;=19,"15-19",C100&lt;=24,"20-24",C100&lt;=29,"25-29",C100&lt;=34,"30-34",C100&lt;=39,"35-39",C100&lt;=44,"40-44",C100&lt;=49,"45-49",C100&lt;=54,"50-54",C100&lt;=54,"50-54",C100&lt;=59,"55-59",C100&lt;=64,"60-64",C100&lt;=69,"65-69",C100&lt;=74,"70-74",C100&lt;=79,"75-79",C100&lt;=84,"80-84",C100&gt;84,"85+")</f>
        <v>85+</v>
      </c>
      <c r="E100" s="83">
        <f>IF(D100="85+",1,VLOOKUP(D100,'Life table 2014'!$AF$3:$AR$21,7,FALSE))</f>
        <v>1</v>
      </c>
      <c r="F100" s="72"/>
      <c r="G100" s="316">
        <f t="shared" si="55"/>
        <v>35040</v>
      </c>
      <c r="H100" s="27">
        <f>'Parameters &amp; DSA'!$B$119*G100^'Parameters &amp; DSA'!$B$120</f>
        <v>4.6152088619519844</v>
      </c>
      <c r="I100" s="314">
        <f t="shared" si="81"/>
        <v>5.0342633886562127E-2</v>
      </c>
      <c r="J100" s="72"/>
      <c r="K100" s="140">
        <f t="shared" si="56"/>
        <v>0</v>
      </c>
      <c r="L100" s="141">
        <f t="shared" si="57"/>
        <v>0</v>
      </c>
      <c r="M100" s="141">
        <f t="shared" si="58"/>
        <v>0</v>
      </c>
      <c r="N100" s="27">
        <f t="shared" si="59"/>
        <v>0</v>
      </c>
      <c r="O100" s="27">
        <f t="shared" si="60"/>
        <v>0</v>
      </c>
      <c r="P100" s="27">
        <f t="shared" si="61"/>
        <v>0</v>
      </c>
      <c r="Q100" s="27">
        <f t="shared" si="62"/>
        <v>0</v>
      </c>
      <c r="R100" s="27">
        <f t="shared" si="63"/>
        <v>0</v>
      </c>
      <c r="S100" s="27">
        <f t="shared" si="64"/>
        <v>0</v>
      </c>
      <c r="T100" s="27">
        <f t="shared" si="65"/>
        <v>0</v>
      </c>
      <c r="U100" s="27">
        <f t="shared" si="66"/>
        <v>0</v>
      </c>
      <c r="V100" s="27">
        <f t="shared" si="67"/>
        <v>0</v>
      </c>
      <c r="W100" s="27">
        <f t="shared" si="78"/>
        <v>0</v>
      </c>
      <c r="X100" s="27">
        <f t="shared" si="79"/>
        <v>0</v>
      </c>
      <c r="Y100" s="142">
        <f t="shared" si="68"/>
        <v>1.0000000000000011</v>
      </c>
      <c r="Z100" s="89">
        <f t="shared" si="80"/>
        <v>1.0000000000000011</v>
      </c>
      <c r="AB100" s="171">
        <f>(IF('Parameters &amp; DSA'!$H$1=1,(('Parameters &amp; DSA'!$B$79+'Parameters &amp; DSA'!$B$85+'Parameters &amp; DSA'!$B$89+'Parameters &amp; DSA'!$B$93)*K100)/(1+cDC)^$A100,(('Parameters &amp; DSA'!$B$79+'Parameters &amp; DSA'!$B$85)*K100)))*($AD$2/$AF$2)</f>
        <v>0</v>
      </c>
      <c r="AC100" s="371">
        <f>(IF('Parameters &amp; DSA'!$H$1=1,(('Parameters &amp; DSA'!$B$79+'Parameters &amp; DSA'!$B$85+'Parameters &amp; DSA'!$B$89+'Parameters &amp; DSA'!$B$93)*($M100+$N100))/(1+cDC)^$A100,(('Parameters &amp; DSA'!$B$79+'Parameters &amp; DSA'!$B$85)*($M100+$N100))))*($AD$2/$AF$2)</f>
        <v>0</v>
      </c>
      <c r="AD100" s="371">
        <f>(IF('Parameters &amp; DSA'!$H$1=1,(('Parameters &amp; DSA'!$B$79+'Parameters &amp; DSA'!$B$85+'Parameters &amp; DSA'!$B$89+'Parameters &amp; DSA'!$B$93)*(P100+Q100))/(1+cDC)^$A100,(('Parameters &amp; DSA'!$B$79+'Parameters &amp; DSA'!$B$85)*(P100+Q100))))*($AD$2/$AF$2)</f>
        <v>0</v>
      </c>
      <c r="AE100" s="371">
        <f>(IF('Parameters &amp; DSA'!$H$1=1,(('Parameters &amp; DSA'!$B$79+'Parameters &amp; DSA'!$B$85+'Parameters &amp; DSA'!$B$89+'Parameters &amp; DSA'!$B$93)*(S100+T100))/(1+cDC)^$A100,(('Parameters &amp; DSA'!$B$79+'Parameters &amp; DSA'!$B$85)*(S100+T100))))*($AD$2/$AF$2)</f>
        <v>0</v>
      </c>
      <c r="AF100" s="371">
        <f>(IF('Parameters &amp; DSA'!$H$1=1,(((W100-W99)*cM_Dialysis0)+(W100*cM_Dialysis1))/(1+'Parameters &amp; DSA'!$B$6)^$A100,(((W100-W99)*cM_Dialysis0)+(W100*cM_Dialysis1))))*($AD$2/$AG$2)</f>
        <v>0</v>
      </c>
      <c r="AG100" s="172">
        <f t="shared" si="69"/>
        <v>0</v>
      </c>
      <c r="AI100" s="88">
        <f t="shared" si="50"/>
        <v>0</v>
      </c>
      <c r="AJ100" s="27">
        <f t="shared" si="70"/>
        <v>0</v>
      </c>
      <c r="AK100" s="27">
        <f t="shared" si="51"/>
        <v>0</v>
      </c>
      <c r="AL100" s="27">
        <f t="shared" si="71"/>
        <v>0</v>
      </c>
      <c r="AM100" s="27">
        <f t="shared" si="52"/>
        <v>0</v>
      </c>
      <c r="AN100" s="27">
        <f t="shared" si="72"/>
        <v>0</v>
      </c>
      <c r="AO100" s="27">
        <f t="shared" si="53"/>
        <v>0</v>
      </c>
      <c r="AP100" s="27">
        <f t="shared" si="73"/>
        <v>0</v>
      </c>
      <c r="AQ100" s="27">
        <f t="shared" si="54"/>
        <v>0</v>
      </c>
      <c r="AR100" s="27">
        <f t="shared" si="74"/>
        <v>0</v>
      </c>
      <c r="AS100" s="27">
        <f t="shared" si="75"/>
        <v>0</v>
      </c>
      <c r="AT100" s="89">
        <f t="shared" si="76"/>
        <v>0</v>
      </c>
    </row>
    <row r="101" spans="1:46">
      <c r="A101" s="80">
        <v>97</v>
      </c>
      <c r="C101" s="10">
        <f t="shared" si="77"/>
        <v>139</v>
      </c>
      <c r="D101" s="98" t="str" cm="1">
        <f t="array" ref="D101">_xlfn.IFS(C101&lt;=4,"1-4",C101&lt;=9,"5-9",C101&lt;=14,"10-14",C101&lt;=19,"15-19",C101&lt;=24,"20-24",C101&lt;=29,"25-29",C101&lt;=34,"30-34",C101&lt;=39,"35-39",C101&lt;=44,"40-44",C101&lt;=49,"45-49",C101&lt;=54,"50-54",C101&lt;=54,"50-54",C101&lt;=59,"55-59",C101&lt;=64,"60-64",C101&lt;=69,"65-69",C101&lt;=74,"70-74",C101&lt;=79,"75-79",C101&lt;=84,"80-84",C101&gt;84,"85+")</f>
        <v>85+</v>
      </c>
      <c r="E101" s="83">
        <f>IF(D101="85+",1,VLOOKUP(D101,'Life table 2014'!$AF$3:$AR$21,7,FALSE))</f>
        <v>1</v>
      </c>
      <c r="F101" s="72"/>
      <c r="G101" s="316">
        <f t="shared" si="55"/>
        <v>35405</v>
      </c>
      <c r="H101" s="27">
        <f>'Parameters &amp; DSA'!$B$119*G101^'Parameters &amp; DSA'!$B$120</f>
        <v>4.6669031872011342</v>
      </c>
      <c r="I101" s="314">
        <f t="shared" si="81"/>
        <v>5.0380902936497884E-2</v>
      </c>
      <c r="J101" s="72"/>
      <c r="K101" s="140">
        <f t="shared" si="56"/>
        <v>0</v>
      </c>
      <c r="L101" s="141">
        <f t="shared" si="57"/>
        <v>0</v>
      </c>
      <c r="M101" s="141">
        <f t="shared" si="58"/>
        <v>0</v>
      </c>
      <c r="N101" s="27">
        <f t="shared" si="59"/>
        <v>0</v>
      </c>
      <c r="O101" s="27">
        <f t="shared" si="60"/>
        <v>0</v>
      </c>
      <c r="P101" s="27">
        <f t="shared" si="61"/>
        <v>0</v>
      </c>
      <c r="Q101" s="27">
        <f t="shared" si="62"/>
        <v>0</v>
      </c>
      <c r="R101" s="27">
        <f t="shared" si="63"/>
        <v>0</v>
      </c>
      <c r="S101" s="27">
        <f t="shared" si="64"/>
        <v>0</v>
      </c>
      <c r="T101" s="27">
        <f t="shared" si="65"/>
        <v>0</v>
      </c>
      <c r="U101" s="27">
        <f t="shared" si="66"/>
        <v>0</v>
      </c>
      <c r="V101" s="27">
        <f t="shared" si="67"/>
        <v>0</v>
      </c>
      <c r="W101" s="27">
        <f t="shared" si="78"/>
        <v>0</v>
      </c>
      <c r="X101" s="27">
        <f t="shared" si="79"/>
        <v>0</v>
      </c>
      <c r="Y101" s="142">
        <f t="shared" si="68"/>
        <v>1.0000000000000011</v>
      </c>
      <c r="Z101" s="89">
        <f t="shared" si="80"/>
        <v>1.0000000000000011</v>
      </c>
      <c r="AB101" s="171">
        <f>(IF('Parameters &amp; DSA'!$H$1=1,(('Parameters &amp; DSA'!$B$79+'Parameters &amp; DSA'!$B$85+'Parameters &amp; DSA'!$B$89+'Parameters &amp; DSA'!$B$93)*K101)/(1+cDC)^$A101,(('Parameters &amp; DSA'!$B$79+'Parameters &amp; DSA'!$B$85)*K101)))*($AD$2/$AF$2)</f>
        <v>0</v>
      </c>
      <c r="AC101" s="371">
        <f>(IF('Parameters &amp; DSA'!$H$1=1,(('Parameters &amp; DSA'!$B$79+'Parameters &amp; DSA'!$B$85+'Parameters &amp; DSA'!$B$89+'Parameters &amp; DSA'!$B$93)*($M101+$N101))/(1+cDC)^$A101,(('Parameters &amp; DSA'!$B$79+'Parameters &amp; DSA'!$B$85)*($M101+$N101))))*($AD$2/$AF$2)</f>
        <v>0</v>
      </c>
      <c r="AD101" s="371">
        <f>(IF('Parameters &amp; DSA'!$H$1=1,(('Parameters &amp; DSA'!$B$79+'Parameters &amp; DSA'!$B$85+'Parameters &amp; DSA'!$B$89+'Parameters &amp; DSA'!$B$93)*(P101+Q101))/(1+cDC)^$A101,(('Parameters &amp; DSA'!$B$79+'Parameters &amp; DSA'!$B$85)*(P101+Q101))))*($AD$2/$AF$2)</f>
        <v>0</v>
      </c>
      <c r="AE101" s="371">
        <f>(IF('Parameters &amp; DSA'!$H$1=1,(('Parameters &amp; DSA'!$B$79+'Parameters &amp; DSA'!$B$85+'Parameters &amp; DSA'!$B$89+'Parameters &amp; DSA'!$B$93)*(S101+T101))/(1+cDC)^$A101,(('Parameters &amp; DSA'!$B$79+'Parameters &amp; DSA'!$B$85)*(S101+T101))))*($AD$2/$AF$2)</f>
        <v>0</v>
      </c>
      <c r="AF101" s="371">
        <f>(IF('Parameters &amp; DSA'!$H$1=1,(((W101-W100)*cM_Dialysis0)+(W101*cM_Dialysis1))/(1+'Parameters &amp; DSA'!$B$6)^$A101,(((W101-W100)*cM_Dialysis0)+(W101*cM_Dialysis1))))*($AD$2/$AG$2)</f>
        <v>0</v>
      </c>
      <c r="AG101" s="172">
        <f t="shared" si="69"/>
        <v>0</v>
      </c>
      <c r="AI101" s="88">
        <f t="shared" si="50"/>
        <v>0</v>
      </c>
      <c r="AJ101" s="27">
        <f t="shared" si="70"/>
        <v>0</v>
      </c>
      <c r="AK101" s="27">
        <f t="shared" si="51"/>
        <v>0</v>
      </c>
      <c r="AL101" s="27">
        <f t="shared" si="71"/>
        <v>0</v>
      </c>
      <c r="AM101" s="27">
        <f t="shared" si="52"/>
        <v>0</v>
      </c>
      <c r="AN101" s="27">
        <f t="shared" si="72"/>
        <v>0</v>
      </c>
      <c r="AO101" s="27">
        <f t="shared" si="53"/>
        <v>0</v>
      </c>
      <c r="AP101" s="27">
        <f t="shared" si="73"/>
        <v>0</v>
      </c>
      <c r="AQ101" s="27">
        <f t="shared" si="54"/>
        <v>0</v>
      </c>
      <c r="AR101" s="27">
        <f t="shared" si="74"/>
        <v>0</v>
      </c>
      <c r="AS101" s="27">
        <f t="shared" si="75"/>
        <v>0</v>
      </c>
      <c r="AT101" s="89">
        <f t="shared" si="76"/>
        <v>0</v>
      </c>
    </row>
    <row r="102" spans="1:46">
      <c r="A102" s="80">
        <v>98</v>
      </c>
      <c r="C102" s="10">
        <f t="shared" si="77"/>
        <v>140</v>
      </c>
      <c r="D102" s="98" t="str" cm="1">
        <f t="array" ref="D102">_xlfn.IFS(C102&lt;=4,"1-4",C102&lt;=9,"5-9",C102&lt;=14,"10-14",C102&lt;=19,"15-19",C102&lt;=24,"20-24",C102&lt;=29,"25-29",C102&lt;=34,"30-34",C102&lt;=39,"35-39",C102&lt;=44,"40-44",C102&lt;=49,"45-49",C102&lt;=54,"50-54",C102&lt;=54,"50-54",C102&lt;=59,"55-59",C102&lt;=64,"60-64",C102&lt;=69,"65-69",C102&lt;=74,"70-74",C102&lt;=79,"75-79",C102&lt;=84,"80-84",C102&gt;84,"85+")</f>
        <v>85+</v>
      </c>
      <c r="E102" s="83">
        <f>IF(D102="85+",1,VLOOKUP(D102,'Life table 2014'!$AF$3:$AR$21,7,FALSE))</f>
        <v>1</v>
      </c>
      <c r="F102" s="72"/>
      <c r="G102" s="316">
        <f t="shared" si="55"/>
        <v>35770</v>
      </c>
      <c r="H102" s="27">
        <f>'Parameters &amp; DSA'!$B$119*G102^'Parameters &amp; DSA'!$B$120</f>
        <v>4.7186374264983657</v>
      </c>
      <c r="I102" s="314">
        <f t="shared" si="81"/>
        <v>5.0418805322373639E-2</v>
      </c>
      <c r="J102" s="72"/>
      <c r="K102" s="140">
        <f t="shared" si="56"/>
        <v>0</v>
      </c>
      <c r="L102" s="141">
        <f t="shared" si="57"/>
        <v>0</v>
      </c>
      <c r="M102" s="141">
        <f t="shared" si="58"/>
        <v>0</v>
      </c>
      <c r="N102" s="27">
        <f t="shared" si="59"/>
        <v>0</v>
      </c>
      <c r="O102" s="27">
        <f t="shared" si="60"/>
        <v>0</v>
      </c>
      <c r="P102" s="27">
        <f t="shared" si="61"/>
        <v>0</v>
      </c>
      <c r="Q102" s="27">
        <f t="shared" si="62"/>
        <v>0</v>
      </c>
      <c r="R102" s="27">
        <f t="shared" si="63"/>
        <v>0</v>
      </c>
      <c r="S102" s="27">
        <f t="shared" si="64"/>
        <v>0</v>
      </c>
      <c r="T102" s="27">
        <f t="shared" si="65"/>
        <v>0</v>
      </c>
      <c r="U102" s="27">
        <f t="shared" si="66"/>
        <v>0</v>
      </c>
      <c r="V102" s="27">
        <f t="shared" si="67"/>
        <v>0</v>
      </c>
      <c r="W102" s="27">
        <f t="shared" si="78"/>
        <v>0</v>
      </c>
      <c r="X102" s="27">
        <f t="shared" si="79"/>
        <v>0</v>
      </c>
      <c r="Y102" s="142">
        <f t="shared" si="68"/>
        <v>1.0000000000000011</v>
      </c>
      <c r="Z102" s="89">
        <f t="shared" si="80"/>
        <v>1.0000000000000011</v>
      </c>
      <c r="AB102" s="171">
        <f>(IF('Parameters &amp; DSA'!$H$1=1,(('Parameters &amp; DSA'!$B$79+'Parameters &amp; DSA'!$B$85+'Parameters &amp; DSA'!$B$89+'Parameters &amp; DSA'!$B$93)*K102)/(1+cDC)^$A102,(('Parameters &amp; DSA'!$B$79+'Parameters &amp; DSA'!$B$85)*K102)))*($AD$2/$AF$2)</f>
        <v>0</v>
      </c>
      <c r="AC102" s="371">
        <f>(IF('Parameters &amp; DSA'!$H$1=1,(('Parameters &amp; DSA'!$B$79+'Parameters &amp; DSA'!$B$85+'Parameters &amp; DSA'!$B$89+'Parameters &amp; DSA'!$B$93)*($M102+$N102))/(1+cDC)^$A102,(('Parameters &amp; DSA'!$B$79+'Parameters &amp; DSA'!$B$85)*($M102+$N102))))*($AD$2/$AF$2)</f>
        <v>0</v>
      </c>
      <c r="AD102" s="371">
        <f>(IF('Parameters &amp; DSA'!$H$1=1,(('Parameters &amp; DSA'!$B$79+'Parameters &amp; DSA'!$B$85+'Parameters &amp; DSA'!$B$89+'Parameters &amp; DSA'!$B$93)*(P102+Q102))/(1+cDC)^$A102,(('Parameters &amp; DSA'!$B$79+'Parameters &amp; DSA'!$B$85)*(P102+Q102))))*($AD$2/$AF$2)</f>
        <v>0</v>
      </c>
      <c r="AE102" s="371">
        <f>(IF('Parameters &amp; DSA'!$H$1=1,(('Parameters &amp; DSA'!$B$79+'Parameters &amp; DSA'!$B$85+'Parameters &amp; DSA'!$B$89+'Parameters &amp; DSA'!$B$93)*(S102+T102))/(1+cDC)^$A102,(('Parameters &amp; DSA'!$B$79+'Parameters &amp; DSA'!$B$85)*(S102+T102))))*($AD$2/$AF$2)</f>
        <v>0</v>
      </c>
      <c r="AF102" s="371">
        <f>(IF('Parameters &amp; DSA'!$H$1=1,(((W102-W101)*cM_Dialysis0)+(W102*cM_Dialysis1))/(1+'Parameters &amp; DSA'!$B$6)^$A102,(((W102-W101)*cM_Dialysis0)+(W102*cM_Dialysis1))))*($AD$2/$AG$2)</f>
        <v>0</v>
      </c>
      <c r="AG102" s="172">
        <f t="shared" si="69"/>
        <v>0</v>
      </c>
      <c r="AI102" s="88">
        <f t="shared" si="50"/>
        <v>0</v>
      </c>
      <c r="AJ102" s="27">
        <f t="shared" si="70"/>
        <v>0</v>
      </c>
      <c r="AK102" s="27">
        <f t="shared" si="51"/>
        <v>0</v>
      </c>
      <c r="AL102" s="27">
        <f t="shared" si="71"/>
        <v>0</v>
      </c>
      <c r="AM102" s="27">
        <f t="shared" si="52"/>
        <v>0</v>
      </c>
      <c r="AN102" s="27">
        <f t="shared" si="72"/>
        <v>0</v>
      </c>
      <c r="AO102" s="27">
        <f t="shared" si="53"/>
        <v>0</v>
      </c>
      <c r="AP102" s="27">
        <f t="shared" si="73"/>
        <v>0</v>
      </c>
      <c r="AQ102" s="27">
        <f t="shared" si="54"/>
        <v>0</v>
      </c>
      <c r="AR102" s="27">
        <f t="shared" si="74"/>
        <v>0</v>
      </c>
      <c r="AS102" s="27">
        <f t="shared" si="75"/>
        <v>0</v>
      </c>
      <c r="AT102" s="89">
        <f t="shared" si="76"/>
        <v>0</v>
      </c>
    </row>
    <row r="103" spans="1:46" ht="16.5" thickBot="1">
      <c r="A103" s="76">
        <v>99</v>
      </c>
      <c r="C103" s="84">
        <f t="shared" si="77"/>
        <v>141</v>
      </c>
      <c r="D103" s="85" t="str" cm="1">
        <f t="array" ref="D103">_xlfn.IFS(C103&lt;=4,"1-4",C103&lt;=9,"5-9",C103&lt;=14,"10-14",C103&lt;=19,"15-19",C103&lt;=24,"20-24",C103&lt;=29,"25-29",C103&lt;=34,"30-34",C103&lt;=39,"35-39",C103&lt;=44,"40-44",C103&lt;=49,"45-49",C103&lt;=54,"50-54",C103&lt;=54,"50-54",C103&lt;=59,"55-59",C103&lt;=64,"60-64",C103&lt;=69,"65-69",C103&lt;=74,"70-74",C103&lt;=79,"75-79",C103&lt;=84,"80-84",C103&gt;84,"85+")</f>
        <v>85+</v>
      </c>
      <c r="E103" s="86">
        <f>IF(D103="85+",1,VLOOKUP(D103,'Life table 2014'!$AF$3:$AR$21,7,FALSE))</f>
        <v>1</v>
      </c>
      <c r="F103" s="72"/>
      <c r="G103" s="317">
        <f t="shared" si="55"/>
        <v>36135</v>
      </c>
      <c r="H103" s="90">
        <f>'Parameters &amp; DSA'!$B$119*G103^'Parameters &amp; DSA'!$B$120</f>
        <v>4.7704112028919008</v>
      </c>
      <c r="I103" s="315">
        <f t="shared" si="81"/>
        <v>5.0456348263341333E-2</v>
      </c>
      <c r="J103" s="72"/>
      <c r="K103" s="124">
        <f>SUM(K102:K102)*(1-E103*'Parameters &amp; DSA'!$B$12-'Parameters &amp; DSA'!$B$11)</f>
        <v>0</v>
      </c>
      <c r="L103" s="90">
        <f>SUM(K102:K102)*E103*'Parameters &amp; DSA'!$B$12</f>
        <v>0</v>
      </c>
      <c r="M103" s="90">
        <f>SUM(K102:K102)*'Parameters &amp; DSA'!$B$11</f>
        <v>0</v>
      </c>
      <c r="N103" s="90">
        <f>SUM(M102:N102)*(1-E103*'Parameters &amp; DSA'!$B$15-'Parameters &amp; DSA'!$B$14)</f>
        <v>0</v>
      </c>
      <c r="O103" s="90">
        <f>SUM(M102:N102)*E103*'Parameters &amp; DSA'!$B$15</f>
        <v>0</v>
      </c>
      <c r="P103" s="90">
        <f>SUM(M102:N102)*'Parameters &amp; DSA'!$B$14</f>
        <v>0</v>
      </c>
      <c r="Q103" s="90">
        <f>SUM(P102:Q102)*(1-E103*'Parameters &amp; DSA'!$B$18-'Parameters &amp; DSA'!$B$17)</f>
        <v>0</v>
      </c>
      <c r="R103" s="90">
        <f>SUM(P102:Q102)*E103*'Parameters &amp; DSA'!$B$18</f>
        <v>0</v>
      </c>
      <c r="S103" s="90">
        <f>SUM(P102:Q102)*'Parameters &amp; DSA'!$B$17</f>
        <v>0</v>
      </c>
      <c r="T103" s="90">
        <f>SUM(S102:T102)*(1-E103*'Parameters &amp; DSA'!$B$21-'Parameters &amp; DSA'!$B$20)</f>
        <v>0</v>
      </c>
      <c r="U103" s="90">
        <f>SUM(S102:T102)*E103*'Parameters &amp; DSA'!$B$21</f>
        <v>0</v>
      </c>
      <c r="V103" s="90">
        <f>SUM(S102:T102)*'Parameters &amp; DSA'!$B$20</f>
        <v>0</v>
      </c>
      <c r="W103" s="90">
        <f>SUM(V102:W102)*(1-E103*'Parameters &amp; DSA'!$B$23)</f>
        <v>0</v>
      </c>
      <c r="X103" s="90">
        <f>SUM(V102:W102)*E103*'Parameters &amp; DSA'!$B$23</f>
        <v>0</v>
      </c>
      <c r="Y103" s="121">
        <f>Y102+X102+U102+R102+O102+L102</f>
        <v>1.0000000000000011</v>
      </c>
      <c r="Z103" s="91">
        <f>SUM(K103:Y103)</f>
        <v>1.0000000000000011</v>
      </c>
      <c r="AB103" s="171">
        <f>(IF('Parameters &amp; DSA'!$H$1=1,(('Parameters &amp; DSA'!$B$79+'Parameters &amp; DSA'!$B$85+'Parameters &amp; DSA'!$B$89+'Parameters &amp; DSA'!$B$93)*K103)/(1+cDC)^$A103,(('Parameters &amp; DSA'!$B$79+'Parameters &amp; DSA'!$B$85)*K103)))*($AD$2/$AF$2)</f>
        <v>0</v>
      </c>
      <c r="AC103" s="371">
        <f>(IF('Parameters &amp; DSA'!$H$1=1,(('Parameters &amp; DSA'!$B$79+'Parameters &amp; DSA'!$B$85+'Parameters &amp; DSA'!$B$89+'Parameters &amp; DSA'!$B$93)*($M103+$N103))/(1+cDC)^$A103,(('Parameters &amp; DSA'!$B$79+'Parameters &amp; DSA'!$B$85)*($M103+$N103))))*($AD$2/$AF$2)</f>
        <v>0</v>
      </c>
      <c r="AD103" s="371">
        <f>(IF('Parameters &amp; DSA'!$H$1=1,(('Parameters &amp; DSA'!$B$79+'Parameters &amp; DSA'!$B$85+'Parameters &amp; DSA'!$B$89+'Parameters &amp; DSA'!$B$93)*(P103+Q103))/(1+cDC)^$A103,(('Parameters &amp; DSA'!$B$79+'Parameters &amp; DSA'!$B$85)*(P103+Q103))))*($AD$2/$AF$2)</f>
        <v>0</v>
      </c>
      <c r="AE103" s="371">
        <f>(IF('Parameters &amp; DSA'!$H$1=1,(('Parameters &amp; DSA'!$B$79+'Parameters &amp; DSA'!$B$85+'Parameters &amp; DSA'!$B$89+'Parameters &amp; DSA'!$B$93)*(S103+T103))/(1+cDC)^$A103,(('Parameters &amp; DSA'!$B$79+'Parameters &amp; DSA'!$B$85)*(S103+T103))))*($AD$2/$AF$2)</f>
        <v>0</v>
      </c>
      <c r="AF103" s="371">
        <f>(IF('Parameters &amp; DSA'!$H$1=1,(((W103-W102)*cM_Dialysis0)+(W103*cM_Dialysis1))/(1+'Parameters &amp; DSA'!$B$6)^$A103,(((W103-W102)*cM_Dialysis0)+(W103*cM_Dialysis1))))*($AD$2/$AG$2)</f>
        <v>0</v>
      </c>
      <c r="AG103" s="172">
        <f t="shared" si="69"/>
        <v>0</v>
      </c>
      <c r="AI103" s="124">
        <f t="shared" si="50"/>
        <v>0</v>
      </c>
      <c r="AJ103" s="90">
        <f t="shared" si="70"/>
        <v>0</v>
      </c>
      <c r="AK103" s="90">
        <f t="shared" si="51"/>
        <v>0</v>
      </c>
      <c r="AL103" s="90">
        <f t="shared" si="71"/>
        <v>0</v>
      </c>
      <c r="AM103" s="90">
        <f t="shared" si="52"/>
        <v>0</v>
      </c>
      <c r="AN103" s="90">
        <f t="shared" si="72"/>
        <v>0</v>
      </c>
      <c r="AO103" s="90">
        <f t="shared" si="53"/>
        <v>0</v>
      </c>
      <c r="AP103" s="90">
        <f t="shared" si="73"/>
        <v>0</v>
      </c>
      <c r="AQ103" s="90">
        <f t="shared" si="54"/>
        <v>0</v>
      </c>
      <c r="AR103" s="90">
        <f t="shared" si="74"/>
        <v>0</v>
      </c>
      <c r="AS103" s="90">
        <f t="shared" si="75"/>
        <v>0</v>
      </c>
      <c r="AT103" s="91">
        <f t="shared" si="76"/>
        <v>0</v>
      </c>
    </row>
    <row r="104" spans="1:46" ht="16.5" thickBot="1">
      <c r="C104"/>
      <c r="D104"/>
      <c r="E104" s="72"/>
      <c r="F104" s="72"/>
      <c r="G104" s="72"/>
      <c r="H104" s="72"/>
      <c r="I104" s="72"/>
      <c r="J104" s="72"/>
    </row>
    <row r="105" spans="1:46" ht="16.5" thickBot="1">
      <c r="K105" s="229">
        <f>SUM(K4:K103)</f>
        <v>11.576935695562472</v>
      </c>
      <c r="L105" s="226">
        <f t="shared" ref="L105:X105" si="82">SUM(L4:L103)</f>
        <v>0</v>
      </c>
      <c r="M105" s="226">
        <f t="shared" si="82"/>
        <v>0.88141130796353906</v>
      </c>
      <c r="N105" s="226">
        <f t="shared" si="82"/>
        <v>4.7542276867573472</v>
      </c>
      <c r="O105" s="226">
        <f t="shared" si="82"/>
        <v>0</v>
      </c>
      <c r="P105" s="226">
        <f t="shared" si="82"/>
        <v>0.79237128112622446</v>
      </c>
      <c r="Q105" s="226">
        <f t="shared" si="82"/>
        <v>2.1979883081769747</v>
      </c>
      <c r="R105" s="226">
        <f t="shared" si="82"/>
        <v>0</v>
      </c>
      <c r="S105" s="226">
        <f t="shared" si="82"/>
        <v>0.73266276939232478</v>
      </c>
      <c r="T105" s="226">
        <f t="shared" si="82"/>
        <v>0.10212418448671937</v>
      </c>
      <c r="U105" s="226">
        <f t="shared" si="82"/>
        <v>0.30637255346015807</v>
      </c>
      <c r="V105" s="226">
        <f t="shared" si="82"/>
        <v>0.40849673794687746</v>
      </c>
      <c r="W105" s="226">
        <f t="shared" si="82"/>
        <v>4.2801151928017847</v>
      </c>
      <c r="X105" s="226">
        <f t="shared" si="82"/>
        <v>0.20425930249968749</v>
      </c>
      <c r="Y105" s="370">
        <f>SUM(K105:X105)</f>
        <v>26.236965020174104</v>
      </c>
      <c r="AB105" s="368">
        <f>SUM(AB4:AB103)</f>
        <v>87980.300557106864</v>
      </c>
      <c r="AC105" s="369">
        <f t="shared" ref="AC105:AF105" si="83">SUM(AC4:AC103)</f>
        <v>36657.802604633507</v>
      </c>
      <c r="AD105" s="369">
        <f t="shared" si="83"/>
        <v>17752.013349629553</v>
      </c>
      <c r="AE105" s="369">
        <f t="shared" si="83"/>
        <v>4818.0445783951827</v>
      </c>
      <c r="AF105" s="373">
        <f t="shared" si="83"/>
        <v>1335833.5685796686</v>
      </c>
      <c r="AG105" s="402">
        <f>SUM(AG4:AG103)</f>
        <v>1483041.7296694338</v>
      </c>
      <c r="AR105" s="122" t="s">
        <v>190</v>
      </c>
      <c r="AS105" s="130"/>
      <c r="AT105" s="401">
        <f>SUM(AT4:AT103)</f>
        <v>15.369640675712606</v>
      </c>
    </row>
    <row r="106" spans="1:46" ht="16.5" thickBot="1"/>
    <row r="107" spans="1:46" ht="16.5" thickBot="1">
      <c r="K107" s="229">
        <f>SUM(K4:K103)</f>
        <v>11.576935695562472</v>
      </c>
      <c r="L107" s="104"/>
      <c r="M107" s="104"/>
      <c r="N107" s="226">
        <f>SUM(M105:N105)</f>
        <v>5.6356389947208863</v>
      </c>
      <c r="O107" s="104"/>
      <c r="P107" s="104"/>
      <c r="Q107" s="226">
        <f>SUM(P105:Q105)</f>
        <v>2.9903595893031989</v>
      </c>
      <c r="R107" s="104"/>
      <c r="S107" s="104"/>
      <c r="T107" s="226">
        <f>SUM(S105:U105)</f>
        <v>1.1411595073392022</v>
      </c>
      <c r="U107" s="226"/>
      <c r="V107" s="104"/>
      <c r="W107" s="374">
        <f>SUM(V105:X105)</f>
        <v>4.8928712332483499</v>
      </c>
      <c r="Y107" s="27"/>
      <c r="AR107" s="122" t="s">
        <v>188</v>
      </c>
      <c r="AS107" s="130"/>
      <c r="AT107" s="401">
        <f>SUM(AS4:AS103)</f>
        <v>17.353376267946253</v>
      </c>
    </row>
    <row r="108" spans="1:46" ht="16.5" thickBot="1"/>
    <row r="109" spans="1:46" ht="16.5" thickBot="1">
      <c r="K109" s="375">
        <f>K107/Y105</f>
        <v>0.44124523117139292</v>
      </c>
      <c r="L109" s="376"/>
      <c r="M109" s="376"/>
      <c r="N109" s="376">
        <f>N107/Y105</f>
        <v>0.21479767154423293</v>
      </c>
      <c r="O109" s="376"/>
      <c r="P109" s="376"/>
      <c r="Q109" s="376">
        <f>Q107/Y105</f>
        <v>0.11397505721427209</v>
      </c>
      <c r="R109" s="376"/>
      <c r="S109" s="376"/>
      <c r="T109" s="376">
        <f>T107/Y105</f>
        <v>4.3494341150424332E-2</v>
      </c>
      <c r="U109" s="376"/>
      <c r="V109" s="376"/>
      <c r="W109" s="377">
        <f>W107/Y105</f>
        <v>0.18648769891967792</v>
      </c>
    </row>
  </sheetData>
  <mergeCells count="3">
    <mergeCell ref="C1:Z1"/>
    <mergeCell ref="AB1:AG1"/>
    <mergeCell ref="AI1:AT1"/>
  </mergeCells>
  <conditionalFormatting sqref="Z4:Z103">
    <cfRule type="cellIs" dxfId="5" priority="1" operator="notEqual">
      <formula>1</formula>
    </cfRule>
    <cfRule type="cellIs" dxfId="4" priority="2" operator="equal">
      <formula>1</formula>
    </cfRule>
  </conditionalFormatting>
  <pageMargins left="0.7" right="0.7" top="0.75" bottom="0.75" header="0.3" footer="0.3"/>
  <ignoredErrors>
    <ignoredError sqref="D4:D53 D54:D103" twoDigitTextYear="1"/>
    <ignoredError sqref="Q3" numberStoredAsText="1"/>
    <ignoredError sqref="N5:V5 Y5" formulaRange="1"/>
  </ignoredErrors>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8B65A-1480-5A41-B84E-5BBF4B993F59}">
  <sheetPr codeName="Sheet11"/>
  <dimension ref="A9:D99"/>
  <sheetViews>
    <sheetView zoomScale="36" zoomScaleNormal="55" workbookViewId="0">
      <selection activeCell="C45" sqref="C45"/>
    </sheetView>
  </sheetViews>
  <sheetFormatPr defaultColWidth="11.25" defaultRowHeight="15.75"/>
  <cols>
    <col min="1" max="1" width="47.75" customWidth="1"/>
    <col min="3" max="4" width="17.625" bestFit="1" customWidth="1"/>
  </cols>
  <sheetData>
    <row r="9" spans="1:4" ht="16.5" thickBot="1"/>
    <row r="10" spans="1:4">
      <c r="A10" s="126" t="s">
        <v>403</v>
      </c>
      <c r="B10" s="378" t="s">
        <v>402</v>
      </c>
      <c r="C10" s="379" t="s">
        <v>249</v>
      </c>
      <c r="D10" s="380" t="s">
        <v>512</v>
      </c>
    </row>
    <row r="11" spans="1:4">
      <c r="A11" s="127"/>
      <c r="B11" s="139" t="s">
        <v>2</v>
      </c>
      <c r="C11">
        <f>'MM Conventional'!K107</f>
        <v>11.576935695562472</v>
      </c>
      <c r="D11" s="95">
        <f>'MM ICP'!K107</f>
        <v>11.576935695562472</v>
      </c>
    </row>
    <row r="12" spans="1:4">
      <c r="A12" s="127"/>
      <c r="B12" s="10" t="s">
        <v>3</v>
      </c>
      <c r="C12">
        <f>'MM Conventional'!N107</f>
        <v>2.6725968346895348</v>
      </c>
      <c r="D12" s="95">
        <f>'MM ICP'!N107</f>
        <v>5.6356389947208863</v>
      </c>
    </row>
    <row r="13" spans="1:4">
      <c r="A13" s="127"/>
      <c r="B13" s="139">
        <v>4</v>
      </c>
      <c r="C13">
        <f>'MM Conventional'!Q107</f>
        <v>1.1262781010464376</v>
      </c>
      <c r="D13" s="95">
        <f>'MM ICP'!Q107</f>
        <v>2.9903595893031989</v>
      </c>
    </row>
    <row r="14" spans="1:4">
      <c r="A14" s="127"/>
      <c r="B14" s="139">
        <v>5</v>
      </c>
      <c r="C14">
        <f>'MM Conventional'!T107</f>
        <v>1.3020160457604466</v>
      </c>
      <c r="D14" s="95">
        <f>'MM ICP'!T107</f>
        <v>1.1411595073392022</v>
      </c>
    </row>
    <row r="15" spans="1:4" ht="16.5" thickBot="1">
      <c r="A15" s="608"/>
      <c r="B15" s="381" t="s">
        <v>7</v>
      </c>
      <c r="C15" s="96">
        <f>'MM Conventional'!W107</f>
        <v>6.335981913489813</v>
      </c>
      <c r="D15" s="225">
        <f>'MM ICP'!W107</f>
        <v>4.8928712332483499</v>
      </c>
    </row>
    <row r="17" spans="1:4" ht="16.5" thickBot="1"/>
    <row r="18" spans="1:4">
      <c r="A18" s="126" t="s">
        <v>404</v>
      </c>
      <c r="B18" s="378" t="s">
        <v>402</v>
      </c>
      <c r="C18" s="379" t="s">
        <v>249</v>
      </c>
      <c r="D18" s="380" t="s">
        <v>512</v>
      </c>
    </row>
    <row r="19" spans="1:4">
      <c r="A19" s="127"/>
      <c r="B19" s="139" t="s">
        <v>2</v>
      </c>
      <c r="C19" s="382">
        <f>'MM Conventional'!AB105</f>
        <v>65313.817806942978</v>
      </c>
      <c r="D19" s="383">
        <f>'MM ICP'!AB105</f>
        <v>87980.300557106864</v>
      </c>
    </row>
    <row r="20" spans="1:4">
      <c r="A20" s="127"/>
      <c r="B20" s="10" t="s">
        <v>3</v>
      </c>
      <c r="C20" s="382">
        <f>'MM Conventional'!AC105</f>
        <v>13923.832347452222</v>
      </c>
      <c r="D20" s="383">
        <f>'MM ICP'!AC105</f>
        <v>36657.802604633507</v>
      </c>
    </row>
    <row r="21" spans="1:4">
      <c r="A21" s="127"/>
      <c r="B21" s="139">
        <v>4</v>
      </c>
      <c r="C21" s="382">
        <f>'MM Conventional'!AD105</f>
        <v>5663.6360529687136</v>
      </c>
      <c r="D21" s="383">
        <f>'MM ICP'!AD105</f>
        <v>17752.013349629553</v>
      </c>
    </row>
    <row r="22" spans="1:4">
      <c r="A22" s="127"/>
      <c r="B22" s="139" t="s">
        <v>491</v>
      </c>
      <c r="C22" s="382">
        <f>'MM Conventional'!AE105</f>
        <v>4637.4070633984011</v>
      </c>
      <c r="D22" s="383">
        <f>'MM ICP'!AE105</f>
        <v>4818.0445783951827</v>
      </c>
    </row>
    <row r="23" spans="1:4" ht="16.5" thickBot="1">
      <c r="A23" s="608"/>
      <c r="B23" s="381" t="s">
        <v>7</v>
      </c>
      <c r="C23" s="384">
        <f>'MM Conventional'!AF105</f>
        <v>1904070.4407521973</v>
      </c>
      <c r="D23" s="385">
        <f>'MM ICP'!AF105</f>
        <v>1335833.5685796686</v>
      </c>
    </row>
    <row r="51" spans="1:4" ht="16.5" thickBot="1"/>
    <row r="52" spans="1:4">
      <c r="A52" s="648" t="s">
        <v>474</v>
      </c>
      <c r="B52" s="183"/>
      <c r="C52" s="183"/>
      <c r="D52" s="137"/>
    </row>
    <row r="53" spans="1:4" ht="16.5" thickBot="1">
      <c r="A53" s="657" t="s">
        <v>469</v>
      </c>
      <c r="B53" s="658"/>
      <c r="C53" s="658"/>
      <c r="D53" s="659"/>
    </row>
    <row r="54" spans="1:4">
      <c r="A54" s="660" t="s">
        <v>403</v>
      </c>
      <c r="B54" s="661" t="s">
        <v>402</v>
      </c>
      <c r="C54" s="661" t="s">
        <v>401</v>
      </c>
      <c r="D54" s="662" t="s">
        <v>250</v>
      </c>
    </row>
    <row r="55" spans="1:4">
      <c r="A55" s="663"/>
      <c r="B55" s="666" t="s">
        <v>2</v>
      </c>
      <c r="C55" s="658">
        <v>3.7678363241789201</v>
      </c>
      <c r="D55" s="659">
        <v>3.7678363241789201</v>
      </c>
    </row>
    <row r="56" spans="1:4">
      <c r="A56" s="663"/>
      <c r="B56" s="664" t="s">
        <v>3</v>
      </c>
      <c r="C56" s="664">
        <v>0.41844316705484114</v>
      </c>
      <c r="D56" s="665">
        <v>0.49892803422613696</v>
      </c>
    </row>
    <row r="57" spans="1:4">
      <c r="A57" s="663"/>
      <c r="B57" s="666">
        <v>4</v>
      </c>
      <c r="C57" s="658">
        <v>0.10246153861509051</v>
      </c>
      <c r="D57" s="659">
        <v>6.6898446586777668E-2</v>
      </c>
    </row>
    <row r="58" spans="1:4">
      <c r="A58" s="663"/>
      <c r="B58" s="666">
        <v>5</v>
      </c>
      <c r="C58" s="658">
        <v>4.7446420811015626E-2</v>
      </c>
      <c r="D58" s="659">
        <v>8.4207192252010229E-3</v>
      </c>
    </row>
    <row r="59" spans="1:4" ht="16.5" thickBot="1">
      <c r="A59" s="667"/>
      <c r="B59" s="668" t="s">
        <v>7</v>
      </c>
      <c r="C59" s="669">
        <v>6.9214776540672653E-3</v>
      </c>
      <c r="D59" s="670">
        <v>1.0254040968988539E-3</v>
      </c>
    </row>
    <row r="60" spans="1:4">
      <c r="A60" s="649"/>
      <c r="B60" s="650"/>
      <c r="C60" s="439"/>
      <c r="D60" s="523"/>
    </row>
    <row r="61" spans="1:4" ht="16.5" thickBot="1">
      <c r="A61" s="649"/>
      <c r="B61" s="650"/>
      <c r="C61" s="439"/>
      <c r="D61" s="523"/>
    </row>
    <row r="62" spans="1:4">
      <c r="A62" s="660" t="s">
        <v>404</v>
      </c>
      <c r="B62" s="661" t="s">
        <v>402</v>
      </c>
      <c r="C62" s="661" t="s">
        <v>401</v>
      </c>
      <c r="D62" s="662" t="s">
        <v>250</v>
      </c>
    </row>
    <row r="63" spans="1:4">
      <c r="A63" s="663"/>
      <c r="B63" s="658" t="s">
        <v>2</v>
      </c>
      <c r="C63" s="658">
        <v>25986.433202007986</v>
      </c>
      <c r="D63" s="659">
        <v>35004.755200159299</v>
      </c>
    </row>
    <row r="64" spans="1:4">
      <c r="A64" s="663"/>
      <c r="B64" s="664" t="s">
        <v>3</v>
      </c>
      <c r="C64" s="664">
        <v>2801.2998338992211</v>
      </c>
      <c r="D64" s="665">
        <v>4484.7223266103974</v>
      </c>
    </row>
    <row r="65" spans="1:4">
      <c r="A65" s="663"/>
      <c r="B65" s="666">
        <v>4</v>
      </c>
      <c r="C65" s="671">
        <v>675.07832945324276</v>
      </c>
      <c r="D65" s="672">
        <v>590.94298575319704</v>
      </c>
    </row>
    <row r="66" spans="1:4">
      <c r="A66" s="663"/>
      <c r="B66" s="666">
        <v>5</v>
      </c>
      <c r="C66" s="671">
        <v>274.89727863267115</v>
      </c>
      <c r="D66" s="672">
        <v>66.926530741748735</v>
      </c>
    </row>
    <row r="67" spans="1:4" ht="16.5" thickBot="1">
      <c r="A67" s="667"/>
      <c r="B67" s="668" t="s">
        <v>7</v>
      </c>
      <c r="C67" s="673">
        <v>0</v>
      </c>
      <c r="D67" s="674">
        <v>0</v>
      </c>
    </row>
    <row r="68" spans="1:4">
      <c r="A68" s="653"/>
      <c r="B68" s="654"/>
      <c r="C68" s="655"/>
      <c r="D68" s="656"/>
    </row>
    <row r="69" spans="1:4">
      <c r="A69" s="649"/>
      <c r="B69" s="650"/>
      <c r="C69" s="651"/>
      <c r="D69" s="652"/>
    </row>
    <row r="70" spans="1:4" ht="16.5" thickBot="1">
      <c r="A70" s="675" t="s">
        <v>470</v>
      </c>
      <c r="B70" s="676"/>
      <c r="C70" s="676"/>
      <c r="D70" s="677"/>
    </row>
    <row r="71" spans="1:4">
      <c r="A71" s="678" t="s">
        <v>403</v>
      </c>
      <c r="B71" s="679" t="s">
        <v>402</v>
      </c>
      <c r="C71" s="679" t="s">
        <v>401</v>
      </c>
      <c r="D71" s="680" t="s">
        <v>250</v>
      </c>
    </row>
    <row r="72" spans="1:4">
      <c r="A72" s="681"/>
      <c r="B72" s="682" t="s">
        <v>2</v>
      </c>
      <c r="C72" s="676">
        <v>0</v>
      </c>
      <c r="D72" s="677">
        <v>0</v>
      </c>
    </row>
    <row r="73" spans="1:4">
      <c r="A73" s="681"/>
      <c r="B73" s="676" t="s">
        <v>3</v>
      </c>
      <c r="C73" s="676">
        <v>2.4377848288974606</v>
      </c>
      <c r="D73" s="677">
        <v>3.3401837234136602</v>
      </c>
    </row>
    <row r="74" spans="1:4">
      <c r="A74" s="681"/>
      <c r="B74" s="682">
        <v>4</v>
      </c>
      <c r="C74" s="676">
        <v>0.85195619945425805</v>
      </c>
      <c r="D74" s="677">
        <v>0.77605913017114747</v>
      </c>
    </row>
    <row r="75" spans="1:4">
      <c r="A75" s="681"/>
      <c r="B75" s="682">
        <v>5</v>
      </c>
      <c r="C75" s="676">
        <v>0.70430248347296853</v>
      </c>
      <c r="D75" s="677">
        <v>0.1661071506960399</v>
      </c>
    </row>
    <row r="76" spans="1:4" ht="16.5" thickBot="1">
      <c r="A76" s="683"/>
      <c r="B76" s="684" t="s">
        <v>7</v>
      </c>
      <c r="C76" s="685">
        <v>0.28158100936209091</v>
      </c>
      <c r="D76" s="686">
        <v>5.0761234088323601E-2</v>
      </c>
    </row>
    <row r="77" spans="1:4">
      <c r="A77" s="649"/>
      <c r="B77" s="439"/>
      <c r="C77" s="439"/>
      <c r="D77" s="523"/>
    </row>
    <row r="78" spans="1:4" ht="16.5" thickBot="1">
      <c r="A78" s="649"/>
      <c r="B78" s="439"/>
      <c r="C78" s="439"/>
      <c r="D78" s="523"/>
    </row>
    <row r="79" spans="1:4">
      <c r="A79" s="678" t="s">
        <v>404</v>
      </c>
      <c r="B79" s="679" t="s">
        <v>402</v>
      </c>
      <c r="C79" s="679" t="s">
        <v>401</v>
      </c>
      <c r="D79" s="680" t="s">
        <v>250</v>
      </c>
    </row>
    <row r="80" spans="1:4">
      <c r="A80" s="681"/>
      <c r="B80" s="682" t="s">
        <v>2</v>
      </c>
      <c r="C80" s="687">
        <v>0</v>
      </c>
      <c r="D80" s="688">
        <v>0</v>
      </c>
    </row>
    <row r="81" spans="1:4">
      <c r="A81" s="681"/>
      <c r="B81" s="676" t="s">
        <v>3</v>
      </c>
      <c r="C81" s="687">
        <v>17082.301587114034</v>
      </c>
      <c r="D81" s="688">
        <v>31160.707491636098</v>
      </c>
    </row>
    <row r="82" spans="1:4">
      <c r="A82" s="681"/>
      <c r="B82" s="682">
        <v>4</v>
      </c>
      <c r="C82" s="687">
        <v>5798.4960660772967</v>
      </c>
      <c r="D82" s="688">
        <v>6999.1483171889004</v>
      </c>
    </row>
    <row r="83" spans="1:4">
      <c r="A83" s="681"/>
      <c r="B83" s="682">
        <v>5</v>
      </c>
      <c r="C83" s="687">
        <v>3729.9544463551529</v>
      </c>
      <c r="D83" s="688">
        <v>1226.2019472522475</v>
      </c>
    </row>
    <row r="84" spans="1:4" ht="16.5" thickBot="1">
      <c r="A84" s="683"/>
      <c r="B84" s="684" t="s">
        <v>7</v>
      </c>
      <c r="C84" s="689">
        <v>45130.062360400974</v>
      </c>
      <c r="D84" s="690">
        <v>6685.9351645038469</v>
      </c>
    </row>
    <row r="85" spans="1:4">
      <c r="A85" s="11" t="s">
        <v>488</v>
      </c>
    </row>
    <row r="86" spans="1:4">
      <c r="A86" t="s">
        <v>403</v>
      </c>
      <c r="B86" t="s">
        <v>402</v>
      </c>
      <c r="C86" t="s">
        <v>401</v>
      </c>
      <c r="D86" t="s">
        <v>250</v>
      </c>
    </row>
    <row r="87" spans="1:4">
      <c r="B87" t="s">
        <v>2</v>
      </c>
      <c r="C87">
        <v>0</v>
      </c>
      <c r="D87">
        <v>0</v>
      </c>
    </row>
    <row r="88" spans="1:4">
      <c r="B88" t="s">
        <v>3</v>
      </c>
      <c r="C88">
        <v>0</v>
      </c>
      <c r="D88">
        <v>0</v>
      </c>
    </row>
    <row r="89" spans="1:4">
      <c r="B89" s="73">
        <v>4</v>
      </c>
      <c r="C89" s="27">
        <v>1.3018432296251159</v>
      </c>
      <c r="D89" s="27">
        <v>2.7581393757852983</v>
      </c>
    </row>
    <row r="90" spans="1:4">
      <c r="B90" s="73">
        <v>5</v>
      </c>
      <c r="C90">
        <v>1.3730832080725341</v>
      </c>
      <c r="D90" s="27">
        <v>0.84457927638423225</v>
      </c>
    </row>
    <row r="91" spans="1:4">
      <c r="B91" t="s">
        <v>7</v>
      </c>
      <c r="C91">
        <v>1.1153296250093994</v>
      </c>
      <c r="D91">
        <v>0.52111407280210154</v>
      </c>
    </row>
    <row r="92" spans="1:4">
      <c r="A92" s="439"/>
      <c r="B92" s="439"/>
      <c r="C92" s="439"/>
      <c r="D92" s="439"/>
    </row>
    <row r="93" spans="1:4">
      <c r="A93" s="439"/>
      <c r="B93" s="439"/>
      <c r="C93" s="439"/>
      <c r="D93" s="439"/>
    </row>
    <row r="94" spans="1:4">
      <c r="A94" t="s">
        <v>404</v>
      </c>
      <c r="B94" t="s">
        <v>402</v>
      </c>
      <c r="C94" t="s">
        <v>401</v>
      </c>
      <c r="D94" t="s">
        <v>250</v>
      </c>
    </row>
    <row r="95" spans="1:4">
      <c r="B95" t="s">
        <v>2</v>
      </c>
      <c r="C95">
        <v>0</v>
      </c>
      <c r="D95">
        <v>0</v>
      </c>
    </row>
    <row r="96" spans="1:4">
      <c r="B96" t="s">
        <v>3</v>
      </c>
      <c r="C96">
        <v>0</v>
      </c>
      <c r="D96">
        <v>0</v>
      </c>
    </row>
    <row r="97" spans="2:4">
      <c r="B97" s="73">
        <v>4</v>
      </c>
      <c r="C97" s="371">
        <v>9350.9734990109646</v>
      </c>
      <c r="D97" s="371">
        <v>25911.346253744417</v>
      </c>
    </row>
    <row r="98" spans="2:4">
      <c r="B98" s="73">
        <v>5</v>
      </c>
      <c r="C98" s="371">
        <v>7106.0137187909322</v>
      </c>
      <c r="D98" s="371">
        <v>5964.2245754128071</v>
      </c>
    </row>
    <row r="99" spans="2:4">
      <c r="B99" t="s">
        <v>7</v>
      </c>
      <c r="C99" s="371">
        <v>330021.19915042806</v>
      </c>
      <c r="D99" s="371">
        <v>133407.83945923945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83018-FD17-9645-916E-E7F8D7637EA7}">
  <sheetPr codeName="Sheet12"/>
  <dimension ref="A1:E18"/>
  <sheetViews>
    <sheetView zoomScale="32" zoomScaleNormal="55" workbookViewId="0">
      <selection activeCell="A2" sqref="A2:E18"/>
    </sheetView>
  </sheetViews>
  <sheetFormatPr defaultColWidth="11.25" defaultRowHeight="15.75"/>
  <cols>
    <col min="3" max="3" width="23.75" customWidth="1"/>
    <col min="4" max="4" width="23" customWidth="1"/>
    <col min="5" max="5" width="10.25" customWidth="1"/>
  </cols>
  <sheetData>
    <row r="1" spans="1:5">
      <c r="A1" s="733" t="s">
        <v>407</v>
      </c>
      <c r="B1" s="733"/>
    </row>
    <row r="2" spans="1:5">
      <c r="A2" s="388" t="s">
        <v>408</v>
      </c>
      <c r="B2" s="388" t="s">
        <v>409</v>
      </c>
      <c r="C2" s="11" t="s">
        <v>410</v>
      </c>
      <c r="D2" s="11" t="s">
        <v>432</v>
      </c>
      <c r="E2" s="11" t="s">
        <v>197</v>
      </c>
    </row>
    <row r="3" spans="1:5">
      <c r="A3">
        <v>42</v>
      </c>
      <c r="B3">
        <v>2</v>
      </c>
      <c r="C3" s="33">
        <v>976100.77844458329</v>
      </c>
      <c r="D3" s="33">
        <v>171633.62086029164</v>
      </c>
      <c r="E3" s="33">
        <v>-277954.58757129993</v>
      </c>
    </row>
    <row r="4" spans="1:5">
      <c r="A4">
        <v>42</v>
      </c>
      <c r="B4">
        <v>3</v>
      </c>
      <c r="C4" s="33">
        <v>-745835.32873798814</v>
      </c>
      <c r="D4" s="33">
        <v>-2030403.4250408157</v>
      </c>
      <c r="E4" s="33">
        <v>-262873.25330633338</v>
      </c>
    </row>
    <row r="5" spans="1:5">
      <c r="A5">
        <v>50</v>
      </c>
      <c r="B5">
        <v>2</v>
      </c>
      <c r="C5" s="33">
        <v>1219301.2866536235</v>
      </c>
      <c r="D5" s="33">
        <v>534501.42065918352</v>
      </c>
      <c r="E5" s="33">
        <v>-266397.82188643882</v>
      </c>
    </row>
    <row r="6" spans="1:5">
      <c r="A6">
        <v>50</v>
      </c>
      <c r="B6">
        <v>3</v>
      </c>
      <c r="C6" s="33">
        <v>-265533.68845617888</v>
      </c>
      <c r="D6" s="33">
        <v>-1456856.7162520646</v>
      </c>
      <c r="E6" s="33">
        <v>-245670.79775521171</v>
      </c>
    </row>
    <row r="7" spans="1:5">
      <c r="A7">
        <v>60</v>
      </c>
      <c r="B7">
        <v>2</v>
      </c>
      <c r="C7" s="33">
        <v>1354636.6297126571</v>
      </c>
      <c r="D7" s="33">
        <v>871949.87395109027</v>
      </c>
      <c r="E7" s="33">
        <v>-266544.74839136755</v>
      </c>
    </row>
    <row r="8" spans="1:5">
      <c r="A8">
        <v>60</v>
      </c>
      <c r="B8">
        <v>3</v>
      </c>
      <c r="C8" s="33">
        <v>268056.06137643452</v>
      </c>
      <c r="D8" s="33">
        <v>-782605.92016540584</v>
      </c>
      <c r="E8" s="33">
        <v>-244451.95153976863</v>
      </c>
    </row>
    <row r="9" spans="1:5">
      <c r="A9">
        <v>70</v>
      </c>
      <c r="B9">
        <v>2</v>
      </c>
      <c r="C9" s="33">
        <v>1180836.2701205858</v>
      </c>
      <c r="D9" s="33">
        <v>977338.88399120537</v>
      </c>
      <c r="E9" s="33">
        <v>-271288.59653944609</v>
      </c>
    </row>
    <row r="10" spans="1:5">
      <c r="A10">
        <v>70</v>
      </c>
      <c r="B10">
        <v>3</v>
      </c>
      <c r="C10" s="33">
        <v>652131.39270920097</v>
      </c>
      <c r="D10" s="33">
        <v>-132628.49706509057</v>
      </c>
      <c r="E10" s="33">
        <v>-281395.30984624941</v>
      </c>
    </row>
    <row r="11" spans="1:5">
      <c r="A11">
        <v>80</v>
      </c>
      <c r="B11">
        <v>2</v>
      </c>
      <c r="C11" s="33">
        <v>563118.43340939051</v>
      </c>
      <c r="D11" s="33">
        <v>572500.62947395595</v>
      </c>
      <c r="E11" s="33">
        <v>1621056.5669944684</v>
      </c>
    </row>
    <row r="12" spans="1:5">
      <c r="A12">
        <v>80</v>
      </c>
      <c r="B12">
        <v>3</v>
      </c>
      <c r="C12" s="33">
        <v>547640.57503581792</v>
      </c>
      <c r="D12" s="33">
        <v>487942.42568568821</v>
      </c>
      <c r="E12" s="33">
        <v>-120690.34889956245</v>
      </c>
    </row>
    <row r="13" spans="1:5">
      <c r="C13" s="33"/>
      <c r="D13" s="33"/>
      <c r="E13" s="33"/>
    </row>
    <row r="14" spans="1:5">
      <c r="A14">
        <v>42</v>
      </c>
      <c r="B14">
        <v>4</v>
      </c>
      <c r="C14" s="33">
        <v>-2176135.7652709</v>
      </c>
      <c r="D14" s="33">
        <v>-2819561.5637825881</v>
      </c>
      <c r="E14" s="33">
        <v>-257665.94565945357</v>
      </c>
    </row>
    <row r="15" spans="1:5">
      <c r="A15">
        <v>50</v>
      </c>
      <c r="B15">
        <v>4</v>
      </c>
      <c r="C15" s="33">
        <v>-1596765.3595245318</v>
      </c>
      <c r="D15" s="33">
        <v>-2205181.7166922176</v>
      </c>
      <c r="E15" s="33">
        <v>-234103.66715179826</v>
      </c>
    </row>
    <row r="16" spans="1:5">
      <c r="A16">
        <v>60</v>
      </c>
      <c r="B16">
        <v>4</v>
      </c>
      <c r="C16" s="33">
        <v>-918141.85687155707</v>
      </c>
      <c r="D16" s="33">
        <v>-1489059.4673833137</v>
      </c>
      <c r="E16" s="33">
        <v>-221487.21098808406</v>
      </c>
    </row>
    <row r="17" spans="1:5">
      <c r="A17">
        <v>70</v>
      </c>
      <c r="B17">
        <v>4</v>
      </c>
      <c r="C17" s="33">
        <v>-271165.86238418997</v>
      </c>
      <c r="D17" s="33">
        <v>-799257.22701497015</v>
      </c>
      <c r="E17" s="33">
        <v>-245871.94036493372</v>
      </c>
    </row>
    <row r="18" spans="1:5">
      <c r="A18">
        <v>80</v>
      </c>
      <c r="B18">
        <v>4</v>
      </c>
      <c r="C18" s="33">
        <v>354685.19000821636</v>
      </c>
      <c r="D18" s="33">
        <v>82139.780177015986</v>
      </c>
      <c r="E18" s="33">
        <v>-317361.39074502548</v>
      </c>
    </row>
  </sheetData>
  <mergeCells count="1">
    <mergeCell ref="A1:B1"/>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A41CB-E148-304B-9F0B-A171769AA6B2}">
  <dimension ref="A1:H77"/>
  <sheetViews>
    <sheetView zoomScale="85" zoomScaleNormal="85" workbookViewId="0">
      <selection activeCell="A7" sqref="A7"/>
    </sheetView>
  </sheetViews>
  <sheetFormatPr defaultColWidth="11.25" defaultRowHeight="15.75"/>
  <cols>
    <col min="1" max="1" width="80.5" style="8" bestFit="1" customWidth="1"/>
    <col min="2" max="2" width="28" style="8" customWidth="1"/>
    <col min="3" max="4" width="12.75" customWidth="1"/>
    <col min="5" max="7" width="45.75" customWidth="1"/>
    <col min="8" max="8" width="12.25" customWidth="1"/>
  </cols>
  <sheetData>
    <row r="1" spans="1:8">
      <c r="A1" s="18" t="s">
        <v>10</v>
      </c>
      <c r="B1" s="18" t="s">
        <v>492</v>
      </c>
      <c r="C1" t="s">
        <v>437</v>
      </c>
      <c r="D1" t="s">
        <v>438</v>
      </c>
      <c r="E1" t="s">
        <v>489</v>
      </c>
      <c r="F1" t="s">
        <v>490</v>
      </c>
      <c r="G1" t="s">
        <v>522</v>
      </c>
      <c r="H1" t="s">
        <v>436</v>
      </c>
    </row>
    <row r="2" spans="1:8">
      <c r="A2" s="230" t="s">
        <v>493</v>
      </c>
      <c r="B2" s="230" t="s">
        <v>338</v>
      </c>
      <c r="C2">
        <v>-366901.38678041246</v>
      </c>
      <c r="D2">
        <v>-189140.05881397676</v>
      </c>
      <c r="E2">
        <v>-0.32000478922225456</v>
      </c>
      <c r="F2">
        <v>0.31952891849479109</v>
      </c>
      <c r="G2">
        <f>ABS(Table3[[#This Row],[% change in ICER when lower bound 95% CI applied]])+ABS(Table3[[#This Row],[% change in ICER when upper bound 95% CI applied]])</f>
        <v>0.63953370771704565</v>
      </c>
      <c r="H2">
        <f t="shared" ref="H2:H40" si="0">(D2-C2)^2</f>
        <v>31599089720.390713</v>
      </c>
    </row>
    <row r="3" spans="1:8">
      <c r="A3" s="230" t="s">
        <v>494</v>
      </c>
      <c r="B3" s="230" t="s">
        <v>332</v>
      </c>
      <c r="C3">
        <v>-366504.42472558533</v>
      </c>
      <c r="D3">
        <v>-191919.52946542809</v>
      </c>
      <c r="E3">
        <v>-0.31857663486691296</v>
      </c>
      <c r="F3">
        <v>0.30952918912986976</v>
      </c>
      <c r="G3">
        <f>ABS(Table3[[#This Row],[% change in ICER when lower bound 95% CI applied]])+ABS(Table3[[#This Row],[% change in ICER when upper bound 95% CI applied]])</f>
        <v>0.62810582399678272</v>
      </c>
      <c r="H3">
        <f t="shared" si="0"/>
        <v>30479885653.000072</v>
      </c>
    </row>
    <row r="4" spans="1:8" ht="16.5" thickBot="1">
      <c r="A4" s="230" t="s">
        <v>495</v>
      </c>
      <c r="B4" s="227" t="s">
        <v>324</v>
      </c>
      <c r="C4">
        <v>-210039.98206959537</v>
      </c>
      <c r="D4">
        <v>-373311.91340459842</v>
      </c>
      <c r="E4">
        <v>0.24433705554251139</v>
      </c>
      <c r="F4">
        <v>-0.34306800498062573</v>
      </c>
      <c r="G4">
        <f>ABS(Table3[[#This Row],[% change in ICER when lower bound 95% CI applied]])+ABS(Table3[[#This Row],[% change in ICER when upper bound 95% CI applied]])</f>
        <v>0.58740506052313712</v>
      </c>
      <c r="H4">
        <f t="shared" si="0"/>
        <v>26657723561.861954</v>
      </c>
    </row>
    <row r="5" spans="1:8">
      <c r="A5" s="230" t="s">
        <v>520</v>
      </c>
      <c r="B5" s="147" t="s">
        <v>291</v>
      </c>
      <c r="C5">
        <v>-318527.12022077217</v>
      </c>
      <c r="D5">
        <v>-166026.15557961943</v>
      </c>
      <c r="E5">
        <v>-0.14596820654764231</v>
      </c>
      <c r="F5">
        <v>0.40268603936234371</v>
      </c>
      <c r="G5">
        <f>ABS(Table3[[#This Row],[% change in ICER when lower bound 95% CI applied]])+ABS(Table3[[#This Row],[% change in ICER when upper bound 95% CI applied]])</f>
        <v>0.54865424590998602</v>
      </c>
      <c r="H5">
        <f t="shared" si="0"/>
        <v>23256544216.482117</v>
      </c>
    </row>
    <row r="6" spans="1:8">
      <c r="A6" s="230" t="s">
        <v>521</v>
      </c>
      <c r="B6" s="147" t="s">
        <v>289</v>
      </c>
      <c r="C6">
        <v>-247864.88259756129</v>
      </c>
      <c r="D6">
        <v>-360963.78805429308</v>
      </c>
      <c r="E6">
        <v>0.1082540325621362</v>
      </c>
      <c r="F6">
        <v>-0.29864303089331068</v>
      </c>
      <c r="G6">
        <f>ABS(Table3[[#This Row],[% change in ICER when lower bound 95% CI applied]])+ABS(Table3[[#This Row],[% change in ICER when upper bound 95% CI applied]])</f>
        <v>0.40689706345544685</v>
      </c>
      <c r="H6">
        <f t="shared" si="0"/>
        <v>12791362415.510757</v>
      </c>
    </row>
    <row r="7" spans="1:8">
      <c r="A7" s="230" t="s">
        <v>496</v>
      </c>
      <c r="B7" s="230" t="s">
        <v>322</v>
      </c>
      <c r="C7">
        <v>-243595.88021650276</v>
      </c>
      <c r="D7">
        <v>-349466.94312553236</v>
      </c>
      <c r="E7">
        <v>0.12361266512999572</v>
      </c>
      <c r="F7">
        <v>-0.25728071689368442</v>
      </c>
      <c r="G7">
        <f>ABS(Table3[[#This Row],[% change in ICER when lower bound 95% CI applied]])+ABS(Table3[[#This Row],[% change in ICER when upper bound 95% CI applied]])</f>
        <v>0.38089338202368017</v>
      </c>
      <c r="H7">
        <f t="shared" si="0"/>
        <v>11208681961.487703</v>
      </c>
    </row>
    <row r="8" spans="1:8">
      <c r="A8" s="230" t="s">
        <v>497</v>
      </c>
      <c r="B8" s="230" t="s">
        <v>328</v>
      </c>
      <c r="C8">
        <v>-247015.60172742259</v>
      </c>
      <c r="D8">
        <v>-343725.11636835552</v>
      </c>
      <c r="E8">
        <v>0.11130949884373101</v>
      </c>
      <c r="F8">
        <v>-0.23662328933565224</v>
      </c>
      <c r="G8">
        <f>ABS(Table3[[#This Row],[% change in ICER when lower bound 95% CI applied]])+ABS(Table3[[#This Row],[% change in ICER when upper bound 95% CI applied]])</f>
        <v>0.34793278817938322</v>
      </c>
      <c r="H8">
        <f t="shared" si="0"/>
        <v>9352730222.0848217</v>
      </c>
    </row>
    <row r="9" spans="1:8" ht="16.5" thickBot="1">
      <c r="A9" s="230" t="s">
        <v>50</v>
      </c>
      <c r="B9" s="394" t="s">
        <v>49</v>
      </c>
      <c r="C9">
        <v>-316301.73124782456</v>
      </c>
      <c r="D9">
        <v>-246322.66896275175</v>
      </c>
      <c r="E9">
        <v>-0.1379619023797834</v>
      </c>
      <c r="F9">
        <v>0.11380246998238182</v>
      </c>
      <c r="G9">
        <f>ABS(Table3[[#This Row],[% change in ICER when lower bound 95% CI applied]])+ABS(Table3[[#This Row],[% change in ICER when upper bound 95% CI applied]])</f>
        <v>0.2517643723621652</v>
      </c>
      <c r="H9">
        <f t="shared" si="0"/>
        <v>4897069158.2980995</v>
      </c>
    </row>
    <row r="10" spans="1:8">
      <c r="A10" s="230" t="s">
        <v>335</v>
      </c>
      <c r="B10" s="8" t="s">
        <v>334</v>
      </c>
      <c r="C10">
        <v>-310736.58553047967</v>
      </c>
      <c r="D10">
        <v>-245508.22645711026</v>
      </c>
      <c r="E10">
        <v>-0.11794012196604103</v>
      </c>
      <c r="F10">
        <v>0.11673259793154751</v>
      </c>
      <c r="G10">
        <f>ABS(Table3[[#This Row],[% change in ICER when lower bound 95% CI applied]])+ABS(Table3[[#This Row],[% change in ICER when upper bound 95% CI applied]])</f>
        <v>0.23467271989758853</v>
      </c>
      <c r="H10">
        <f t="shared" si="0"/>
        <v>4254738827.4044142</v>
      </c>
    </row>
    <row r="11" spans="1:8">
      <c r="A11" s="230" t="s">
        <v>48</v>
      </c>
      <c r="B11" s="706" t="s">
        <v>47</v>
      </c>
      <c r="C11">
        <v>-249967.48439886561</v>
      </c>
      <c r="D11">
        <v>-302591.66788535559</v>
      </c>
      <c r="E11">
        <v>0.10068948102990086</v>
      </c>
      <c r="F11">
        <v>-8.8637070283057839E-2</v>
      </c>
      <c r="G11">
        <f>ABS(Table3[[#This Row],[% change in ICER when lower bound 95% CI applied]])+ABS(Table3[[#This Row],[% change in ICER when upper bound 95% CI applied]])</f>
        <v>0.1893265513129587</v>
      </c>
      <c r="H11">
        <f t="shared" si="0"/>
        <v>2769304687.6197653</v>
      </c>
    </row>
    <row r="12" spans="1:8">
      <c r="A12" s="230" t="s">
        <v>519</v>
      </c>
      <c r="B12" s="4" t="s">
        <v>290</v>
      </c>
      <c r="C12">
        <v>-291710.3601007862</v>
      </c>
      <c r="D12">
        <v>-240006.20354110948</v>
      </c>
      <c r="E12">
        <v>-4.9489280424118542E-2</v>
      </c>
      <c r="F12">
        <v>0.13652728081149607</v>
      </c>
      <c r="G12">
        <f>ABS(Table3[[#This Row],[% change in ICER when lower bound 95% CI applied]])+ABS(Table3[[#This Row],[% change in ICER when upper bound 95% CI applied]])</f>
        <v>0.18601656123561461</v>
      </c>
      <c r="H12">
        <f t="shared" si="0"/>
        <v>2673319805.5475612</v>
      </c>
    </row>
    <row r="13" spans="1:8">
      <c r="A13" s="230" t="s">
        <v>510</v>
      </c>
      <c r="B13" s="8" t="s">
        <v>327</v>
      </c>
      <c r="C13">
        <v>-264727.28582852567</v>
      </c>
      <c r="D13">
        <v>-314445.06639697432</v>
      </c>
      <c r="E13">
        <v>4.7587995788633063E-2</v>
      </c>
      <c r="F13">
        <v>-0.13128216067422879</v>
      </c>
      <c r="G13">
        <f>ABS(Table3[[#This Row],[% change in ICER when lower bound 95% CI applied]])+ABS(Table3[[#This Row],[% change in ICER when upper bound 95% CI applied]])</f>
        <v>0.17887015646286186</v>
      </c>
      <c r="H13">
        <f t="shared" si="0"/>
        <v>2471857704.6524105</v>
      </c>
    </row>
    <row r="14" spans="1:8">
      <c r="A14" s="230" t="s">
        <v>509</v>
      </c>
      <c r="B14" s="230" t="s">
        <v>329</v>
      </c>
      <c r="C14">
        <v>-264383.74604313826</v>
      </c>
      <c r="D14">
        <v>-312205.8769428893</v>
      </c>
      <c r="E14">
        <v>4.8823952310844729E-2</v>
      </c>
      <c r="F14">
        <v>-0.1232262063773398</v>
      </c>
      <c r="G14">
        <f>ABS(Table3[[#This Row],[% change in ICER when lower bound 95% CI applied]])+ABS(Table3[[#This Row],[% change in ICER when upper bound 95% CI applied]])</f>
        <v>0.17205015868818452</v>
      </c>
      <c r="H14">
        <f t="shared" si="0"/>
        <v>2286956203.792923</v>
      </c>
    </row>
    <row r="15" spans="1:8">
      <c r="A15" s="230" t="s">
        <v>518</v>
      </c>
      <c r="B15" s="230" t="s">
        <v>295</v>
      </c>
      <c r="C15">
        <v>-288820.28385299857</v>
      </c>
      <c r="D15">
        <v>-247979.12713318574</v>
      </c>
      <c r="E15">
        <v>-3.9091624198904142E-2</v>
      </c>
      <c r="F15">
        <v>0.10784301385356694</v>
      </c>
      <c r="G15">
        <f>ABS(Table3[[#This Row],[% change in ICER when lower bound 95% CI applied]])+ABS(Table3[[#This Row],[% change in ICER when upper bound 95% CI applied]])</f>
        <v>0.14693463805247109</v>
      </c>
      <c r="H15">
        <f t="shared" si="0"/>
        <v>1668000082.2123129</v>
      </c>
    </row>
    <row r="16" spans="1:8">
      <c r="A16" s="230" t="s">
        <v>278</v>
      </c>
      <c r="B16" s="230" t="s">
        <v>278</v>
      </c>
      <c r="C16">
        <v>-263837.41708612017</v>
      </c>
      <c r="D16">
        <v>-291095.08938878356</v>
      </c>
      <c r="E16">
        <v>5.0789485464270194E-2</v>
      </c>
      <c r="F16">
        <v>-4.7275714829181852E-2</v>
      </c>
      <c r="G16">
        <f>ABS(Table3[[#This Row],[% change in ICER when lower bound 95% CI applied]])+ABS(Table3[[#This Row],[% change in ICER when upper bound 95% CI applied]])</f>
        <v>9.8065200293452046E-2</v>
      </c>
      <c r="H16">
        <f t="shared" si="0"/>
        <v>742980699.35938263</v>
      </c>
    </row>
    <row r="17" spans="1:8">
      <c r="A17" s="230" t="s">
        <v>517</v>
      </c>
      <c r="B17" s="230" t="s">
        <v>294</v>
      </c>
      <c r="C17">
        <v>-270867.62433373497</v>
      </c>
      <c r="D17">
        <v>-297505.56531322474</v>
      </c>
      <c r="E17">
        <v>2.5496838528513331E-2</v>
      </c>
      <c r="F17">
        <v>-7.0338748184574085E-2</v>
      </c>
      <c r="G17">
        <f>ABS(Table3[[#This Row],[% change in ICER when lower bound 95% CI applied]])+ABS(Table3[[#This Row],[% change in ICER when upper bound 95% CI applied]])</f>
        <v>9.5835586713087423E-2</v>
      </c>
      <c r="H17">
        <f t="shared" si="0"/>
        <v>709579899.62678015</v>
      </c>
    </row>
    <row r="18" spans="1:8">
      <c r="A18" s="230" t="s">
        <v>277</v>
      </c>
      <c r="B18" s="230" t="s">
        <v>277</v>
      </c>
      <c r="C18">
        <v>-266475.2025256129</v>
      </c>
      <c r="D18">
        <v>-288370.12593904563</v>
      </c>
      <c r="E18">
        <v>4.1299498403646162E-2</v>
      </c>
      <c r="F18">
        <v>-3.7472086569083671E-2</v>
      </c>
      <c r="G18">
        <f>ABS(Table3[[#This Row],[% change in ICER when lower bound 95% CI applied]])+ABS(Table3[[#This Row],[% change in ICER when upper bound 95% CI applied]])</f>
        <v>7.8771584972729833E-2</v>
      </c>
      <c r="H18">
        <f t="shared" si="0"/>
        <v>479387671.28008461</v>
      </c>
    </row>
    <row r="19" spans="1:8">
      <c r="A19" s="230" t="s">
        <v>508</v>
      </c>
      <c r="B19" s="147" t="s">
        <v>288</v>
      </c>
      <c r="C19">
        <v>-272609.47635721316</v>
      </c>
      <c r="D19">
        <v>-292700.2757979295</v>
      </c>
      <c r="E19">
        <v>1.9230160080432757E-2</v>
      </c>
      <c r="F19">
        <v>-5.3050710029554957E-2</v>
      </c>
      <c r="G19">
        <f>ABS(Table3[[#This Row],[% change in ICER when lower bound 95% CI applied]])+ABS(Table3[[#This Row],[% change in ICER when upper bound 95% CI applied]])</f>
        <v>7.228087010998771E-2</v>
      </c>
      <c r="H19">
        <f t="shared" si="0"/>
        <v>403640222.16708779</v>
      </c>
    </row>
    <row r="20" spans="1:8">
      <c r="A20" s="230" t="s">
        <v>507</v>
      </c>
      <c r="B20" s="230" t="s">
        <v>55</v>
      </c>
      <c r="C20">
        <v>-270095.45014413359</v>
      </c>
      <c r="D20">
        <v>-282301.84690381261</v>
      </c>
      <c r="E20">
        <v>2.8274897334264502E-2</v>
      </c>
      <c r="F20">
        <v>-1.5640178384886474E-2</v>
      </c>
      <c r="G20">
        <f>ABS(Table3[[#This Row],[% change in ICER when lower bound 95% CI applied]])+ABS(Table3[[#This Row],[% change in ICER when upper bound 95% CI applied]])</f>
        <v>4.3915075719150973E-2</v>
      </c>
      <c r="H20">
        <f t="shared" si="0"/>
        <v>148996121.85470241</v>
      </c>
    </row>
    <row r="21" spans="1:8">
      <c r="A21" s="230" t="s">
        <v>506</v>
      </c>
      <c r="B21" s="230" t="s">
        <v>326</v>
      </c>
      <c r="C21">
        <v>-273442.02444035007</v>
      </c>
      <c r="D21">
        <v>-283407.31360026047</v>
      </c>
      <c r="E21">
        <v>1.6234893514007247E-2</v>
      </c>
      <c r="F21">
        <v>-1.9617326976342254E-2</v>
      </c>
      <c r="G21">
        <f>ABS(Table3[[#This Row],[% change in ICER when lower bound 95% CI applied]])+ABS(Table3[[#This Row],[% change in ICER when upper bound 95% CI applied]])</f>
        <v>3.5852220490349501E-2</v>
      </c>
      <c r="H21">
        <f t="shared" si="0"/>
        <v>99306988.040627807</v>
      </c>
    </row>
    <row r="22" spans="1:8">
      <c r="A22" s="230" t="s">
        <v>505</v>
      </c>
      <c r="B22" s="230" t="s">
        <v>325</v>
      </c>
      <c r="C22">
        <v>-273563.97786394611</v>
      </c>
      <c r="D22">
        <v>-283511.47436683916</v>
      </c>
      <c r="E22">
        <v>1.5796140462072956E-2</v>
      </c>
      <c r="F22">
        <v>-1.999206720815069E-2</v>
      </c>
      <c r="G22">
        <f>ABS(Table3[[#This Row],[% change in ICER when lower bound 95% CI applied]])+ABS(Table3[[#This Row],[% change in ICER when upper bound 95% CI applied]])</f>
        <v>3.5788207670223643E-2</v>
      </c>
      <c r="H22">
        <f t="shared" si="0"/>
        <v>98952686.675069377</v>
      </c>
    </row>
    <row r="23" spans="1:8">
      <c r="A23" s="230" t="s">
        <v>504</v>
      </c>
      <c r="B23" s="230" t="s">
        <v>319</v>
      </c>
      <c r="C23">
        <v>-273621.98736690631</v>
      </c>
      <c r="D23">
        <v>-282370.31586566044</v>
      </c>
      <c r="E23">
        <v>1.5587439093021746E-2</v>
      </c>
      <c r="F23">
        <v>-1.5886509853800499E-2</v>
      </c>
      <c r="G23">
        <f>ABS(Table3[[#This Row],[% change in ICER when lower bound 95% CI applied]])+ABS(Table3[[#This Row],[% change in ICER when upper bound 95% CI applied]])</f>
        <v>3.1473948946822247E-2</v>
      </c>
      <c r="H23">
        <f t="shared" si="0"/>
        <v>76533251.522113621</v>
      </c>
    </row>
    <row r="24" spans="1:8">
      <c r="A24" s="230" t="s">
        <v>513</v>
      </c>
      <c r="B24" s="230" t="s">
        <v>298</v>
      </c>
      <c r="C24">
        <v>-280516.64007279743</v>
      </c>
      <c r="D24">
        <v>-274994.37772681721</v>
      </c>
      <c r="E24">
        <v>-9.2175219120651884E-3</v>
      </c>
      <c r="F24">
        <v>1.0649976567569228E-2</v>
      </c>
      <c r="G24">
        <f>ABS(Table3[[#This Row],[% change in ICER when lower bound 95% CI applied]])+ABS(Table3[[#This Row],[% change in ICER when upper bound 95% CI applied]])</f>
        <v>1.9867498479634416E-2</v>
      </c>
      <c r="H24">
        <f t="shared" si="0"/>
        <v>30495381.417830881</v>
      </c>
    </row>
    <row r="25" spans="1:8">
      <c r="A25" s="230" t="s">
        <v>514</v>
      </c>
      <c r="B25" s="230" t="s">
        <v>303</v>
      </c>
      <c r="C25">
        <v>-280075.63097418932</v>
      </c>
      <c r="D25">
        <v>-274978.43828197796</v>
      </c>
      <c r="E25">
        <v>-7.6308990667236665E-3</v>
      </c>
      <c r="F25">
        <v>1.0707322067704812E-2</v>
      </c>
      <c r="G25">
        <f>ABS(Table3[[#This Row],[% change in ICER when lower bound 95% CI applied]])+ABS(Table3[[#This Row],[% change in ICER when upper bound 95% CI applied]])</f>
        <v>1.8338221134428477E-2</v>
      </c>
      <c r="H25">
        <f t="shared" si="0"/>
        <v>25981373.341532927</v>
      </c>
    </row>
    <row r="26" spans="1:8">
      <c r="A26" s="230" t="s">
        <v>256</v>
      </c>
      <c r="B26" s="230" t="s">
        <v>234</v>
      </c>
      <c r="C26">
        <v>-279904.81105611986</v>
      </c>
      <c r="D26">
        <v>-276098.6457281654</v>
      </c>
      <c r="E26">
        <v>-7.0163385388257535E-3</v>
      </c>
      <c r="F26">
        <v>6.6771405334637478E-3</v>
      </c>
      <c r="G26">
        <f>ABS(Table3[[#This Row],[% change in ICER when lower bound 95% CI applied]])+ABS(Table3[[#This Row],[% change in ICER when upper bound 95% CI applied]])</f>
        <v>1.3693479072289502E-2</v>
      </c>
      <c r="H26">
        <f t="shared" si="0"/>
        <v>14486894.503722645</v>
      </c>
    </row>
    <row r="27" spans="1:8">
      <c r="A27" s="230" t="s">
        <v>257</v>
      </c>
      <c r="B27" s="230" t="s">
        <v>235</v>
      </c>
      <c r="C27">
        <v>-279547.02161879482</v>
      </c>
      <c r="D27">
        <v>-276453.23962081299</v>
      </c>
      <c r="E27">
        <v>-5.7291159013031692E-3</v>
      </c>
      <c r="F27">
        <v>5.4014145389912355E-3</v>
      </c>
      <c r="G27">
        <f>ABS(Table3[[#This Row],[% change in ICER when lower bound 95% CI applied]])+ABS(Table3[[#This Row],[% change in ICER when upper bound 95% CI applied]])</f>
        <v>1.1130530440294405E-2</v>
      </c>
      <c r="H27">
        <f t="shared" si="0"/>
        <v>9571487.0510364473</v>
      </c>
    </row>
    <row r="28" spans="1:8">
      <c r="A28" s="230" t="s">
        <v>36</v>
      </c>
      <c r="B28" s="230" t="s">
        <v>35</v>
      </c>
      <c r="C28">
        <v>-279008.22601073835</v>
      </c>
      <c r="D28">
        <v>-276950.48145218118</v>
      </c>
      <c r="E28">
        <v>-3.7906855527906932E-3</v>
      </c>
      <c r="F28">
        <v>3.6124826285199468E-3</v>
      </c>
      <c r="G28">
        <f>ABS(Table3[[#This Row],[% change in ICER when lower bound 95% CI applied]])+ABS(Table3[[#This Row],[% change in ICER when upper bound 95% CI applied]])</f>
        <v>7.40316818131064E-3</v>
      </c>
      <c r="H28">
        <f t="shared" si="0"/>
        <v>4234312.6682716403</v>
      </c>
    </row>
    <row r="29" spans="1:8">
      <c r="A29" s="230" t="s">
        <v>503</v>
      </c>
      <c r="B29" s="230" t="s">
        <v>236</v>
      </c>
      <c r="C29">
        <v>-276874.99525187188</v>
      </c>
      <c r="D29">
        <v>-278896.60097546672</v>
      </c>
      <c r="E29">
        <v>3.8840600864380927E-3</v>
      </c>
      <c r="F29">
        <v>-3.3890910468428576E-3</v>
      </c>
      <c r="G29">
        <f>ABS(Table3[[#This Row],[% change in ICER when lower bound 95% CI applied]])+ABS(Table3[[#This Row],[% change in ICER when upper bound 95% CI applied]])</f>
        <v>7.2731511332809508E-3</v>
      </c>
      <c r="H29">
        <f t="shared" si="0"/>
        <v>4086889.7016714136</v>
      </c>
    </row>
    <row r="30" spans="1:8">
      <c r="A30" s="230" t="s">
        <v>502</v>
      </c>
      <c r="B30" s="230" t="s">
        <v>320</v>
      </c>
      <c r="C30">
        <v>-277392.08155956102</v>
      </c>
      <c r="D30">
        <v>-278637.53474301269</v>
      </c>
      <c r="E30">
        <v>2.0237335050086753E-3</v>
      </c>
      <c r="F30">
        <v>-2.4570458709826932E-3</v>
      </c>
      <c r="G30">
        <f>ABS(Table3[[#This Row],[% change in ICER when lower bound 95% CI applied]])+ABS(Table3[[#This Row],[% change in ICER when upper bound 95% CI applied]])</f>
        <v>4.480779375991369E-3</v>
      </c>
      <c r="H30">
        <f t="shared" si="0"/>
        <v>1551153.6321698928</v>
      </c>
    </row>
    <row r="31" spans="1:8">
      <c r="A31" s="230" t="s">
        <v>515</v>
      </c>
      <c r="B31" s="230" t="s">
        <v>297</v>
      </c>
      <c r="C31">
        <v>-277368.42118433549</v>
      </c>
      <c r="D31">
        <v>-278584.34430064529</v>
      </c>
      <c r="E31">
        <v>2.1088566736250703E-3</v>
      </c>
      <c r="F31">
        <v>-2.265682084429775E-3</v>
      </c>
      <c r="G31">
        <f>ABS(Table3[[#This Row],[% change in ICER when lower bound 95% CI applied]])+ABS(Table3[[#This Row],[% change in ICER when upper bound 95% CI applied]])</f>
        <v>4.3745387580548453E-3</v>
      </c>
      <c r="H31">
        <f t="shared" si="0"/>
        <v>1478469.0247765381</v>
      </c>
    </row>
    <row r="32" spans="1:8">
      <c r="A32" s="230" t="s">
        <v>516</v>
      </c>
      <c r="B32" s="230" t="s">
        <v>302</v>
      </c>
      <c r="C32">
        <v>-277458.8076456401</v>
      </c>
      <c r="D32">
        <v>-278634.44344201696</v>
      </c>
      <c r="E32">
        <v>1.7836723976813193E-3</v>
      </c>
      <c r="F32">
        <v>-2.4459242664690191E-3</v>
      </c>
      <c r="G32">
        <f>ABS(Table3[[#This Row],[% change in ICER when lower bound 95% CI applied]])+ABS(Table3[[#This Row],[% change in ICER when upper bound 95% CI applied]])</f>
        <v>4.2295966641503384E-3</v>
      </c>
      <c r="H32">
        <f t="shared" si="0"/>
        <v>1382119.525722638</v>
      </c>
    </row>
    <row r="33" spans="1:8">
      <c r="A33" s="230" t="s">
        <v>42</v>
      </c>
      <c r="B33" s="230" t="s">
        <v>41</v>
      </c>
      <c r="C33">
        <v>-278532.90909053822</v>
      </c>
      <c r="D33">
        <v>-277411.80200281146</v>
      </c>
      <c r="E33">
        <v>-2.0806331145368962E-3</v>
      </c>
      <c r="F33">
        <v>1.9527850690690158E-3</v>
      </c>
      <c r="G33">
        <f>ABS(Table3[[#This Row],[% change in ICER when lower bound 95% CI applied]])+ABS(Table3[[#This Row],[% change in ICER when upper bound 95% CI applied]])</f>
        <v>4.0334181836059121E-3</v>
      </c>
      <c r="H33">
        <f t="shared" si="0"/>
        <v>1256881.1021511839</v>
      </c>
    </row>
    <row r="34" spans="1:8">
      <c r="A34" s="230" t="s">
        <v>501</v>
      </c>
      <c r="B34" s="230" t="s">
        <v>321</v>
      </c>
      <c r="C34">
        <v>-277617.08396425686</v>
      </c>
      <c r="D34">
        <v>-278364.35587432666</v>
      </c>
      <c r="E34">
        <v>1.2142401030041999E-3</v>
      </c>
      <c r="F34">
        <v>-1.4742275225863072E-3</v>
      </c>
      <c r="G34">
        <f>ABS(Table3[[#This Row],[% change in ICER when lower bound 95% CI applied]])+ABS(Table3[[#This Row],[% change in ICER when upper bound 95% CI applied]])</f>
        <v>2.6884676255905073E-3</v>
      </c>
      <c r="H34">
        <f t="shared" si="0"/>
        <v>558415.30757936928</v>
      </c>
    </row>
    <row r="35" spans="1:8" ht="16.5" thickBot="1">
      <c r="A35" s="230" t="s">
        <v>306</v>
      </c>
      <c r="B35" s="227" t="s">
        <v>318</v>
      </c>
      <c r="C35">
        <v>-277732.22376530769</v>
      </c>
      <c r="D35">
        <v>-278258.1602122527</v>
      </c>
      <c r="E35">
        <v>8.0000048905542087E-4</v>
      </c>
      <c r="F35">
        <v>-1.0921663269000705E-3</v>
      </c>
      <c r="G35">
        <f>ABS(Table3[[#This Row],[% change in ICER when lower bound 95% CI applied]])+ABS(Table3[[#This Row],[% change in ICER when upper bound 95% CI applied]])</f>
        <v>1.8921668159554914E-3</v>
      </c>
      <c r="H35">
        <f t="shared" si="0"/>
        <v>276609.14622513962</v>
      </c>
    </row>
    <row r="36" spans="1:8">
      <c r="A36" s="230" t="s">
        <v>499</v>
      </c>
      <c r="B36" s="230" t="s">
        <v>57</v>
      </c>
      <c r="C36">
        <v>-277731.61619182146</v>
      </c>
      <c r="D36">
        <v>-278142.81897381722</v>
      </c>
      <c r="E36">
        <v>8.0218636226418174E-4</v>
      </c>
      <c r="F36">
        <v>-6.7720199965763087E-4</v>
      </c>
      <c r="G36">
        <f>ABS(Table3[[#This Row],[% change in ICER when lower bound 95% CI applied]])+ABS(Table3[[#This Row],[% change in ICER when upper bound 95% CI applied]])</f>
        <v>1.4793883619218127E-3</v>
      </c>
      <c r="H36">
        <f t="shared" si="0"/>
        <v>169087.72792105121</v>
      </c>
    </row>
    <row r="37" spans="1:8">
      <c r="A37" s="230" t="s">
        <v>500</v>
      </c>
      <c r="B37" s="707" t="s">
        <v>59</v>
      </c>
      <c r="C37">
        <v>-277766.77312287089</v>
      </c>
      <c r="D37">
        <v>-278100.11411275383</v>
      </c>
      <c r="E37">
        <v>6.7570191976364211E-4</v>
      </c>
      <c r="F37">
        <v>-5.2356229384619411E-4</v>
      </c>
      <c r="G37">
        <f>ABS(Table3[[#This Row],[% change in ICER when lower bound 95% CI applied]])+ABS(Table3[[#This Row],[% change in ICER when upper bound 95% CI applied]])</f>
        <v>1.1992642136098362E-3</v>
      </c>
      <c r="H37">
        <f t="shared" si="0"/>
        <v>111116.21553613921</v>
      </c>
    </row>
    <row r="38" spans="1:8">
      <c r="A38" s="230" t="s">
        <v>30</v>
      </c>
      <c r="B38" s="230" t="s">
        <v>29</v>
      </c>
      <c r="C38">
        <v>-278084.13882061804</v>
      </c>
      <c r="D38">
        <v>-277777.18128012278</v>
      </c>
      <c r="E38">
        <v>-4.6608782553331251E-4</v>
      </c>
      <c r="F38">
        <v>6.3825638830889754E-4</v>
      </c>
      <c r="G38">
        <f>ABS(Table3[[#This Row],[% change in ICER when lower bound 95% CI applied]])+ABS(Table3[[#This Row],[% change in ICER when upper bound 95% CI applied]])</f>
        <v>1.1043442138422102E-3</v>
      </c>
      <c r="H38">
        <f t="shared" si="0"/>
        <v>94222.931666900986</v>
      </c>
    </row>
    <row r="39" spans="1:8">
      <c r="A39" s="230" t="s">
        <v>498</v>
      </c>
      <c r="B39" s="230" t="s">
        <v>323</v>
      </c>
      <c r="C39">
        <v>-277851.74160601868</v>
      </c>
      <c r="D39">
        <v>-278096.9867222684</v>
      </c>
      <c r="E39">
        <v>3.7000995802907412E-4</v>
      </c>
      <c r="F39">
        <v>-5.1231084981442638E-4</v>
      </c>
      <c r="G39">
        <f>ABS(Table3[[#This Row],[% change in ICER when lower bound 95% CI applied]])+ABS(Table3[[#This Row],[% change in ICER when upper bound 95% CI applied]])</f>
        <v>8.8232080784350045E-4</v>
      </c>
      <c r="H39">
        <f t="shared" si="0"/>
        <v>60145.1670443369</v>
      </c>
    </row>
    <row r="40" spans="1:8" ht="16.5" thickBot="1">
      <c r="A40" s="230" t="s">
        <v>255</v>
      </c>
      <c r="B40" s="227" t="s">
        <v>233</v>
      </c>
      <c r="C40">
        <v>-277954.58757130051</v>
      </c>
      <c r="D40">
        <v>-277954.58757130051</v>
      </c>
      <c r="E40">
        <v>-2.094142839018125E-15</v>
      </c>
      <c r="F40">
        <v>-2.094142839018125E-15</v>
      </c>
      <c r="G40">
        <f>ABS(Table3[[#This Row],[% change in ICER when lower bound 95% CI applied]])+ABS(Table3[[#This Row],[% change in ICER when upper bound 95% CI applied]])</f>
        <v>4.1882856780362499E-15</v>
      </c>
      <c r="H40">
        <f t="shared" si="0"/>
        <v>0</v>
      </c>
    </row>
    <row r="41" spans="1:8">
      <c r="A41" s="230"/>
    </row>
    <row r="42" spans="1:8">
      <c r="A42" s="11"/>
      <c r="B42" s="11"/>
    </row>
    <row r="43" spans="1:8">
      <c r="A43"/>
      <c r="B43"/>
    </row>
    <row r="44" spans="1:8">
      <c r="A44"/>
      <c r="B44"/>
    </row>
    <row r="45" spans="1:8">
      <c r="A45"/>
      <c r="B45"/>
    </row>
    <row r="46" spans="1:8">
      <c r="A46"/>
      <c r="B46"/>
    </row>
    <row r="47" spans="1:8">
      <c r="A47"/>
      <c r="B47"/>
    </row>
    <row r="48" spans="1:8">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2698A-8632-D246-B43B-3CE5FF0ACAE3}">
  <sheetPr codeName="Sheet8"/>
  <dimension ref="A1:CC1012"/>
  <sheetViews>
    <sheetView zoomScale="55" zoomScaleNormal="55" workbookViewId="0">
      <pane xSplit="2" ySplit="6" topLeftCell="AB152" activePane="bottomRight" state="frozen"/>
      <selection activeCell="A2" sqref="A2:E18"/>
      <selection pane="topRight" activeCell="A2" sqref="A2:E18"/>
      <selection pane="bottomLeft" activeCell="A2" sqref="A2:E18"/>
      <selection pane="bottomRight" activeCell="BY26" sqref="BY26"/>
    </sheetView>
  </sheetViews>
  <sheetFormatPr defaultColWidth="11.25" defaultRowHeight="15.75"/>
  <cols>
    <col min="1" max="1" width="10.75" style="11" customWidth="1"/>
    <col min="2" max="2" width="1.75" style="127" customWidth="1"/>
    <col min="5" max="5" width="11.25" customWidth="1"/>
    <col min="8" max="8" width="11.25" customWidth="1"/>
    <col min="11" max="11" width="11.25" customWidth="1"/>
    <col min="15" max="15" width="12.5" customWidth="1"/>
    <col min="16" max="16" width="12.75" customWidth="1"/>
    <col min="17" max="17" width="12.25" customWidth="1"/>
    <col min="18" max="18" width="10.25" customWidth="1"/>
    <col min="19" max="19" width="1.75" style="127" customWidth="1"/>
    <col min="23" max="23" width="0" hidden="1" customWidth="1"/>
    <col min="24" max="24" width="1.75" style="127" customWidth="1"/>
    <col min="25" max="28" width="15.75" customWidth="1"/>
    <col min="29" max="29" width="16.25" customWidth="1"/>
    <col min="30" max="30" width="17" customWidth="1"/>
    <col min="31" max="34" width="15.75" customWidth="1"/>
    <col min="35" max="35" width="23" customWidth="1"/>
    <col min="36" max="36" width="24" customWidth="1"/>
    <col min="37" max="37" width="1.75" style="127" customWidth="1"/>
    <col min="43" max="47" width="0" hidden="1" customWidth="1"/>
    <col min="48" max="48" width="1.75" style="127" customWidth="1"/>
    <col min="51" max="51" width="22.25" customWidth="1"/>
    <col min="54" max="56" width="23.25" customWidth="1"/>
    <col min="57" max="57" width="1.75" style="10" customWidth="1"/>
    <col min="58" max="58" width="25" style="10" customWidth="1"/>
    <col min="59" max="59" width="23.75" customWidth="1"/>
    <col min="60" max="60" width="1.75" style="127" customWidth="1"/>
    <col min="61" max="61" width="20.75" customWidth="1"/>
    <col min="62" max="62" width="20.75" style="95" customWidth="1"/>
    <col min="63" max="63" width="1.75" customWidth="1"/>
    <col min="64" max="64" width="23.25" style="10" customWidth="1"/>
    <col min="65" max="65" width="20.75" customWidth="1"/>
    <col min="66" max="66" width="20.75" style="95" customWidth="1"/>
    <col min="67" max="67" width="1.75" customWidth="1"/>
    <col min="68" max="68" width="23.25" style="217" customWidth="1"/>
    <col min="69" max="69" width="1.75" customWidth="1"/>
    <col min="70" max="70" width="10.75" style="10"/>
    <col min="71" max="71" width="10.75" style="95"/>
    <col min="72" max="72" width="2" customWidth="1"/>
    <col min="73" max="73" width="24" style="10" customWidth="1"/>
    <col min="74" max="74" width="25.75" style="95" customWidth="1"/>
    <col min="75" max="75" width="2.25" customWidth="1"/>
    <col min="76" max="76" width="20.25" style="184" customWidth="1"/>
    <col min="77" max="77" width="15.75" customWidth="1"/>
    <col min="78" max="78" width="15.75" style="185" customWidth="1"/>
    <col min="79" max="79" width="2" customWidth="1"/>
    <col min="80" max="80" width="16" style="186" customWidth="1"/>
    <col min="81" max="81" width="24.75" style="187" customWidth="1"/>
  </cols>
  <sheetData>
    <row r="1" spans="1:81" ht="16.5" thickBot="1">
      <c r="B1" s="137"/>
      <c r="C1" s="737" t="s">
        <v>198</v>
      </c>
      <c r="D1" s="732"/>
      <c r="E1" s="732"/>
      <c r="F1" s="732"/>
      <c r="G1" s="732"/>
      <c r="H1" s="732"/>
      <c r="I1" s="732"/>
      <c r="J1" s="732"/>
      <c r="K1" s="732"/>
      <c r="L1" s="732"/>
      <c r="M1" s="732"/>
      <c r="N1" s="732"/>
      <c r="O1" s="732"/>
      <c r="P1" s="732"/>
      <c r="Q1" s="732"/>
      <c r="R1" s="732"/>
      <c r="S1" s="732"/>
      <c r="T1" s="732"/>
      <c r="U1" s="732"/>
      <c r="V1" s="732"/>
      <c r="W1" s="732"/>
      <c r="X1" s="732"/>
      <c r="Y1" s="732"/>
      <c r="Z1" s="732"/>
      <c r="AA1" s="732"/>
      <c r="AB1" s="732"/>
      <c r="AC1" s="732"/>
      <c r="AD1" s="732"/>
      <c r="AE1" s="732"/>
      <c r="AF1" s="732"/>
      <c r="AG1" s="732"/>
      <c r="AH1" s="732"/>
      <c r="AI1" s="732"/>
      <c r="AJ1" s="732"/>
      <c r="AK1" s="732"/>
      <c r="AL1" s="732"/>
      <c r="AM1" s="732"/>
      <c r="AN1" s="732"/>
      <c r="AO1" s="732"/>
      <c r="AP1" s="732"/>
      <c r="AQ1" s="732"/>
      <c r="AR1" s="732"/>
      <c r="AS1" s="732"/>
      <c r="AT1" s="732"/>
      <c r="AU1" s="738"/>
      <c r="AV1" s="126"/>
      <c r="AW1" s="737" t="s">
        <v>199</v>
      </c>
      <c r="AX1" s="732"/>
      <c r="AY1" s="732"/>
      <c r="AZ1" s="732"/>
      <c r="BA1" s="732"/>
      <c r="BB1" s="738"/>
      <c r="BC1" s="395"/>
      <c r="BD1" s="395"/>
      <c r="BE1" s="138"/>
      <c r="BF1" s="734" t="s">
        <v>222</v>
      </c>
      <c r="BG1" s="736"/>
      <c r="BH1" s="126"/>
      <c r="BI1" s="712" t="s">
        <v>200</v>
      </c>
      <c r="BJ1" s="714"/>
      <c r="BL1" s="739" t="s">
        <v>201</v>
      </c>
      <c r="BM1" s="740"/>
      <c r="BN1" s="741"/>
      <c r="BP1" s="213" t="s">
        <v>209</v>
      </c>
      <c r="BR1" s="712" t="s">
        <v>202</v>
      </c>
      <c r="BS1" s="714"/>
      <c r="BU1" s="712" t="s">
        <v>203</v>
      </c>
      <c r="BV1" s="714"/>
      <c r="BX1" s="734" t="s">
        <v>221</v>
      </c>
      <c r="BY1" s="735"/>
      <c r="BZ1" s="736"/>
      <c r="CB1" s="734" t="s">
        <v>472</v>
      </c>
      <c r="CC1" s="736"/>
    </row>
    <row r="2" spans="1:81" ht="7.9" customHeight="1" thickBot="1">
      <c r="A2"/>
      <c r="B2"/>
      <c r="C2" s="96"/>
      <c r="D2" s="96"/>
      <c r="E2" s="96"/>
      <c r="F2" s="96"/>
      <c r="G2" s="96"/>
      <c r="H2" s="96"/>
      <c r="I2" s="96"/>
      <c r="J2" s="96"/>
      <c r="K2" s="96"/>
      <c r="L2" s="96"/>
      <c r="M2" s="96"/>
      <c r="N2" s="96"/>
      <c r="O2" s="96"/>
      <c r="P2" s="96"/>
      <c r="Q2" s="96"/>
      <c r="R2" s="96"/>
      <c r="S2"/>
      <c r="T2" s="96"/>
      <c r="U2" s="96"/>
      <c r="V2" s="96"/>
      <c r="W2" s="96"/>
      <c r="X2"/>
      <c r="Y2" s="96"/>
      <c r="Z2" s="96"/>
      <c r="AA2" s="96"/>
      <c r="AB2" s="96"/>
      <c r="AC2" s="96"/>
      <c r="AD2" s="96"/>
      <c r="AE2" s="96"/>
      <c r="AF2" s="96"/>
      <c r="AG2" s="96"/>
      <c r="AH2" s="96"/>
      <c r="AI2" s="96"/>
      <c r="AJ2" s="96"/>
      <c r="AK2"/>
      <c r="AL2" s="96"/>
      <c r="AM2" s="96"/>
      <c r="AN2" s="96"/>
      <c r="AO2" s="96"/>
      <c r="AP2" s="96"/>
      <c r="AQ2" s="96"/>
      <c r="AR2" s="96"/>
      <c r="AS2" s="96"/>
      <c r="AT2" s="96"/>
      <c r="AU2" s="96"/>
      <c r="AV2"/>
      <c r="BE2"/>
      <c r="BF2"/>
      <c r="BH2" s="95"/>
      <c r="BJ2"/>
      <c r="BL2"/>
      <c r="BN2"/>
      <c r="BP2" s="191"/>
      <c r="BR2" s="104"/>
      <c r="BS2" s="104"/>
      <c r="BU2" s="183"/>
      <c r="BV2"/>
      <c r="BX2" s="198"/>
      <c r="BZ2"/>
      <c r="CB2" s="199"/>
      <c r="CC2" s="200"/>
    </row>
    <row r="3" spans="1:81" ht="16.5" thickBot="1">
      <c r="A3" s="151" t="s">
        <v>204</v>
      </c>
      <c r="B3" s="95"/>
      <c r="C3" s="21" t="s">
        <v>205</v>
      </c>
      <c r="D3" s="21"/>
      <c r="E3" s="21"/>
      <c r="F3" s="21"/>
      <c r="G3" s="21"/>
      <c r="H3" s="21"/>
      <c r="I3" s="21"/>
      <c r="J3" s="21"/>
      <c r="K3" s="21"/>
      <c r="L3" s="21"/>
      <c r="M3" s="21"/>
      <c r="N3" s="21"/>
      <c r="O3" s="21"/>
      <c r="P3" s="21"/>
      <c r="Q3" s="21"/>
      <c r="R3" s="21"/>
      <c r="T3" s="21" t="s">
        <v>206</v>
      </c>
      <c r="U3" s="21"/>
      <c r="V3" s="21"/>
      <c r="W3" s="21"/>
      <c r="Y3" s="21" t="s">
        <v>397</v>
      </c>
      <c r="Z3" s="21"/>
      <c r="AA3" s="21"/>
      <c r="AB3" s="21"/>
      <c r="AC3" s="21"/>
      <c r="AD3" s="21"/>
      <c r="AE3" s="21"/>
      <c r="AF3" s="21"/>
      <c r="AG3" s="21"/>
      <c r="AH3" s="21"/>
      <c r="AI3" s="21"/>
      <c r="AJ3" s="21"/>
      <c r="AL3" s="21" t="s">
        <v>207</v>
      </c>
      <c r="AM3" s="21"/>
      <c r="AN3" s="21"/>
      <c r="AO3" s="21"/>
      <c r="AP3" s="21"/>
      <c r="AQ3" s="21"/>
      <c r="AR3" s="21"/>
      <c r="AS3" s="21"/>
      <c r="AT3" s="21"/>
      <c r="AU3" s="21"/>
      <c r="AW3" s="396" t="s">
        <v>0</v>
      </c>
      <c r="AX3" s="390"/>
      <c r="AY3" s="390"/>
      <c r="AZ3" s="390" t="s">
        <v>208</v>
      </c>
      <c r="BA3" s="390"/>
      <c r="BB3" s="390"/>
      <c r="BC3" s="390" t="s">
        <v>197</v>
      </c>
      <c r="BD3" s="397"/>
      <c r="BE3" s="139"/>
      <c r="BF3" s="210" t="s">
        <v>194</v>
      </c>
      <c r="BG3" s="174">
        <v>160000</v>
      </c>
      <c r="BI3" s="96"/>
      <c r="BJ3" s="96"/>
      <c r="BL3" s="96"/>
      <c r="BM3" s="96"/>
      <c r="BN3" s="96"/>
      <c r="BP3" s="214">
        <f>BP5-(MAX(BF5,BG5))</f>
        <v>0</v>
      </c>
      <c r="BR3" s="177" t="s">
        <v>210</v>
      </c>
      <c r="BS3" s="178" t="s">
        <v>202</v>
      </c>
      <c r="BU3" s="30" t="s">
        <v>211</v>
      </c>
      <c r="BV3" s="175">
        <f>BS4*BP3</f>
        <v>0</v>
      </c>
      <c r="BX3" s="197"/>
      <c r="BZ3" s="197"/>
      <c r="CB3" s="11"/>
      <c r="CC3" s="7"/>
    </row>
    <row r="4" spans="1:81" s="4" customFormat="1" ht="16.5" thickBot="1">
      <c r="A4" s="8"/>
      <c r="B4" s="145"/>
      <c r="C4" s="28" t="str">
        <f>'Parameters &amp; DSA'!A10</f>
        <v>p3a/3a</v>
      </c>
      <c r="D4" s="28" t="str">
        <f>'Parameters &amp; DSA'!A11</f>
        <v>p3a/3b</v>
      </c>
      <c r="E4" s="28" t="str">
        <f>'Parameters &amp; DSA'!A12</f>
        <v>p3a/Death</v>
      </c>
      <c r="F4" s="28" t="str">
        <f>'Parameters &amp; DSA'!A13</f>
        <v>p3b/3b</v>
      </c>
      <c r="G4" s="28" t="str">
        <f>'Parameters &amp; DSA'!A14</f>
        <v>p3b/4</v>
      </c>
      <c r="H4" s="28" t="str">
        <f>'Parameters &amp; DSA'!A15</f>
        <v>p3b/Death</v>
      </c>
      <c r="I4" s="28" t="str">
        <f>'Parameters &amp; DSA'!A16</f>
        <v>p4/4</v>
      </c>
      <c r="J4" s="28" t="str">
        <f>'Parameters &amp; DSA'!A17</f>
        <v>p4/5</v>
      </c>
      <c r="K4" s="28" t="str">
        <f>'Parameters &amp; DSA'!A18</f>
        <v>p4/Death</v>
      </c>
      <c r="L4" s="28" t="str">
        <f>'Parameters &amp; DSA'!A19</f>
        <v>p5/5</v>
      </c>
      <c r="M4" s="28" t="str">
        <f>'Parameters &amp; DSA'!A20</f>
        <v>p5/Dialysis</v>
      </c>
      <c r="N4" s="28" t="str">
        <f>'Parameters &amp; DSA'!A21</f>
        <v>p5/Death</v>
      </c>
      <c r="O4" s="28" t="s">
        <v>332</v>
      </c>
      <c r="P4" s="28" t="s">
        <v>334</v>
      </c>
      <c r="Q4" s="28" t="s">
        <v>336</v>
      </c>
      <c r="R4" s="28" t="s">
        <v>338</v>
      </c>
      <c r="S4" s="146"/>
      <c r="T4" s="28" t="str">
        <f>'Parameters &amp; DSA'!A26</f>
        <v>RR3a</v>
      </c>
      <c r="U4" s="28" t="str">
        <f>'Parameters &amp; DSA'!A27</f>
        <v>RR3b</v>
      </c>
      <c r="V4" s="28" t="str">
        <f>'Parameters &amp; DSA'!A28</f>
        <v>RR4</v>
      </c>
      <c r="W4" s="28" t="str">
        <f>'Parameters &amp; DSA'!A29</f>
        <v>RR5</v>
      </c>
      <c r="X4" s="146"/>
      <c r="Y4" s="28" t="str">
        <f>'Parameters &amp; DSA'!A77</f>
        <v>cWageCT</v>
      </c>
      <c r="Z4" s="28" t="str">
        <f>'Parameters &amp; DSA'!A78</f>
        <v>cMaterialsCT</v>
      </c>
      <c r="AA4" s="28" t="str">
        <f>'Parameters &amp; DSA'!A80</f>
        <v>cWageICP</v>
      </c>
      <c r="AB4" s="28" t="str">
        <f>'Parameters &amp; DSA'!A81</f>
        <v>cMaterialsICP</v>
      </c>
      <c r="AC4" s="28" t="str">
        <f>'Parameters &amp; DSA'!A84</f>
        <v>cIndirectMCT</v>
      </c>
      <c r="AD4" s="28" t="str">
        <f>'Parameters &amp; DSA'!A85</f>
        <v>cIndirectMICP</v>
      </c>
      <c r="AE4" s="28" t="str">
        <f>'Parameters &amp; DSA'!A88</f>
        <v>cDirectNMCT</v>
      </c>
      <c r="AF4" s="28" t="str">
        <f>'Parameters &amp; DSA'!A89</f>
        <v>cDirectNMICP</v>
      </c>
      <c r="AG4" s="28" t="str">
        <f>'Parameters &amp; DSA'!A92</f>
        <v>cIndirectNMCT</v>
      </c>
      <c r="AH4" s="28" t="str">
        <f>'Parameters &amp; DSA'!A93</f>
        <v>cIndirectNMICP</v>
      </c>
      <c r="AI4" s="28" t="str">
        <f>'Parameters &amp; DSA'!A53</f>
        <v>cMDialysis0</v>
      </c>
      <c r="AJ4" s="28" t="str">
        <f>'Parameters &amp; DSA'!A54</f>
        <v>cMDialysis1</v>
      </c>
      <c r="AK4" s="146"/>
      <c r="AL4" s="28" t="str">
        <f>'Parameters &amp; DSA'!A67</f>
        <v>u3a</v>
      </c>
      <c r="AM4" s="28" t="str">
        <f>'Parameters &amp; DSA'!A68</f>
        <v>u3b</v>
      </c>
      <c r="AN4" s="28" t="str">
        <f>'Parameters &amp; DSA'!A69</f>
        <v>u4</v>
      </c>
      <c r="AO4" s="28" t="str">
        <f>'Parameters &amp; DSA'!A70</f>
        <v>u5</v>
      </c>
      <c r="AP4" s="28" t="str">
        <f>'Parameters &amp; DSA'!A71</f>
        <v>uDialysis</v>
      </c>
      <c r="AQ4" s="28" t="str">
        <f>AL4</f>
        <v>u3a</v>
      </c>
      <c r="AR4" s="28" t="str">
        <f>AM4</f>
        <v>u3b</v>
      </c>
      <c r="AS4" s="28" t="str">
        <f t="shared" ref="AS4:AU5" si="0">AN4</f>
        <v>u4</v>
      </c>
      <c r="AT4" s="28" t="str">
        <f t="shared" si="0"/>
        <v>u5</v>
      </c>
      <c r="AU4" s="28" t="str">
        <f t="shared" si="0"/>
        <v>uDialysis</v>
      </c>
      <c r="AV4" s="146"/>
      <c r="AW4" s="398" t="s">
        <v>212</v>
      </c>
      <c r="AX4" s="28" t="s">
        <v>213</v>
      </c>
      <c r="AY4" s="28" t="s">
        <v>214</v>
      </c>
      <c r="AZ4" s="28" t="s">
        <v>212</v>
      </c>
      <c r="BA4" s="28" t="s">
        <v>213</v>
      </c>
      <c r="BB4" s="28" t="s">
        <v>214</v>
      </c>
      <c r="BC4" s="28" t="s">
        <v>195</v>
      </c>
      <c r="BD4" s="399" t="s">
        <v>196</v>
      </c>
      <c r="BE4" s="147"/>
      <c r="BF4" s="211" t="s">
        <v>93</v>
      </c>
      <c r="BG4" s="28" t="s">
        <v>208</v>
      </c>
      <c r="BH4" s="146"/>
      <c r="BI4" s="362" t="s">
        <v>93</v>
      </c>
      <c r="BJ4" s="152" t="s">
        <v>208</v>
      </c>
      <c r="BL4" s="162" t="s">
        <v>194</v>
      </c>
      <c r="BM4" s="163" t="s">
        <v>0</v>
      </c>
      <c r="BN4" s="164" t="s">
        <v>208</v>
      </c>
      <c r="BP4" s="215" t="s">
        <v>215</v>
      </c>
      <c r="BR4" s="134">
        <v>10000</v>
      </c>
      <c r="BS4" s="176">
        <f>SUM(BS7:BS11)</f>
        <v>47170.984028103696</v>
      </c>
      <c r="BU4" s="181" t="s">
        <v>194</v>
      </c>
      <c r="BV4" s="182" t="s">
        <v>211</v>
      </c>
      <c r="BX4" s="196" t="s">
        <v>216</v>
      </c>
      <c r="BY4" s="195" t="s">
        <v>217</v>
      </c>
      <c r="BZ4" s="193" t="s">
        <v>215</v>
      </c>
      <c r="CB4" s="189" t="s">
        <v>218</v>
      </c>
      <c r="CC4" s="190">
        <f>(BZ5-(MAX(BX5,BY5)))*BS4</f>
        <v>0</v>
      </c>
    </row>
    <row r="5" spans="1:81" s="11" customFormat="1" ht="91.15" customHeight="1" thickBot="1">
      <c r="B5" s="12"/>
      <c r="C5" s="159">
        <f>p3a_3aMDCT</f>
        <v>0.92307692307692313</v>
      </c>
      <c r="D5" s="160">
        <f>p3a_3bMDCT</f>
        <v>7.6923076923076927E-2</v>
      </c>
      <c r="E5" s="160">
        <f>p3a_DeathMDCT</f>
        <v>0</v>
      </c>
      <c r="F5" s="160">
        <f>p3b_3bMDCT</f>
        <v>0.85714285714285721</v>
      </c>
      <c r="G5" s="160">
        <f>p3b_4MDCT</f>
        <v>0.14285714285714285</v>
      </c>
      <c r="H5" s="160">
        <f>p3b_DeathMDCT</f>
        <v>0</v>
      </c>
      <c r="I5" s="160">
        <f>p4_4MDCT</f>
        <v>0.75</v>
      </c>
      <c r="J5" s="160">
        <f>p4_5MDCT</f>
        <v>0.25</v>
      </c>
      <c r="K5" s="160">
        <f>p4_DeathMDCT</f>
        <v>0</v>
      </c>
      <c r="L5" s="160">
        <f>p5_5MDCT</f>
        <v>0.125</v>
      </c>
      <c r="M5" s="160">
        <f>p5_DialysisMDCT</f>
        <v>0.5</v>
      </c>
      <c r="N5" s="160">
        <f>p5_DeathMDCT</f>
        <v>0.375</v>
      </c>
      <c r="O5" s="160">
        <f>'Parameters &amp; DSA'!B117</f>
        <v>-11.17709</v>
      </c>
      <c r="P5" s="160">
        <f>'Parameters &amp; DSA'!B118</f>
        <v>3.4733199999999999E-2</v>
      </c>
      <c r="Q5" s="160">
        <f>'Parameters &amp; DSA'!B119</f>
        <v>6.0172471156348588E-5</v>
      </c>
      <c r="R5" s="161">
        <f>'Parameters &amp; DSA'!B120</f>
        <v>1.074865137262125</v>
      </c>
      <c r="S5" s="133"/>
      <c r="T5" s="134">
        <f>RR_3a</f>
        <v>1</v>
      </c>
      <c r="U5" s="135">
        <f>RR_3b</f>
        <v>2.25</v>
      </c>
      <c r="V5" s="135">
        <f>RR_4</f>
        <v>3.0000000000000004</v>
      </c>
      <c r="W5" s="136">
        <f>RR_5</f>
        <v>1</v>
      </c>
      <c r="X5" s="80"/>
      <c r="Y5" s="148">
        <f>'Parameters &amp; DSA'!B77</f>
        <v>740.37</v>
      </c>
      <c r="Z5" s="153">
        <f>'Parameters &amp; DSA'!B78</f>
        <v>4167.83</v>
      </c>
      <c r="AA5" s="153">
        <f>'Parameters &amp; DSA'!B80</f>
        <v>1561.12</v>
      </c>
      <c r="AB5" s="153">
        <f>'Parameters &amp; DSA'!B81</f>
        <v>4604.51</v>
      </c>
      <c r="AC5" s="153">
        <f>'Parameters &amp; DSA'!B84</f>
        <v>981.64</v>
      </c>
      <c r="AD5" s="153">
        <f>'Parameters &amp; DSA'!B85</f>
        <v>1233.1300000000001</v>
      </c>
      <c r="AE5" s="153">
        <f>'Parameters &amp; DSA'!B88</f>
        <v>564.83000000000004</v>
      </c>
      <c r="AF5" s="153">
        <f>'Parameters &amp; DSA'!B89</f>
        <v>1046.83</v>
      </c>
      <c r="AG5" s="153">
        <f>'Parameters &amp; DSA'!B92</f>
        <v>126.25</v>
      </c>
      <c r="AH5" s="153">
        <f>'Parameters &amp; DSA'!B93</f>
        <v>419.17</v>
      </c>
      <c r="AI5" s="153">
        <f>cM_Dialysis0</f>
        <v>518165.90162061516</v>
      </c>
      <c r="AJ5" s="153">
        <f>cM_Dialysis1</f>
        <v>484165.90162061516</v>
      </c>
      <c r="AK5" s="80"/>
      <c r="AL5" s="159">
        <f>u3aCT</f>
        <v>0.91693029999999998</v>
      </c>
      <c r="AM5" s="160">
        <f>u3bCT</f>
        <v>0.91451020000000005</v>
      </c>
      <c r="AN5" s="160">
        <f>u4CT</f>
        <v>0.90845659999999995</v>
      </c>
      <c r="AO5" s="160">
        <f>u5CT</f>
        <v>0.8660196</v>
      </c>
      <c r="AP5" s="160">
        <f>uDialysisCT</f>
        <v>0.7</v>
      </c>
      <c r="AQ5" s="160">
        <f>AL5</f>
        <v>0.91693029999999998</v>
      </c>
      <c r="AR5" s="160">
        <f>AM5</f>
        <v>0.91451020000000005</v>
      </c>
      <c r="AS5" s="160">
        <f t="shared" si="0"/>
        <v>0.90845659999999995</v>
      </c>
      <c r="AT5" s="160">
        <f t="shared" si="0"/>
        <v>0.8660196</v>
      </c>
      <c r="AU5" s="160">
        <f t="shared" si="0"/>
        <v>0.7</v>
      </c>
      <c r="AV5" s="80"/>
      <c r="AW5" s="131">
        <f>'MM Conventional'!AT105</f>
        <v>13.532767218020323</v>
      </c>
      <c r="AX5" s="132">
        <f>'MM Conventional'!AT107</f>
        <v>15.56549822443619</v>
      </c>
      <c r="AY5" s="153">
        <f>'MM Conventional'!AG105</f>
        <v>1993609.13402296</v>
      </c>
      <c r="AZ5" s="132">
        <f>'MM ICP'!AT105</f>
        <v>15.369640675712606</v>
      </c>
      <c r="BA5" s="132">
        <f>'MM ICP'!AT107</f>
        <v>17.353376267946253</v>
      </c>
      <c r="BB5" s="153">
        <f>'MM ICP'!AG105</f>
        <v>1483041.7296694338</v>
      </c>
      <c r="BC5" s="153"/>
      <c r="BD5" s="149"/>
      <c r="BE5" s="13"/>
      <c r="BF5" s="212">
        <f>IF(ISBLANK(E1006),AVERAGE(BF7:BF57),AVERAGE(BF7:BF1006))</f>
        <v>243264.5656097946</v>
      </c>
      <c r="BG5" s="361">
        <f>IF(ISBLANK(E1006),AVERAGE(BG7:BG57),AVERAGE(BG7:BG1006))</f>
        <v>1026769.992453563</v>
      </c>
      <c r="BH5" s="80"/>
      <c r="BI5" s="480">
        <f>AVERAGE(BI7:BI1006)</f>
        <v>0</v>
      </c>
      <c r="BJ5" s="481">
        <f>AVERAGE(BJ7:BJ1006)</f>
        <v>1</v>
      </c>
      <c r="BP5" s="216">
        <f>IF(ISBLANK(E1006),AVERAGE(BP7:BP57),AVERAGE(BP7:BP1006))</f>
        <v>1026769.992453563</v>
      </c>
      <c r="BR5" s="179" t="s">
        <v>219</v>
      </c>
      <c r="BS5" s="180" t="s">
        <v>220</v>
      </c>
      <c r="BU5" s="13"/>
      <c r="BX5" s="262">
        <f>AVERAGE(BX7:BX56)</f>
        <v>-209437033528.75107</v>
      </c>
      <c r="BY5" s="194">
        <f>AVERAGE(BY7:BY56)</f>
        <v>-84896151792.804016</v>
      </c>
      <c r="BZ5" s="192">
        <f>AVERAGE(BZ7:BZ56)</f>
        <v>-84896151792.804016</v>
      </c>
      <c r="CB5" s="199"/>
      <c r="CC5" s="201"/>
    </row>
    <row r="6" spans="1:81" ht="16.5" thickBot="1">
      <c r="A6" s="150"/>
      <c r="B6"/>
      <c r="C6" s="104"/>
      <c r="D6" s="104"/>
      <c r="E6" s="104"/>
      <c r="F6" s="104"/>
      <c r="G6" s="104"/>
      <c r="H6" s="104"/>
      <c r="I6" s="104"/>
      <c r="J6" s="104"/>
      <c r="K6" s="104"/>
      <c r="L6" s="104"/>
      <c r="M6" s="104"/>
      <c r="N6" s="104"/>
      <c r="O6" s="104"/>
      <c r="P6" s="104"/>
      <c r="Q6" s="104"/>
      <c r="R6" s="104"/>
      <c r="S6"/>
      <c r="T6" s="104"/>
      <c r="U6" s="104"/>
      <c r="V6" s="104"/>
      <c r="W6" s="104"/>
      <c r="X6"/>
      <c r="Y6" s="104"/>
      <c r="Z6" s="104"/>
      <c r="AA6" s="104"/>
      <c r="AB6" s="104"/>
      <c r="AC6" s="104"/>
      <c r="AD6" s="104"/>
      <c r="AE6" s="104"/>
      <c r="AF6" s="104"/>
      <c r="AG6" s="104"/>
      <c r="AH6" s="104"/>
      <c r="AI6" s="104"/>
      <c r="AJ6" s="104"/>
      <c r="AK6"/>
      <c r="AL6" s="104"/>
      <c r="AM6" s="104"/>
      <c r="AN6" s="104"/>
      <c r="AO6" s="104"/>
      <c r="AP6" s="104"/>
      <c r="AQ6" s="104"/>
      <c r="AR6" s="104"/>
      <c r="AS6" s="104"/>
      <c r="AT6" s="104"/>
      <c r="AU6" s="104"/>
      <c r="AV6"/>
      <c r="AW6" s="96"/>
      <c r="AX6" s="96"/>
      <c r="AY6" s="96"/>
      <c r="AZ6" s="96"/>
      <c r="BA6" s="96"/>
      <c r="BB6" s="96"/>
      <c r="BE6"/>
      <c r="BF6" s="96"/>
      <c r="BG6" s="218">
        <f>BF5/BG5</f>
        <v>0.23692216114389081</v>
      </c>
      <c r="BH6" s="95"/>
      <c r="BI6" s="96"/>
      <c r="BJ6" s="96"/>
      <c r="BL6" s="96"/>
      <c r="BM6" s="96"/>
      <c r="BN6" s="96"/>
      <c r="BP6" s="218"/>
      <c r="BR6" s="104"/>
      <c r="BS6" s="104"/>
      <c r="BU6" s="96"/>
      <c r="BV6" s="96"/>
      <c r="BX6" s="263"/>
      <c r="BY6" s="191"/>
      <c r="BZ6" s="191"/>
      <c r="CB6" s="194"/>
      <c r="CC6" s="202"/>
    </row>
    <row r="7" spans="1:81">
      <c r="A7" s="11">
        <v>1</v>
      </c>
      <c r="C7" s="27">
        <v>0.92072493033615554</v>
      </c>
      <c r="D7" s="27">
        <v>7.9275069663844455E-2</v>
      </c>
      <c r="E7" s="27">
        <v>0</v>
      </c>
      <c r="F7" s="27">
        <v>0.85815650173470415</v>
      </c>
      <c r="G7" s="27">
        <v>0.14184349826529591</v>
      </c>
      <c r="H7" s="27">
        <v>0</v>
      </c>
      <c r="I7" s="27">
        <v>0.75806478942033406</v>
      </c>
      <c r="J7" s="27">
        <v>0.24193521057966591</v>
      </c>
      <c r="K7" s="27">
        <v>0</v>
      </c>
      <c r="L7" s="27">
        <v>0.11551646799890192</v>
      </c>
      <c r="M7" s="27">
        <v>0.52867159046596757</v>
      </c>
      <c r="N7" s="27">
        <v>0.35581194153513052</v>
      </c>
      <c r="O7" s="27">
        <v>-11.096503661743663</v>
      </c>
      <c r="P7" s="27">
        <v>3.9448643740089044E-2</v>
      </c>
      <c r="Q7" s="27">
        <v>7.9507386818858665E-5</v>
      </c>
      <c r="R7" s="27">
        <v>1.0311208879455944</v>
      </c>
      <c r="S7" s="154"/>
      <c r="T7">
        <v>0.95819800611560169</v>
      </c>
      <c r="U7">
        <v>2.2319972209398631</v>
      </c>
      <c r="V7">
        <v>3.166636780132543</v>
      </c>
      <c r="W7">
        <v>1</v>
      </c>
      <c r="Y7" s="2">
        <v>2639.5729647808062</v>
      </c>
      <c r="Z7" s="2">
        <v>5755.7995725151395</v>
      </c>
      <c r="AA7" s="2">
        <v>493.80772380390914</v>
      </c>
      <c r="AB7" s="2">
        <v>3637.0555404862976</v>
      </c>
      <c r="AC7" s="2">
        <v>754.41276863126689</v>
      </c>
      <c r="AD7" s="2">
        <v>802.89888557305176</v>
      </c>
      <c r="AE7" s="2">
        <v>526.1203996952064</v>
      </c>
      <c r="AF7" s="2">
        <v>1112.9694054140723</v>
      </c>
      <c r="AG7" s="2">
        <v>96.839326301767002</v>
      </c>
      <c r="AH7" s="2">
        <v>289.55615285448783</v>
      </c>
      <c r="AI7" s="2">
        <v>449684.04007201042</v>
      </c>
      <c r="AJ7" s="2">
        <v>415015.88965697208</v>
      </c>
      <c r="AL7" s="27">
        <v>0.92329003137175625</v>
      </c>
      <c r="AM7" s="27">
        <v>0.91635883505595617</v>
      </c>
      <c r="AN7" s="27">
        <v>0.91433832611168031</v>
      </c>
      <c r="AO7" s="27">
        <v>0.85024823145273687</v>
      </c>
      <c r="AP7" s="27">
        <v>0.80116356815509104</v>
      </c>
      <c r="AQ7" s="27">
        <v>0.92329003137175625</v>
      </c>
      <c r="AR7" s="27">
        <v>0.91635883505595617</v>
      </c>
      <c r="AS7" s="27">
        <v>0.91433832611168031</v>
      </c>
      <c r="AT7" s="27">
        <v>0.85024823145273687</v>
      </c>
      <c r="AU7" s="27">
        <v>0.80116356815509104</v>
      </c>
      <c r="AW7" s="1">
        <v>14.204914246219593</v>
      </c>
      <c r="AX7" s="1">
        <v>15.920577231505554</v>
      </c>
      <c r="AY7" s="2">
        <v>1927094.3117637811</v>
      </c>
      <c r="AZ7" s="1">
        <v>15.822138440735134</v>
      </c>
      <c r="BA7" s="1">
        <v>17.554317734032793</v>
      </c>
      <c r="BB7" s="2">
        <v>1377170.8034835753</v>
      </c>
      <c r="BC7" s="2">
        <f>BB7-AY7</f>
        <v>-549923.50828020577</v>
      </c>
      <c r="BD7" s="292">
        <f>AZ7-AW7</f>
        <v>1.6172241945155417</v>
      </c>
      <c r="BF7" s="170">
        <f t="shared" ref="BF7:BF70" si="1">AW7*Threshold-AY7</f>
        <v>345691.96763135353</v>
      </c>
      <c r="BG7" s="2">
        <f t="shared" ref="BG7:BG70" si="2">AZ7*Threshold-BB7</f>
        <v>1154371.3470340462</v>
      </c>
      <c r="BI7">
        <f t="shared" ref="BI7:BI70" si="3">IF(MAX($BF7:$BG7)=$BF7,1,0)</f>
        <v>0</v>
      </c>
      <c r="BJ7" s="95">
        <f t="shared" ref="BJ7:BJ70" si="4">IF(MAX($BF7:$BG7)=$BF7,0,1)</f>
        <v>1</v>
      </c>
      <c r="BL7" s="174">
        <v>0</v>
      </c>
      <c r="BM7">
        <v>1E-3</v>
      </c>
      <c r="BN7" s="95">
        <v>0.999</v>
      </c>
      <c r="BP7" s="217">
        <f>MAX(BF7,BG7)</f>
        <v>1154371.3470340462</v>
      </c>
      <c r="BR7" s="13">
        <v>1</v>
      </c>
      <c r="BS7" s="34">
        <f>$BR$4/(1+cDO)^(BR7-1)</f>
        <v>10000</v>
      </c>
      <c r="BU7" s="174">
        <f>BL7</f>
        <v>0</v>
      </c>
      <c r="BV7" s="173">
        <v>8009012.953584441</v>
      </c>
      <c r="BX7" s="264">
        <v>-215769554986.77792</v>
      </c>
      <c r="BY7">
        <v>-87134405120.73645</v>
      </c>
      <c r="BZ7" s="185">
        <f>MAX(BX7,BY7)</f>
        <v>-87134405120.73645</v>
      </c>
      <c r="CB7" s="186" t="s">
        <v>26</v>
      </c>
      <c r="CC7" s="187">
        <v>0</v>
      </c>
    </row>
    <row r="8" spans="1:81">
      <c r="A8" s="11">
        <v>2</v>
      </c>
      <c r="C8" s="27">
        <v>0.92423787840358762</v>
      </c>
      <c r="D8" s="27">
        <v>7.5762121596412352E-2</v>
      </c>
      <c r="E8" s="27">
        <v>0</v>
      </c>
      <c r="F8" s="27">
        <v>0.86355568335659094</v>
      </c>
      <c r="G8" s="27">
        <v>0.13644431664340906</v>
      </c>
      <c r="H8" s="27">
        <v>0</v>
      </c>
      <c r="I8" s="27">
        <v>0.74518608482807369</v>
      </c>
      <c r="J8" s="27">
        <v>0.25481391517192631</v>
      </c>
      <c r="K8" s="27">
        <v>0</v>
      </c>
      <c r="L8" s="27">
        <v>8.5335112187067796E-2</v>
      </c>
      <c r="M8" s="27">
        <v>0.52104452346977559</v>
      </c>
      <c r="N8" s="27">
        <v>0.39362036434315661</v>
      </c>
      <c r="O8" s="27">
        <v>-11.130867136808238</v>
      </c>
      <c r="P8" s="27">
        <v>3.3663729390969545E-2</v>
      </c>
      <c r="Q8" s="27">
        <v>6.0251053372369176E-5</v>
      </c>
      <c r="R8" s="27">
        <v>1.0799649761748575</v>
      </c>
      <c r="S8" s="154"/>
      <c r="T8">
        <v>0.99390469268102666</v>
      </c>
      <c r="U8">
        <v>2.2752699515847983</v>
      </c>
      <c r="V8">
        <v>2.9348301282882523</v>
      </c>
      <c r="W8">
        <v>1</v>
      </c>
      <c r="Y8" s="2">
        <v>773.71697218439908</v>
      </c>
      <c r="Z8" s="2">
        <v>941.43328111065955</v>
      </c>
      <c r="AA8" s="2">
        <v>4246.6251923925593</v>
      </c>
      <c r="AB8" s="2">
        <v>128.77510571094837</v>
      </c>
      <c r="AC8" s="2">
        <v>476.73750006142643</v>
      </c>
      <c r="AD8" s="2">
        <v>417.56013964339559</v>
      </c>
      <c r="AE8" s="2">
        <v>569.24749505181444</v>
      </c>
      <c r="AF8" s="2">
        <v>1109.0748404840519</v>
      </c>
      <c r="AG8" s="2">
        <v>131.87644871525995</v>
      </c>
      <c r="AH8" s="2">
        <v>447.20595028467801</v>
      </c>
      <c r="AI8" s="2">
        <v>522182.15355448518</v>
      </c>
      <c r="AJ8" s="2">
        <v>493100.31851071335</v>
      </c>
      <c r="AL8" s="27">
        <v>0.91881531985742648</v>
      </c>
      <c r="AM8" s="27">
        <v>0.91199752165220715</v>
      </c>
      <c r="AN8" s="27">
        <v>0.90699556648871038</v>
      </c>
      <c r="AO8" s="27">
        <v>0.90448919246295412</v>
      </c>
      <c r="AP8" s="27">
        <v>0.72298458285820377</v>
      </c>
      <c r="AQ8" s="27">
        <v>0.91881531985742648</v>
      </c>
      <c r="AR8" s="27">
        <v>0.91199752165220715</v>
      </c>
      <c r="AS8" s="27">
        <v>0.90699556648871038</v>
      </c>
      <c r="AT8" s="27">
        <v>0.90448919246295412</v>
      </c>
      <c r="AU8" s="27">
        <v>0.72298458285820377</v>
      </c>
      <c r="AW8" s="1">
        <v>13.674947299203252</v>
      </c>
      <c r="AX8" s="1">
        <v>15.577229980896412</v>
      </c>
      <c r="AY8" s="2">
        <v>1907039.0779611075</v>
      </c>
      <c r="AZ8" s="1">
        <v>15.479841779569703</v>
      </c>
      <c r="BA8" s="1">
        <v>17.372269742172566</v>
      </c>
      <c r="BB8" s="2">
        <v>1413133.2080018078</v>
      </c>
      <c r="BC8" s="2">
        <f t="shared" ref="BC8:BC71" si="5">BB8-AY8</f>
        <v>-493905.86995929969</v>
      </c>
      <c r="BD8" s="292">
        <f t="shared" ref="BD8:BD71" si="6">AZ8-AW8</f>
        <v>1.8048944803664515</v>
      </c>
      <c r="BF8" s="170">
        <f t="shared" si="1"/>
        <v>280952.48991141305</v>
      </c>
      <c r="BG8" s="2">
        <f t="shared" si="2"/>
        <v>1063641.4767293446</v>
      </c>
      <c r="BI8">
        <f t="shared" si="3"/>
        <v>0</v>
      </c>
      <c r="BJ8" s="95">
        <f t="shared" si="4"/>
        <v>1</v>
      </c>
      <c r="BL8" s="174">
        <v>2000</v>
      </c>
      <c r="BM8">
        <v>1E-3</v>
      </c>
      <c r="BN8" s="95">
        <v>0.999</v>
      </c>
      <c r="BP8" s="217">
        <f t="shared" ref="BP8:BP71" si="7">MAX(BF8,BG8)</f>
        <v>1063641.4767293446</v>
      </c>
      <c r="BR8" s="13">
        <v>2</v>
      </c>
      <c r="BS8" s="34">
        <f>$BR$4/(1+cDO)^(BR8-1)</f>
        <v>9708.7378640776697</v>
      </c>
      <c r="BU8" s="174">
        <f t="shared" ref="BU8:BU67" si="8">BL8</f>
        <v>2000</v>
      </c>
      <c r="BV8" s="173">
        <v>7841864.5334307719</v>
      </c>
      <c r="BX8" s="264">
        <v>-217926836430.98602</v>
      </c>
      <c r="BY8">
        <v>-87727877119.631073</v>
      </c>
      <c r="BZ8" s="185">
        <f t="shared" ref="BZ8:BZ16" si="9">MAX(BX8,BY8)</f>
        <v>-87727877119.631073</v>
      </c>
      <c r="CB8" s="186" t="s">
        <v>29</v>
      </c>
      <c r="CC8" s="187">
        <v>0</v>
      </c>
    </row>
    <row r="9" spans="1:81">
      <c r="A9" s="11">
        <v>3</v>
      </c>
      <c r="C9" s="27">
        <v>0.92531581471063795</v>
      </c>
      <c r="D9" s="27">
        <v>7.4684185289362076E-2</v>
      </c>
      <c r="E9" s="27">
        <v>0</v>
      </c>
      <c r="F9" s="27">
        <v>0.86536136502942895</v>
      </c>
      <c r="G9" s="27">
        <v>0.13463863497057099</v>
      </c>
      <c r="H9" s="27">
        <v>0</v>
      </c>
      <c r="I9" s="27">
        <v>0.75629129281538277</v>
      </c>
      <c r="J9" s="27">
        <v>0.24370870718461721</v>
      </c>
      <c r="K9" s="27">
        <v>0</v>
      </c>
      <c r="L9" s="27">
        <v>6.7776884253292535E-2</v>
      </c>
      <c r="M9" s="27">
        <v>0.54919977495627392</v>
      </c>
      <c r="N9" s="27">
        <v>0.38302334079043354</v>
      </c>
      <c r="O9" s="27">
        <v>-11.28712707942301</v>
      </c>
      <c r="P9" s="27">
        <v>3.713433672649432E-2</v>
      </c>
      <c r="Q9" s="27">
        <v>5.9622058881329668E-5</v>
      </c>
      <c r="R9" s="27">
        <v>1.0691520615414665</v>
      </c>
      <c r="S9" s="154"/>
      <c r="T9">
        <v>1.0567652209368312</v>
      </c>
      <c r="U9">
        <v>2.194460233391657</v>
      </c>
      <c r="V9">
        <v>3.3649395892383271</v>
      </c>
      <c r="W9">
        <v>1</v>
      </c>
      <c r="Y9" s="2">
        <v>592.1850661066926</v>
      </c>
      <c r="Z9" s="2">
        <v>1380.9860230481618</v>
      </c>
      <c r="AA9" s="2">
        <v>3740.1816064653731</v>
      </c>
      <c r="AB9" s="2">
        <v>978.47362405836554</v>
      </c>
      <c r="AC9" s="2">
        <v>1466.9566679949194</v>
      </c>
      <c r="AD9" s="2">
        <v>1696.7546112612374</v>
      </c>
      <c r="AE9" s="2">
        <v>607.96808875612726</v>
      </c>
      <c r="AF9" s="2">
        <v>789.98253357671979</v>
      </c>
      <c r="AG9" s="2">
        <v>128.71513058465652</v>
      </c>
      <c r="AH9" s="2">
        <v>165.11256194813524</v>
      </c>
      <c r="AI9" s="2">
        <v>461292.3534325576</v>
      </c>
      <c r="AJ9" s="2">
        <v>426864.83591156069</v>
      </c>
      <c r="AL9" s="27">
        <v>0.91351278354913013</v>
      </c>
      <c r="AM9" s="27">
        <v>0.91473004214560305</v>
      </c>
      <c r="AN9" s="27">
        <v>0.90839504003424809</v>
      </c>
      <c r="AO9" s="27">
        <v>0.86515993643450051</v>
      </c>
      <c r="AP9" s="27">
        <v>0.751959781646097</v>
      </c>
      <c r="AQ9" s="27">
        <v>0.91351278354913013</v>
      </c>
      <c r="AR9" s="27">
        <v>0.91473004214560305</v>
      </c>
      <c r="AS9" s="27">
        <v>0.90839504003424809</v>
      </c>
      <c r="AT9" s="27">
        <v>0.86515993643450051</v>
      </c>
      <c r="AU9" s="27">
        <v>0.751959781646097</v>
      </c>
      <c r="AW9" s="1">
        <v>13.755040938482875</v>
      </c>
      <c r="AX9" s="1">
        <v>15.693958451164203</v>
      </c>
      <c r="AY9" s="2">
        <v>1847095.6332221485</v>
      </c>
      <c r="AZ9" s="1">
        <v>15.694207324204843</v>
      </c>
      <c r="BA9" s="1">
        <v>17.615899354885492</v>
      </c>
      <c r="BB9" s="2">
        <v>1320720.5128551708</v>
      </c>
      <c r="BC9" s="2">
        <f t="shared" si="5"/>
        <v>-526375.12036697776</v>
      </c>
      <c r="BD9" s="292">
        <f t="shared" si="6"/>
        <v>1.9391663857219683</v>
      </c>
      <c r="BF9" s="170">
        <f t="shared" si="1"/>
        <v>353710.91693511163</v>
      </c>
      <c r="BG9" s="2">
        <f t="shared" si="2"/>
        <v>1190352.6590176043</v>
      </c>
      <c r="BI9">
        <f t="shared" si="3"/>
        <v>0</v>
      </c>
      <c r="BJ9" s="95">
        <f t="shared" si="4"/>
        <v>1</v>
      </c>
      <c r="BL9" s="174">
        <v>4000</v>
      </c>
      <c r="BM9">
        <v>1E-3</v>
      </c>
      <c r="BN9" s="95">
        <v>0.999</v>
      </c>
      <c r="BP9" s="217">
        <f t="shared" si="7"/>
        <v>1190352.6590176043</v>
      </c>
      <c r="BR9" s="13">
        <v>3</v>
      </c>
      <c r="BS9" s="34">
        <f>$BR$4/(1+cDO)^(BR9-1)</f>
        <v>9425.9590913375432</v>
      </c>
      <c r="BU9" s="174">
        <f t="shared" si="8"/>
        <v>4000</v>
      </c>
      <c r="BV9" s="173">
        <v>7674716.1133100512</v>
      </c>
      <c r="BX9" s="264">
        <v>-222085380929.24945</v>
      </c>
      <c r="BY9">
        <v>-88980173820.115189</v>
      </c>
      <c r="BZ9" s="185">
        <f t="shared" si="9"/>
        <v>-88980173820.115189</v>
      </c>
      <c r="CB9" s="186" t="s">
        <v>31</v>
      </c>
      <c r="CC9" s="187">
        <v>0</v>
      </c>
    </row>
    <row r="10" spans="1:81">
      <c r="A10" s="11">
        <v>4</v>
      </c>
      <c r="C10" s="27">
        <v>0.92056205209900721</v>
      </c>
      <c r="D10" s="27">
        <v>7.9437947900992789E-2</v>
      </c>
      <c r="E10" s="27">
        <v>0</v>
      </c>
      <c r="F10" s="27">
        <v>0.84683996987266363</v>
      </c>
      <c r="G10" s="27">
        <v>0.15316003012733637</v>
      </c>
      <c r="H10" s="27">
        <v>0</v>
      </c>
      <c r="I10" s="27">
        <v>0.75563887910796712</v>
      </c>
      <c r="J10" s="27">
        <v>0.24436112089203288</v>
      </c>
      <c r="K10" s="27">
        <v>0</v>
      </c>
      <c r="L10" s="27">
        <v>0.13644062505178017</v>
      </c>
      <c r="M10" s="27">
        <v>0.49772204697533134</v>
      </c>
      <c r="N10" s="27">
        <v>0.36583732797288843</v>
      </c>
      <c r="O10" s="27">
        <v>-11.111610904301887</v>
      </c>
      <c r="P10" s="27">
        <v>3.6013847440265173E-2</v>
      </c>
      <c r="Q10" s="27">
        <v>6.779451189397722E-5</v>
      </c>
      <c r="R10" s="27">
        <v>1.0522978673344292</v>
      </c>
      <c r="S10" s="154"/>
      <c r="T10">
        <v>1.070735633349982</v>
      </c>
      <c r="U10">
        <v>2.2381063623516768</v>
      </c>
      <c r="V10">
        <v>2.9360940346746975</v>
      </c>
      <c r="W10">
        <v>1</v>
      </c>
      <c r="Y10" s="2">
        <v>346.29938044562084</v>
      </c>
      <c r="Z10" s="2">
        <v>14149.006516341349</v>
      </c>
      <c r="AA10" s="2">
        <v>464.02682835445086</v>
      </c>
      <c r="AB10" s="2">
        <v>1880.2317419641715</v>
      </c>
      <c r="AC10" s="2">
        <v>463.46105202697601</v>
      </c>
      <c r="AD10" s="2">
        <v>1140.2880161130058</v>
      </c>
      <c r="AE10" s="2">
        <v>533.41670766653021</v>
      </c>
      <c r="AF10" s="2">
        <v>1076.5953994865886</v>
      </c>
      <c r="AG10" s="2">
        <v>185.56755557844687</v>
      </c>
      <c r="AH10" s="2">
        <v>211.95575251167247</v>
      </c>
      <c r="AI10" s="2">
        <v>539984.47577634954</v>
      </c>
      <c r="AJ10" s="2">
        <v>515557.6117768886</v>
      </c>
      <c r="AL10" s="27">
        <v>0.92115772092220927</v>
      </c>
      <c r="AM10" s="27">
        <v>0.91042287030569358</v>
      </c>
      <c r="AN10" s="27">
        <v>0.91574401655511117</v>
      </c>
      <c r="AO10" s="27">
        <v>0.87108343256036291</v>
      </c>
      <c r="AP10" s="27">
        <v>0.68965166829911551</v>
      </c>
      <c r="AQ10" s="27">
        <v>0.92115772092220927</v>
      </c>
      <c r="AR10" s="27">
        <v>0.91042287030569358</v>
      </c>
      <c r="AS10" s="27">
        <v>0.91574401655511117</v>
      </c>
      <c r="AT10" s="27">
        <v>0.87108343256036291</v>
      </c>
      <c r="AU10" s="27">
        <v>0.68965166829911551</v>
      </c>
      <c r="AW10" s="1">
        <v>13.303353745463475</v>
      </c>
      <c r="AX10" s="1">
        <v>15.393272536994377</v>
      </c>
      <c r="AY10" s="2">
        <v>2445607.8892091811</v>
      </c>
      <c r="AZ10" s="1">
        <v>15.310513511949534</v>
      </c>
      <c r="BA10" s="1">
        <v>17.317802520898177</v>
      </c>
      <c r="BB10" s="2">
        <v>1618428.4405995838</v>
      </c>
      <c r="BC10" s="2">
        <f t="shared" si="5"/>
        <v>-827179.44860959728</v>
      </c>
      <c r="BD10" s="292">
        <f t="shared" si="6"/>
        <v>2.0071597664860583</v>
      </c>
      <c r="BF10" s="170">
        <f t="shared" si="1"/>
        <v>-317071.28993502492</v>
      </c>
      <c r="BG10" s="2">
        <f t="shared" si="2"/>
        <v>831253.72131234151</v>
      </c>
      <c r="BI10">
        <f t="shared" si="3"/>
        <v>0</v>
      </c>
      <c r="BJ10" s="95">
        <f t="shared" si="4"/>
        <v>1</v>
      </c>
      <c r="BL10" s="174">
        <v>6000</v>
      </c>
      <c r="BM10">
        <v>1E-3</v>
      </c>
      <c r="BN10" s="95">
        <v>0.999</v>
      </c>
      <c r="BP10" s="217">
        <f t="shared" si="7"/>
        <v>831253.72131234151</v>
      </c>
      <c r="BR10" s="13">
        <v>4</v>
      </c>
      <c r="BS10" s="34">
        <f>$BR$4/(1+cDO)^(BR10-1)</f>
        <v>9151.4165935315959</v>
      </c>
      <c r="BU10" s="174">
        <f>BL10</f>
        <v>6000</v>
      </c>
      <c r="BV10" s="173">
        <v>7507567.6931673642</v>
      </c>
      <c r="BX10" s="264">
        <v>-201173134965.77563</v>
      </c>
      <c r="BY10">
        <v>-83248552464.681625</v>
      </c>
      <c r="BZ10" s="185">
        <f t="shared" si="9"/>
        <v>-83248552464.681625</v>
      </c>
      <c r="CB10" s="186" t="s">
        <v>33</v>
      </c>
      <c r="CC10" s="187">
        <v>0</v>
      </c>
    </row>
    <row r="11" spans="1:81">
      <c r="A11" s="11">
        <v>5</v>
      </c>
      <c r="C11" s="27">
        <v>0.92242837047687176</v>
      </c>
      <c r="D11" s="27">
        <v>7.7571629523128238E-2</v>
      </c>
      <c r="E11" s="27">
        <v>0</v>
      </c>
      <c r="F11" s="27">
        <v>0.85469248441164969</v>
      </c>
      <c r="G11" s="27">
        <v>0.14530751558835031</v>
      </c>
      <c r="H11" s="27">
        <v>0</v>
      </c>
      <c r="I11" s="27">
        <v>0.75514496592911351</v>
      </c>
      <c r="J11" s="27">
        <v>0.24485503407088652</v>
      </c>
      <c r="K11" s="27">
        <v>0</v>
      </c>
      <c r="L11" s="27">
        <v>0.15270344607233388</v>
      </c>
      <c r="M11" s="27">
        <v>0.4844958917899499</v>
      </c>
      <c r="N11" s="27">
        <v>0.36280066213771622</v>
      </c>
      <c r="O11" s="27">
        <v>-11.477386403864081</v>
      </c>
      <c r="P11" s="27">
        <v>3.5450091236543337E-2</v>
      </c>
      <c r="Q11" s="27">
        <v>4.5925842958072063E-5</v>
      </c>
      <c r="R11" s="27">
        <v>1.1083119621309649</v>
      </c>
      <c r="S11" s="154"/>
      <c r="T11">
        <v>1.0735668946472889</v>
      </c>
      <c r="U11">
        <v>2.41353865234777</v>
      </c>
      <c r="V11">
        <v>2.8964194992329917</v>
      </c>
      <c r="W11">
        <v>1</v>
      </c>
      <c r="Y11" s="2">
        <v>324.23229961517325</v>
      </c>
      <c r="Z11" s="2">
        <v>3786.4369795236012</v>
      </c>
      <c r="AA11" s="2">
        <v>1239.7077183738647</v>
      </c>
      <c r="AB11" s="2">
        <v>1062.4807997981673</v>
      </c>
      <c r="AC11" s="2">
        <v>5715.3483145104574</v>
      </c>
      <c r="AD11" s="2">
        <v>338.82846413629562</v>
      </c>
      <c r="AE11" s="2">
        <v>538.51077772183635</v>
      </c>
      <c r="AF11" s="2">
        <v>556.35922128866537</v>
      </c>
      <c r="AG11" s="2">
        <v>122.42480423947958</v>
      </c>
      <c r="AH11" s="2">
        <v>525.06588492661535</v>
      </c>
      <c r="AI11" s="2">
        <v>687871.44267075532</v>
      </c>
      <c r="AJ11" s="2">
        <v>655226.51370400249</v>
      </c>
      <c r="AL11" s="27">
        <v>0.91929706251134691</v>
      </c>
      <c r="AM11" s="27">
        <v>0.91315682197491099</v>
      </c>
      <c r="AN11" s="27">
        <v>0.90273496955831023</v>
      </c>
      <c r="AO11" s="27">
        <v>0.83540128178984985</v>
      </c>
      <c r="AP11" s="27">
        <v>0.74356298306786583</v>
      </c>
      <c r="AQ11" s="27">
        <v>0.91929706251134691</v>
      </c>
      <c r="AR11" s="27">
        <v>0.91315682197491099</v>
      </c>
      <c r="AS11" s="27">
        <v>0.90273496955831023</v>
      </c>
      <c r="AT11" s="27">
        <v>0.83540128178984985</v>
      </c>
      <c r="AU11" s="27">
        <v>0.74356298306786583</v>
      </c>
      <c r="AW11" s="1">
        <v>13.340853947180706</v>
      </c>
      <c r="AX11" s="1">
        <v>15.231179237245211</v>
      </c>
      <c r="AY11" s="2">
        <v>2775991.3265455784</v>
      </c>
      <c r="AZ11" s="1">
        <v>15.413632409005455</v>
      </c>
      <c r="BA11" s="1">
        <v>17.299045360054023</v>
      </c>
      <c r="BB11" s="2">
        <v>1835670.5807513034</v>
      </c>
      <c r="BC11" s="2">
        <f t="shared" si="5"/>
        <v>-940320.74579427508</v>
      </c>
      <c r="BD11" s="292">
        <f t="shared" si="6"/>
        <v>2.0727784618247487</v>
      </c>
      <c r="BF11" s="170">
        <f t="shared" si="1"/>
        <v>-641454.69499666523</v>
      </c>
      <c r="BG11" s="2">
        <f t="shared" si="2"/>
        <v>630510.60468956945</v>
      </c>
      <c r="BI11">
        <f t="shared" si="3"/>
        <v>0</v>
      </c>
      <c r="BJ11" s="95">
        <f t="shared" si="4"/>
        <v>1</v>
      </c>
      <c r="BL11" s="174">
        <v>8000</v>
      </c>
      <c r="BM11">
        <v>1E-3</v>
      </c>
      <c r="BN11" s="95">
        <v>0.999</v>
      </c>
      <c r="BP11" s="217">
        <f t="shared" si="7"/>
        <v>630510.60468956945</v>
      </c>
      <c r="BR11" s="13">
        <v>5</v>
      </c>
      <c r="BS11" s="34">
        <f>$BR$4/(1+cDO)^(BR11-1)</f>
        <v>8884.8704791568889</v>
      </c>
      <c r="BU11" s="174">
        <f t="shared" si="8"/>
        <v>8000</v>
      </c>
      <c r="BV11" s="173">
        <v>7340419.2730356604</v>
      </c>
      <c r="BX11" s="264">
        <v>-208290374640.06735</v>
      </c>
      <c r="BY11">
        <v>-84444365331.371872</v>
      </c>
      <c r="BZ11" s="185">
        <f t="shared" si="9"/>
        <v>-84444365331.371872</v>
      </c>
      <c r="CB11" s="188" t="s">
        <v>35</v>
      </c>
      <c r="CC11" s="187">
        <v>0</v>
      </c>
    </row>
    <row r="12" spans="1:81">
      <c r="A12" s="11">
        <v>6</v>
      </c>
      <c r="C12" s="27">
        <v>0.92241168816482755</v>
      </c>
      <c r="D12" s="27">
        <v>7.7588311835172452E-2</v>
      </c>
      <c r="E12" s="27">
        <v>0</v>
      </c>
      <c r="F12" s="27">
        <v>0.85412457119205243</v>
      </c>
      <c r="G12" s="27">
        <v>0.14587542880794757</v>
      </c>
      <c r="H12" s="27">
        <v>0</v>
      </c>
      <c r="I12" s="27">
        <v>0.75439464057179828</v>
      </c>
      <c r="J12" s="27">
        <v>0.24560535942820175</v>
      </c>
      <c r="K12" s="27">
        <v>0</v>
      </c>
      <c r="L12" s="27">
        <v>0.16976338287732107</v>
      </c>
      <c r="M12" s="27">
        <v>0.47477463854947005</v>
      </c>
      <c r="N12" s="27">
        <v>0.35546197857320894</v>
      </c>
      <c r="O12" s="27">
        <v>-11.09039535255522</v>
      </c>
      <c r="P12" s="27">
        <v>3.5856874022334839E-2</v>
      </c>
      <c r="Q12" s="27">
        <v>6.8793131998081983E-5</v>
      </c>
      <c r="R12" s="27">
        <v>1.0493942246533787</v>
      </c>
      <c r="S12" s="154"/>
      <c r="T12">
        <v>1.0798325749026498</v>
      </c>
      <c r="U12">
        <v>2.3486113682794416</v>
      </c>
      <c r="V12">
        <v>3.0650048476022316</v>
      </c>
      <c r="W12">
        <v>1</v>
      </c>
      <c r="Y12" s="2">
        <v>523.74876458985614</v>
      </c>
      <c r="Z12" s="2">
        <v>3889.0560113762344</v>
      </c>
      <c r="AA12" s="2">
        <v>189.02113812076206</v>
      </c>
      <c r="AB12" s="2">
        <v>916.76756246537343</v>
      </c>
      <c r="AC12" s="2">
        <v>1457.7247328239307</v>
      </c>
      <c r="AD12" s="2">
        <v>2049.6980651332747</v>
      </c>
      <c r="AE12" s="2">
        <v>587.89914041265581</v>
      </c>
      <c r="AF12" s="2">
        <v>1007.6008025116442</v>
      </c>
      <c r="AG12" s="2">
        <v>176.65166635981484</v>
      </c>
      <c r="AH12" s="2">
        <v>304.48890442623912</v>
      </c>
      <c r="AI12" s="2">
        <v>482266.77669601841</v>
      </c>
      <c r="AJ12" s="2">
        <v>445946.89223859186</v>
      </c>
      <c r="AL12" s="27">
        <v>0.92205065006559228</v>
      </c>
      <c r="AM12" s="27">
        <v>0.91584151492268051</v>
      </c>
      <c r="AN12" s="27">
        <v>0.89638765011245314</v>
      </c>
      <c r="AO12" s="27">
        <v>0.88047629897609125</v>
      </c>
      <c r="AP12" s="27">
        <v>0.69219538098978428</v>
      </c>
      <c r="AQ12" s="27">
        <v>0.92205065006559228</v>
      </c>
      <c r="AR12" s="27">
        <v>0.91584151492268051</v>
      </c>
      <c r="AS12" s="27">
        <v>0.89638765011245314</v>
      </c>
      <c r="AT12" s="27">
        <v>0.88047629897609125</v>
      </c>
      <c r="AU12" s="27">
        <v>0.69219538098978428</v>
      </c>
      <c r="AW12" s="1">
        <v>13.349678733168069</v>
      </c>
      <c r="AX12" s="1">
        <v>15.417306645007921</v>
      </c>
      <c r="AY12" s="2">
        <v>2010200.9740330023</v>
      </c>
      <c r="AZ12" s="1">
        <v>15.433503106565022</v>
      </c>
      <c r="BA12" s="1">
        <v>17.428964149183312</v>
      </c>
      <c r="BB12" s="2">
        <v>1363211.1831918661</v>
      </c>
      <c r="BC12" s="2">
        <f t="shared" si="5"/>
        <v>-646989.79084113613</v>
      </c>
      <c r="BD12" s="292">
        <f t="shared" si="6"/>
        <v>2.0838243733969524</v>
      </c>
      <c r="BF12" s="170">
        <f t="shared" si="1"/>
        <v>125747.6232738886</v>
      </c>
      <c r="BG12" s="2">
        <f t="shared" si="2"/>
        <v>1106149.3138585375</v>
      </c>
      <c r="BI12">
        <f t="shared" si="3"/>
        <v>0</v>
      </c>
      <c r="BJ12" s="95">
        <f t="shared" si="4"/>
        <v>1</v>
      </c>
      <c r="BL12" s="174">
        <v>10000</v>
      </c>
      <c r="BM12">
        <v>1E-3</v>
      </c>
      <c r="BN12" s="95">
        <v>0.999</v>
      </c>
      <c r="BP12" s="217">
        <f t="shared" si="7"/>
        <v>1106149.3138585375</v>
      </c>
      <c r="BU12" s="174">
        <f t="shared" si="8"/>
        <v>10000</v>
      </c>
      <c r="BV12" s="173">
        <v>7173270.8529039565</v>
      </c>
      <c r="BX12" s="264">
        <v>-207049933871.06116</v>
      </c>
      <c r="BY12">
        <v>-83674605862.736908</v>
      </c>
      <c r="BZ12" s="185">
        <f t="shared" si="9"/>
        <v>-83674605862.736908</v>
      </c>
      <c r="CB12" s="188" t="s">
        <v>37</v>
      </c>
      <c r="CC12" s="187">
        <v>0</v>
      </c>
    </row>
    <row r="13" spans="1:81">
      <c r="A13" s="11">
        <v>7</v>
      </c>
      <c r="C13" s="27">
        <v>0.92097091699608824</v>
      </c>
      <c r="D13" s="27">
        <v>7.902908300391176E-2</v>
      </c>
      <c r="E13" s="27">
        <v>0</v>
      </c>
      <c r="F13" s="27">
        <v>0.85400761477333675</v>
      </c>
      <c r="G13" s="27">
        <v>0.14599238522666325</v>
      </c>
      <c r="H13" s="27">
        <v>0</v>
      </c>
      <c r="I13" s="27">
        <v>0.74308050972008755</v>
      </c>
      <c r="J13" s="27">
        <v>0.25691949027991245</v>
      </c>
      <c r="K13" s="27">
        <v>0</v>
      </c>
      <c r="L13" s="27">
        <v>9.0485108314511731E-2</v>
      </c>
      <c r="M13" s="27">
        <v>0.52639040097268963</v>
      </c>
      <c r="N13" s="27">
        <v>0.38312449071279864</v>
      </c>
      <c r="O13" s="27">
        <v>-11.2194983844684</v>
      </c>
      <c r="P13" s="27">
        <v>3.4564169733543142E-2</v>
      </c>
      <c r="Q13" s="27">
        <v>5.7266012766536516E-5</v>
      </c>
      <c r="R13" s="27">
        <v>1.0771083596533972</v>
      </c>
      <c r="S13" s="154"/>
      <c r="T13">
        <v>1.027214025635663</v>
      </c>
      <c r="U13">
        <v>2.3151500373148561</v>
      </c>
      <c r="V13">
        <v>3.1431211419735039</v>
      </c>
      <c r="W13">
        <v>1</v>
      </c>
      <c r="Y13" s="2">
        <v>950.80175614616451</v>
      </c>
      <c r="Z13" s="2">
        <v>10985.081357664441</v>
      </c>
      <c r="AA13" s="2">
        <v>1009.028700241878</v>
      </c>
      <c r="AB13" s="2">
        <v>638.74050810694189</v>
      </c>
      <c r="AC13" s="2">
        <v>1366.6685796322934</v>
      </c>
      <c r="AD13" s="2">
        <v>425.49055732956083</v>
      </c>
      <c r="AE13" s="2">
        <v>493.21543596732516</v>
      </c>
      <c r="AF13" s="2">
        <v>1017.4470662892725</v>
      </c>
      <c r="AG13" s="2">
        <v>118.36177021665017</v>
      </c>
      <c r="AH13" s="2">
        <v>351.2163332083025</v>
      </c>
      <c r="AI13" s="2">
        <v>615506.01096973463</v>
      </c>
      <c r="AJ13" s="2">
        <v>591747.11708853452</v>
      </c>
      <c r="AL13" s="27">
        <v>0.92157113317350392</v>
      </c>
      <c r="AM13" s="27">
        <v>0.91964415431561131</v>
      </c>
      <c r="AN13" s="27">
        <v>0.90995604902555993</v>
      </c>
      <c r="AO13" s="27">
        <v>0.903013429522874</v>
      </c>
      <c r="AP13" s="27">
        <v>0.65325312594626195</v>
      </c>
      <c r="AQ13" s="27">
        <v>0.92157113317350392</v>
      </c>
      <c r="AR13" s="27">
        <v>0.91964415431561131</v>
      </c>
      <c r="AS13" s="27">
        <v>0.90995604902555993</v>
      </c>
      <c r="AT13" s="27">
        <v>0.903013429522874</v>
      </c>
      <c r="AU13" s="27">
        <v>0.65325312594626195</v>
      </c>
      <c r="AW13" s="1">
        <v>13.239370707933642</v>
      </c>
      <c r="AX13" s="1">
        <v>15.387411825387344</v>
      </c>
      <c r="AY13" s="2">
        <v>2665665.3689699871</v>
      </c>
      <c r="AZ13" s="1">
        <v>15.248411718495939</v>
      </c>
      <c r="BA13" s="1">
        <v>17.282808231466021</v>
      </c>
      <c r="BB13" s="2">
        <v>1777500.8885881733</v>
      </c>
      <c r="BC13" s="2">
        <f t="shared" si="5"/>
        <v>-888164.48038181383</v>
      </c>
      <c r="BD13" s="292">
        <f t="shared" si="6"/>
        <v>2.0090410105622976</v>
      </c>
      <c r="BF13" s="170">
        <f t="shared" si="1"/>
        <v>-547366.05570060434</v>
      </c>
      <c r="BG13" s="2">
        <f t="shared" si="2"/>
        <v>662244.98637117678</v>
      </c>
      <c r="BI13">
        <f t="shared" si="3"/>
        <v>0</v>
      </c>
      <c r="BJ13" s="95">
        <f t="shared" si="4"/>
        <v>1</v>
      </c>
      <c r="BL13" s="174">
        <v>12000</v>
      </c>
      <c r="BM13">
        <v>1E-3</v>
      </c>
      <c r="BN13" s="95">
        <v>0.999</v>
      </c>
      <c r="BP13" s="217">
        <f t="shared" si="7"/>
        <v>662244.98637117678</v>
      </c>
      <c r="BU13" s="174">
        <f>BL13</f>
        <v>12000</v>
      </c>
      <c r="BV13" s="173">
        <v>7006122.4327612706</v>
      </c>
      <c r="BX13" s="264">
        <v>-206930969766.94888</v>
      </c>
      <c r="BY13">
        <v>-83551740002.513763</v>
      </c>
      <c r="BZ13" s="185">
        <f t="shared" si="9"/>
        <v>-83551740002.513763</v>
      </c>
      <c r="CB13" s="186" t="s">
        <v>39</v>
      </c>
      <c r="CC13" s="187">
        <v>0</v>
      </c>
    </row>
    <row r="14" spans="1:81">
      <c r="A14" s="11">
        <v>8</v>
      </c>
      <c r="C14" s="27">
        <v>0.92526856249390088</v>
      </c>
      <c r="D14" s="27">
        <v>7.4731437506099146E-2</v>
      </c>
      <c r="E14" s="27">
        <v>0</v>
      </c>
      <c r="F14" s="27">
        <v>0.85336935687498017</v>
      </c>
      <c r="G14" s="27">
        <v>0.14663064312501983</v>
      </c>
      <c r="H14" s="27">
        <v>0</v>
      </c>
      <c r="I14" s="27">
        <v>0.74846662367739869</v>
      </c>
      <c r="J14" s="27">
        <v>0.25153337632260131</v>
      </c>
      <c r="K14" s="27">
        <v>0</v>
      </c>
      <c r="L14" s="27">
        <v>0.17342800497179678</v>
      </c>
      <c r="M14" s="27">
        <v>0.4540678410466506</v>
      </c>
      <c r="N14" s="27">
        <v>0.37250415398155268</v>
      </c>
      <c r="O14" s="27">
        <v>-10.874044000655307</v>
      </c>
      <c r="P14" s="27">
        <v>3.6688037257791586E-2</v>
      </c>
      <c r="Q14" s="27">
        <v>8.8443516987966048E-5</v>
      </c>
      <c r="R14" s="27">
        <v>1.0244939778336368</v>
      </c>
      <c r="S14" s="154"/>
      <c r="T14">
        <v>1.0758921176375846</v>
      </c>
      <c r="U14">
        <v>2.2790440605170779</v>
      </c>
      <c r="V14">
        <v>2.9315235254017731</v>
      </c>
      <c r="W14">
        <v>1</v>
      </c>
      <c r="Y14" s="2">
        <v>285.33229767967146</v>
      </c>
      <c r="Z14" s="2">
        <v>1402.2466545057314</v>
      </c>
      <c r="AA14" s="2">
        <v>154.06793525550646</v>
      </c>
      <c r="AB14" s="2">
        <v>257.14235176180176</v>
      </c>
      <c r="AC14" s="2">
        <v>1816.6306339972034</v>
      </c>
      <c r="AD14" s="2">
        <v>573.98746776555959</v>
      </c>
      <c r="AE14" s="2">
        <v>605.2730681097288</v>
      </c>
      <c r="AF14" s="2">
        <v>912.83763060867034</v>
      </c>
      <c r="AG14" s="2">
        <v>122.1140795002308</v>
      </c>
      <c r="AH14" s="2">
        <v>275.72265645457276</v>
      </c>
      <c r="AI14" s="2">
        <v>470035.02774857706</v>
      </c>
      <c r="AJ14" s="2">
        <v>437427.22409848275</v>
      </c>
      <c r="AL14" s="27">
        <v>0.90926632209882341</v>
      </c>
      <c r="AM14" s="27">
        <v>0.91654315662064367</v>
      </c>
      <c r="AN14" s="27">
        <v>0.91465933585750037</v>
      </c>
      <c r="AO14" s="27">
        <v>0.88053772296228749</v>
      </c>
      <c r="AP14" s="27">
        <v>0.69118634313594063</v>
      </c>
      <c r="AQ14" s="27">
        <v>0.90926632209882341</v>
      </c>
      <c r="AR14" s="27">
        <v>0.91654315662064367</v>
      </c>
      <c r="AS14" s="27">
        <v>0.91465933585750037</v>
      </c>
      <c r="AT14" s="27">
        <v>0.88053772296228749</v>
      </c>
      <c r="AU14" s="27">
        <v>0.69118634313594063</v>
      </c>
      <c r="AW14" s="1">
        <v>13.308715620959955</v>
      </c>
      <c r="AX14" s="1">
        <v>15.422750088853205</v>
      </c>
      <c r="AY14" s="2">
        <v>1817360.1481866157</v>
      </c>
      <c r="AZ14" s="1">
        <v>15.334558339938839</v>
      </c>
      <c r="BA14" s="1">
        <v>17.379143988204198</v>
      </c>
      <c r="BB14" s="2">
        <v>1232914.9162253877</v>
      </c>
      <c r="BC14" s="2">
        <f t="shared" si="5"/>
        <v>-584445.23196122795</v>
      </c>
      <c r="BD14" s="292">
        <f t="shared" si="6"/>
        <v>2.0258427189788843</v>
      </c>
      <c r="BF14" s="170">
        <f t="shared" si="1"/>
        <v>312034.35116697708</v>
      </c>
      <c r="BG14" s="2">
        <f t="shared" si="2"/>
        <v>1220614.4181648265</v>
      </c>
      <c r="BI14">
        <f t="shared" si="3"/>
        <v>0</v>
      </c>
      <c r="BJ14" s="95">
        <f t="shared" si="4"/>
        <v>1</v>
      </c>
      <c r="BL14" s="174">
        <v>14000</v>
      </c>
      <c r="BM14">
        <v>1E-3</v>
      </c>
      <c r="BN14" s="95">
        <v>0.999</v>
      </c>
      <c r="BP14" s="217">
        <f t="shared" si="7"/>
        <v>1220614.4181648265</v>
      </c>
      <c r="BU14" s="174">
        <f t="shared" si="8"/>
        <v>14000</v>
      </c>
      <c r="BV14" s="173">
        <v>6838974.0126295667</v>
      </c>
      <c r="BX14" s="264">
        <v>-207249561604.23447</v>
      </c>
      <c r="BY14">
        <v>-83912788861.590317</v>
      </c>
      <c r="BZ14" s="185">
        <f t="shared" si="9"/>
        <v>-83912788861.590317</v>
      </c>
      <c r="CB14" s="188" t="s">
        <v>41</v>
      </c>
      <c r="CC14" s="187">
        <v>0</v>
      </c>
    </row>
    <row r="15" spans="1:81">
      <c r="A15" s="11">
        <v>9</v>
      </c>
      <c r="C15" s="27">
        <v>0.92522562784802098</v>
      </c>
      <c r="D15" s="27">
        <v>7.4774372151979018E-2</v>
      </c>
      <c r="E15" s="27">
        <v>0</v>
      </c>
      <c r="F15" s="27">
        <v>0.8508362863103599</v>
      </c>
      <c r="G15" s="27">
        <v>0.1491637136896401</v>
      </c>
      <c r="H15" s="27">
        <v>0</v>
      </c>
      <c r="I15" s="27">
        <v>0.75484129402060884</v>
      </c>
      <c r="J15" s="27">
        <v>0.2451587059793911</v>
      </c>
      <c r="K15" s="27">
        <v>0</v>
      </c>
      <c r="L15" s="27">
        <v>0.12590487437426379</v>
      </c>
      <c r="M15" s="27">
        <v>0.47376429145830412</v>
      </c>
      <c r="N15" s="27">
        <v>0.40033083416743209</v>
      </c>
      <c r="O15" s="27">
        <v>-11.240300540054367</v>
      </c>
      <c r="P15" s="27">
        <v>3.5504978949052801E-2</v>
      </c>
      <c r="Q15" s="27">
        <v>5.8347652920647482E-5</v>
      </c>
      <c r="R15" s="27">
        <v>1.0804452029087306</v>
      </c>
      <c r="S15" s="154"/>
      <c r="T15">
        <v>0.92400860237583782</v>
      </c>
      <c r="U15">
        <v>2.182804585394126</v>
      </c>
      <c r="V15">
        <v>3.0672253600221864</v>
      </c>
      <c r="W15">
        <v>1</v>
      </c>
      <c r="Y15" s="2">
        <v>521.10792045934033</v>
      </c>
      <c r="Z15" s="2">
        <v>1735.4668304863594</v>
      </c>
      <c r="AA15" s="2">
        <v>3242.3881427384813</v>
      </c>
      <c r="AB15" s="2">
        <v>3694.9757644693177</v>
      </c>
      <c r="AC15" s="2">
        <v>201.31439330775913</v>
      </c>
      <c r="AD15" s="2">
        <v>80.435280016551943</v>
      </c>
      <c r="AE15" s="2">
        <v>536.96609209555822</v>
      </c>
      <c r="AF15" s="2">
        <v>1124.2443012788549</v>
      </c>
      <c r="AG15" s="2">
        <v>117.62743804706342</v>
      </c>
      <c r="AH15" s="2">
        <v>383.81545142064465</v>
      </c>
      <c r="AI15" s="2">
        <v>363019.42075792875</v>
      </c>
      <c r="AJ15" s="2">
        <v>335010.7748339104</v>
      </c>
      <c r="AL15" s="27">
        <v>0.92146137397961814</v>
      </c>
      <c r="AM15" s="27">
        <v>0.91783187650450127</v>
      </c>
      <c r="AN15" s="27">
        <v>0.90636312711189793</v>
      </c>
      <c r="AO15" s="27">
        <v>0.84446124645411202</v>
      </c>
      <c r="AP15" s="27">
        <v>0.76091393170203037</v>
      </c>
      <c r="AQ15" s="27">
        <v>0.92146137397961814</v>
      </c>
      <c r="AR15" s="27">
        <v>0.91783187650450127</v>
      </c>
      <c r="AS15" s="27">
        <v>0.90636312711189793</v>
      </c>
      <c r="AT15" s="27">
        <v>0.84446124645411202</v>
      </c>
      <c r="AU15" s="27">
        <v>0.76091393170203037</v>
      </c>
      <c r="AW15" s="1">
        <v>13.918827696175956</v>
      </c>
      <c r="AX15" s="1">
        <v>15.675276387366377</v>
      </c>
      <c r="AY15" s="2">
        <v>1219625.7560736465</v>
      </c>
      <c r="AZ15" s="1">
        <v>15.46159273817187</v>
      </c>
      <c r="BA15" s="1">
        <v>17.235541147371606</v>
      </c>
      <c r="BB15" s="2">
        <v>1007121.7227193031</v>
      </c>
      <c r="BC15" s="2">
        <f t="shared" si="5"/>
        <v>-212504.03335434338</v>
      </c>
      <c r="BD15" s="292">
        <f t="shared" si="6"/>
        <v>1.5427650419959136</v>
      </c>
      <c r="BF15" s="170">
        <f t="shared" si="1"/>
        <v>1007386.6753145067</v>
      </c>
      <c r="BG15" s="2">
        <f t="shared" si="2"/>
        <v>1466733.1153881962</v>
      </c>
      <c r="BI15">
        <f t="shared" si="3"/>
        <v>0</v>
      </c>
      <c r="BJ15" s="95">
        <f t="shared" si="4"/>
        <v>1</v>
      </c>
      <c r="BL15" s="174">
        <v>16000</v>
      </c>
      <c r="BM15">
        <v>1E-3</v>
      </c>
      <c r="BN15" s="95">
        <v>0.999</v>
      </c>
      <c r="BP15" s="217">
        <f t="shared" si="7"/>
        <v>1466733.1153881962</v>
      </c>
      <c r="BU15" s="174">
        <f t="shared" si="8"/>
        <v>16000</v>
      </c>
      <c r="BV15" s="173">
        <v>6671825.5924758976</v>
      </c>
      <c r="BX15" s="264">
        <v>-205531420051.81802</v>
      </c>
      <c r="BY15">
        <v>-83119593517.623657</v>
      </c>
      <c r="BZ15" s="185">
        <f t="shared" si="9"/>
        <v>-83119593517.623657</v>
      </c>
      <c r="CB15" s="188" t="s">
        <v>43</v>
      </c>
      <c r="CC15" s="187">
        <v>0</v>
      </c>
    </row>
    <row r="16" spans="1:81">
      <c r="A16" s="11">
        <v>10</v>
      </c>
      <c r="C16" s="27">
        <v>0.92013489627343026</v>
      </c>
      <c r="D16" s="27">
        <v>7.9865103726569742E-2</v>
      </c>
      <c r="E16" s="27">
        <v>0</v>
      </c>
      <c r="F16" s="27">
        <v>0.85700702733056378</v>
      </c>
      <c r="G16" s="27">
        <v>0.14299297266943622</v>
      </c>
      <c r="H16" s="27">
        <v>0</v>
      </c>
      <c r="I16" s="27">
        <v>0.75279875933674889</v>
      </c>
      <c r="J16" s="27">
        <v>0.24720124066325111</v>
      </c>
      <c r="K16" s="27">
        <v>0</v>
      </c>
      <c r="L16" s="27">
        <v>4.9924354726738396E-2</v>
      </c>
      <c r="M16" s="27">
        <v>0.51573171311977062</v>
      </c>
      <c r="N16" s="27">
        <v>0.43434393215349099</v>
      </c>
      <c r="O16" s="27">
        <v>-11.540522288926415</v>
      </c>
      <c r="P16" s="27">
        <v>4.1065012601804216E-2</v>
      </c>
      <c r="Q16" s="27">
        <v>5.4582799099737986E-5</v>
      </c>
      <c r="R16" s="27">
        <v>1.0741543616428242</v>
      </c>
      <c r="S16" s="154"/>
      <c r="T16">
        <v>1.1276276486243901</v>
      </c>
      <c r="U16">
        <v>2.2185113113347881</v>
      </c>
      <c r="V16">
        <v>2.9336009677610644</v>
      </c>
      <c r="W16">
        <v>1</v>
      </c>
      <c r="Y16" s="2">
        <v>96.215314655077378</v>
      </c>
      <c r="Z16" s="2">
        <v>2871.4367180269742</v>
      </c>
      <c r="AA16" s="2">
        <v>5321.3769680494652</v>
      </c>
      <c r="AB16" s="2">
        <v>1547.8377107541153</v>
      </c>
      <c r="AC16" s="2">
        <v>178.50858795019045</v>
      </c>
      <c r="AD16" s="2">
        <v>626.72005978669665</v>
      </c>
      <c r="AE16" s="2">
        <v>592.16184544855787</v>
      </c>
      <c r="AF16" s="2">
        <v>1021.0356588448273</v>
      </c>
      <c r="AG16" s="2">
        <v>131.05795611023964</v>
      </c>
      <c r="AH16" s="2">
        <v>552.25506194240825</v>
      </c>
      <c r="AI16" s="2">
        <v>548302.96179557557</v>
      </c>
      <c r="AJ16" s="2">
        <v>508092.01397418533</v>
      </c>
      <c r="AL16" s="27">
        <v>0.91243532545571526</v>
      </c>
      <c r="AM16" s="27">
        <v>0.91406273404258653</v>
      </c>
      <c r="AN16" s="27">
        <v>0.91082366386876301</v>
      </c>
      <c r="AO16" s="27">
        <v>0.87992077263047153</v>
      </c>
      <c r="AP16" s="27">
        <v>0.75546063800365904</v>
      </c>
      <c r="AQ16" s="27">
        <v>0.91243532545571526</v>
      </c>
      <c r="AR16" s="27">
        <v>0.91406273404258653</v>
      </c>
      <c r="AS16" s="27">
        <v>0.91082366386876301</v>
      </c>
      <c r="AT16" s="27">
        <v>0.87992077263047153</v>
      </c>
      <c r="AU16" s="27">
        <v>0.75546063800365904</v>
      </c>
      <c r="AW16" s="1">
        <v>13.197428143562203</v>
      </c>
      <c r="AX16" s="1">
        <v>15.068774398307333</v>
      </c>
      <c r="AY16" s="2">
        <v>2178015.5944068907</v>
      </c>
      <c r="AZ16" s="1">
        <v>15.344275856226727</v>
      </c>
      <c r="BA16" s="1">
        <v>17.222429996927747</v>
      </c>
      <c r="BB16" s="2">
        <v>1564412.4134041255</v>
      </c>
      <c r="BC16" s="2">
        <f t="shared" si="5"/>
        <v>-613603.1810027652</v>
      </c>
      <c r="BD16" s="292">
        <f t="shared" si="6"/>
        <v>2.146847712664524</v>
      </c>
      <c r="BF16" s="170">
        <f t="shared" si="1"/>
        <v>-66427.091436938383</v>
      </c>
      <c r="BG16" s="2">
        <f t="shared" si="2"/>
        <v>890671.72359215072</v>
      </c>
      <c r="BI16">
        <f t="shared" si="3"/>
        <v>0</v>
      </c>
      <c r="BJ16" s="95">
        <f t="shared" si="4"/>
        <v>1</v>
      </c>
      <c r="BL16" s="174">
        <v>18000</v>
      </c>
      <c r="BM16">
        <v>1E-3</v>
      </c>
      <c r="BN16" s="95">
        <v>0.999</v>
      </c>
      <c r="BP16" s="217">
        <f t="shared" si="7"/>
        <v>890671.72359215072</v>
      </c>
      <c r="BU16" s="174">
        <f t="shared" si="8"/>
        <v>18000</v>
      </c>
      <c r="BV16" s="173">
        <v>6504677.1723441938</v>
      </c>
      <c r="BX16" s="264">
        <v>-202363168040.59171</v>
      </c>
      <c r="BY16">
        <v>-83167415827.039154</v>
      </c>
      <c r="BZ16" s="185">
        <f t="shared" si="9"/>
        <v>-83167415827.039154</v>
      </c>
      <c r="CB16" s="186" t="s">
        <v>45</v>
      </c>
      <c r="CC16" s="187">
        <v>0</v>
      </c>
    </row>
    <row r="17" spans="1:81">
      <c r="A17" s="11">
        <v>11</v>
      </c>
      <c r="C17" s="27">
        <v>0.92153704949053128</v>
      </c>
      <c r="D17" s="27">
        <v>7.8462950509468721E-2</v>
      </c>
      <c r="E17" s="27">
        <v>0</v>
      </c>
      <c r="F17" s="27">
        <v>0.85297506261477785</v>
      </c>
      <c r="G17" s="27">
        <v>0.14702493738522215</v>
      </c>
      <c r="H17" s="27">
        <v>0</v>
      </c>
      <c r="I17" s="27">
        <v>0.75445889229979557</v>
      </c>
      <c r="J17" s="27">
        <v>0.2455411077002044</v>
      </c>
      <c r="K17" s="27">
        <v>0</v>
      </c>
      <c r="L17" s="27">
        <v>8.6040311884881426E-2</v>
      </c>
      <c r="M17" s="27">
        <v>0.54357569473545309</v>
      </c>
      <c r="N17" s="27">
        <v>0.37038399337966549</v>
      </c>
      <c r="O17" s="27">
        <v>-11.29511311141853</v>
      </c>
      <c r="P17" s="27">
        <v>3.373922644526154E-2</v>
      </c>
      <c r="Q17" s="27">
        <v>5.1287392269612875E-5</v>
      </c>
      <c r="R17" s="27">
        <v>1.0936460935537207</v>
      </c>
      <c r="S17" s="154"/>
      <c r="T17">
        <v>1.1010374139672956</v>
      </c>
      <c r="U17">
        <v>2.2866890501718604</v>
      </c>
      <c r="V17">
        <v>3.1461010728318293</v>
      </c>
      <c r="W17">
        <v>1</v>
      </c>
      <c r="Y17" s="2">
        <v>124.75220731317856</v>
      </c>
      <c r="Z17" s="2">
        <v>8253.9254655833192</v>
      </c>
      <c r="AA17" s="2">
        <v>1953.7510603462906</v>
      </c>
      <c r="AB17" s="2">
        <v>2345.6408603706045</v>
      </c>
      <c r="AC17" s="2">
        <v>4820.7342406587568</v>
      </c>
      <c r="AD17" s="2">
        <v>9.5804591729823869</v>
      </c>
      <c r="AE17" s="2">
        <v>564.38355553947508</v>
      </c>
      <c r="AF17" s="2">
        <v>1118.8603308951133</v>
      </c>
      <c r="AG17" s="2">
        <v>96.693728300000714</v>
      </c>
      <c r="AH17" s="2">
        <v>388.90201798690396</v>
      </c>
      <c r="AI17" s="2">
        <v>437183.50054290239</v>
      </c>
      <c r="AJ17" s="2">
        <v>399989.68335623934</v>
      </c>
      <c r="AL17" s="27">
        <v>0.91464861659053787</v>
      </c>
      <c r="AM17" s="27">
        <v>0.91754485647869577</v>
      </c>
      <c r="AN17" s="27">
        <v>0.90997044958633455</v>
      </c>
      <c r="AO17" s="27">
        <v>0.84883536036691809</v>
      </c>
      <c r="AP17" s="27">
        <v>0.7202105781533269</v>
      </c>
      <c r="AQ17" s="27">
        <v>0.91464861659053787</v>
      </c>
      <c r="AR17" s="27">
        <v>0.91754485647869577</v>
      </c>
      <c r="AS17" s="27">
        <v>0.90997044958633455</v>
      </c>
      <c r="AT17" s="27">
        <v>0.84883536036691809</v>
      </c>
      <c r="AU17" s="27">
        <v>0.7202105781533269</v>
      </c>
      <c r="AW17" s="1">
        <v>13.237312993339966</v>
      </c>
      <c r="AX17" s="1">
        <v>15.268685839143579</v>
      </c>
      <c r="AY17" s="2">
        <v>1914802.8971285254</v>
      </c>
      <c r="AZ17" s="1">
        <v>15.37640311554993</v>
      </c>
      <c r="BA17" s="1">
        <v>17.3514605995652</v>
      </c>
      <c r="BB17" s="2">
        <v>1256865.1712211871</v>
      </c>
      <c r="BC17" s="2">
        <f t="shared" si="5"/>
        <v>-657937.72590733832</v>
      </c>
      <c r="BD17" s="292">
        <f t="shared" si="6"/>
        <v>2.1390901222099643</v>
      </c>
      <c r="BF17" s="170">
        <f t="shared" si="1"/>
        <v>203167.18180586933</v>
      </c>
      <c r="BG17" s="2">
        <f t="shared" si="2"/>
        <v>1203359.3272668018</v>
      </c>
      <c r="BI17">
        <f t="shared" si="3"/>
        <v>0</v>
      </c>
      <c r="BJ17" s="95">
        <f t="shared" si="4"/>
        <v>1</v>
      </c>
      <c r="BL17" s="174">
        <v>20000</v>
      </c>
      <c r="BM17">
        <v>1E-3</v>
      </c>
      <c r="BN17" s="95">
        <v>0.999</v>
      </c>
      <c r="BP17" s="217">
        <f t="shared" si="7"/>
        <v>1203359.3272668018</v>
      </c>
      <c r="BU17" s="174">
        <f t="shared" si="8"/>
        <v>20000</v>
      </c>
      <c r="BV17" s="173">
        <v>6337528.75221249</v>
      </c>
      <c r="CB17" s="188" t="s">
        <v>47</v>
      </c>
      <c r="CC17" s="187">
        <v>0</v>
      </c>
    </row>
    <row r="18" spans="1:81">
      <c r="A18" s="11">
        <v>12</v>
      </c>
      <c r="C18" s="27">
        <v>0.91952687755733087</v>
      </c>
      <c r="D18" s="27">
        <v>8.0473122442669132E-2</v>
      </c>
      <c r="E18" s="27">
        <v>0</v>
      </c>
      <c r="F18" s="27">
        <v>0.85412393682988075</v>
      </c>
      <c r="G18" s="27">
        <v>0.14587606317011925</v>
      </c>
      <c r="H18" s="27">
        <v>0</v>
      </c>
      <c r="I18" s="27">
        <v>0.75219758098488476</v>
      </c>
      <c r="J18" s="27">
        <v>0.24780241901511524</v>
      </c>
      <c r="K18" s="27">
        <v>0</v>
      </c>
      <c r="L18" s="27">
        <v>0.15852917908386782</v>
      </c>
      <c r="M18" s="27">
        <v>0.53657017001953822</v>
      </c>
      <c r="N18" s="27">
        <v>0.30490065089659396</v>
      </c>
      <c r="O18" s="27">
        <v>-11.113692945952646</v>
      </c>
      <c r="P18" s="27">
        <v>3.7263087251068666E-2</v>
      </c>
      <c r="Q18" s="27">
        <v>7.1297928703502019E-5</v>
      </c>
      <c r="R18" s="27">
        <v>1.0446020096879707</v>
      </c>
      <c r="S18" s="154"/>
      <c r="T18">
        <v>0.92307248415081156</v>
      </c>
      <c r="U18">
        <v>2.3252975398467814</v>
      </c>
      <c r="V18">
        <v>3.1327594813809374</v>
      </c>
      <c r="W18">
        <v>1</v>
      </c>
      <c r="Y18" s="2">
        <v>1152.2774388547596</v>
      </c>
      <c r="Z18" s="2">
        <v>5858.5491296235468</v>
      </c>
      <c r="AA18" s="2">
        <v>1700.2175363458573</v>
      </c>
      <c r="AB18" s="2">
        <v>2961.6086052882115</v>
      </c>
      <c r="AC18" s="2">
        <v>1330.1486912937726</v>
      </c>
      <c r="AD18" s="2">
        <v>2924.6186691776384</v>
      </c>
      <c r="AE18" s="2">
        <v>529.59186748180343</v>
      </c>
      <c r="AF18" s="2">
        <v>1129.0463788723887</v>
      </c>
      <c r="AG18" s="2">
        <v>150.58389100798473</v>
      </c>
      <c r="AH18" s="2">
        <v>569.25295343640346</v>
      </c>
      <c r="AI18" s="2">
        <v>526906.70435408305</v>
      </c>
      <c r="AJ18" s="2">
        <v>482045.16188810236</v>
      </c>
      <c r="AL18" s="27">
        <v>0.92136698922326277</v>
      </c>
      <c r="AM18" s="27">
        <v>0.91845579695399204</v>
      </c>
      <c r="AN18" s="27">
        <v>0.91565273302073369</v>
      </c>
      <c r="AO18" s="27">
        <v>0.87398740306547684</v>
      </c>
      <c r="AP18" s="27">
        <v>0.61748181543548819</v>
      </c>
      <c r="AQ18" s="27">
        <v>0.92136698922326277</v>
      </c>
      <c r="AR18" s="27">
        <v>0.91845579695399204</v>
      </c>
      <c r="AS18" s="27">
        <v>0.91565273302073369</v>
      </c>
      <c r="AT18" s="27">
        <v>0.87398740306547684</v>
      </c>
      <c r="AU18" s="27">
        <v>0.61748181543548819</v>
      </c>
      <c r="AW18" s="1">
        <v>13.700446057991837</v>
      </c>
      <c r="AX18" s="1">
        <v>16.135846772112714</v>
      </c>
      <c r="AY18" s="2">
        <v>2323851.5043789418</v>
      </c>
      <c r="AZ18" s="1">
        <v>15.37715295635649</v>
      </c>
      <c r="BA18" s="1">
        <v>17.633135633037725</v>
      </c>
      <c r="BB18" s="2">
        <v>1747768.6233815518</v>
      </c>
      <c r="BC18" s="2">
        <f t="shared" si="5"/>
        <v>-576082.88099739002</v>
      </c>
      <c r="BD18" s="292">
        <f t="shared" si="6"/>
        <v>1.6767068983646531</v>
      </c>
      <c r="BF18" s="170">
        <f t="shared" si="1"/>
        <v>-131780.1351002478</v>
      </c>
      <c r="BG18" s="2">
        <f t="shared" si="2"/>
        <v>712575.84963548649</v>
      </c>
      <c r="BI18">
        <f t="shared" si="3"/>
        <v>0</v>
      </c>
      <c r="BJ18" s="95">
        <f t="shared" si="4"/>
        <v>1</v>
      </c>
      <c r="BL18" s="174">
        <v>22000</v>
      </c>
      <c r="BM18">
        <v>1E-3</v>
      </c>
      <c r="BN18" s="95">
        <v>0.999</v>
      </c>
      <c r="BP18" s="217">
        <f t="shared" si="7"/>
        <v>712575.84963548649</v>
      </c>
      <c r="BU18" s="174">
        <f t="shared" si="8"/>
        <v>22000</v>
      </c>
      <c r="BV18" s="173">
        <v>6170380.3320807861</v>
      </c>
      <c r="CB18" s="188" t="s">
        <v>49</v>
      </c>
      <c r="CC18" s="187">
        <v>0</v>
      </c>
    </row>
    <row r="19" spans="1:81">
      <c r="A19" s="11">
        <v>13</v>
      </c>
      <c r="C19" s="27">
        <v>0.92355114125081839</v>
      </c>
      <c r="D19" s="27">
        <v>7.644885874918167E-2</v>
      </c>
      <c r="E19" s="27">
        <v>0</v>
      </c>
      <c r="F19" s="27">
        <v>0.85972989733049954</v>
      </c>
      <c r="G19" s="27">
        <v>0.14027010266950046</v>
      </c>
      <c r="H19" s="27">
        <v>0</v>
      </c>
      <c r="I19" s="27">
        <v>0.73837862721917069</v>
      </c>
      <c r="J19" s="27">
        <v>0.26162137278082931</v>
      </c>
      <c r="K19" s="27">
        <v>0</v>
      </c>
      <c r="L19" s="27">
        <v>0.13134282429150079</v>
      </c>
      <c r="M19" s="27">
        <v>0.46883530494018788</v>
      </c>
      <c r="N19" s="27">
        <v>0.39982187076831133</v>
      </c>
      <c r="O19" s="27">
        <v>-11.307485059087902</v>
      </c>
      <c r="P19" s="27">
        <v>3.6817848310254926E-2</v>
      </c>
      <c r="Q19" s="27">
        <v>5.76491284073082E-5</v>
      </c>
      <c r="R19" s="27">
        <v>1.0797607017990376</v>
      </c>
      <c r="S19" s="154"/>
      <c r="T19">
        <v>0.96879712538883889</v>
      </c>
      <c r="U19">
        <v>2.2881370606525122</v>
      </c>
      <c r="V19">
        <v>2.9098111016535317</v>
      </c>
      <c r="W19">
        <v>1</v>
      </c>
      <c r="Y19" s="2">
        <v>1603.9277207021119</v>
      </c>
      <c r="Z19" s="2">
        <v>5714.6768960448735</v>
      </c>
      <c r="AA19" s="2">
        <v>1362.6501820491294</v>
      </c>
      <c r="AB19" s="2">
        <v>2187.551280053995</v>
      </c>
      <c r="AC19" s="2">
        <v>408.30680834857037</v>
      </c>
      <c r="AD19" s="2">
        <v>496.43758949159172</v>
      </c>
      <c r="AE19" s="2">
        <v>530.99695243202996</v>
      </c>
      <c r="AF19" s="2">
        <v>1024.216736655246</v>
      </c>
      <c r="AG19" s="2">
        <v>117.27152178220898</v>
      </c>
      <c r="AH19" s="2">
        <v>283.85690358479104</v>
      </c>
      <c r="AI19" s="2">
        <v>434291.64132003009</v>
      </c>
      <c r="AJ19" s="2">
        <v>411600.11236657819</v>
      </c>
      <c r="AL19" s="27">
        <v>0.91324651547900604</v>
      </c>
      <c r="AM19" s="27">
        <v>0.91874598994708201</v>
      </c>
      <c r="AN19" s="27">
        <v>0.91403915193352858</v>
      </c>
      <c r="AO19" s="27">
        <v>0.83618632849119512</v>
      </c>
      <c r="AP19" s="27">
        <v>0.76435237706756254</v>
      </c>
      <c r="AQ19" s="27">
        <v>0.91324651547900604</v>
      </c>
      <c r="AR19" s="27">
        <v>0.91874598994708201</v>
      </c>
      <c r="AS19" s="27">
        <v>0.91403915193352858</v>
      </c>
      <c r="AT19" s="27">
        <v>0.83618632849119512</v>
      </c>
      <c r="AU19" s="27">
        <v>0.76435237706756254</v>
      </c>
      <c r="AW19" s="1">
        <v>13.666589235694904</v>
      </c>
      <c r="AX19" s="1">
        <v>15.490681284282468</v>
      </c>
      <c r="AY19" s="2">
        <v>1613166.5264542711</v>
      </c>
      <c r="AZ19" s="1">
        <v>15.393721114279677</v>
      </c>
      <c r="BA19" s="1">
        <v>17.222574022998373</v>
      </c>
      <c r="BB19" s="2">
        <v>1158841.0779195747</v>
      </c>
      <c r="BC19" s="2">
        <f t="shared" si="5"/>
        <v>-454325.44853469636</v>
      </c>
      <c r="BD19" s="292">
        <f t="shared" si="6"/>
        <v>1.7271318785847729</v>
      </c>
      <c r="BF19" s="170">
        <f t="shared" si="1"/>
        <v>573487.75125691365</v>
      </c>
      <c r="BG19" s="2">
        <f t="shared" si="2"/>
        <v>1304154.3003651735</v>
      </c>
      <c r="BI19">
        <f t="shared" si="3"/>
        <v>0</v>
      </c>
      <c r="BJ19" s="95">
        <f t="shared" si="4"/>
        <v>1</v>
      </c>
      <c r="BL19" s="174">
        <v>24000</v>
      </c>
      <c r="BM19">
        <v>1E-3</v>
      </c>
      <c r="BN19" s="95">
        <v>0.999</v>
      </c>
      <c r="BP19" s="217">
        <f t="shared" si="7"/>
        <v>1304154.3003651735</v>
      </c>
      <c r="BU19" s="174">
        <f t="shared" si="8"/>
        <v>24000</v>
      </c>
      <c r="BV19" s="173">
        <v>6003231.9119380992</v>
      </c>
      <c r="CB19" s="186" t="s">
        <v>51</v>
      </c>
      <c r="CC19" s="187">
        <v>0</v>
      </c>
    </row>
    <row r="20" spans="1:81">
      <c r="A20" s="11">
        <v>14</v>
      </c>
      <c r="C20" s="27">
        <v>0.92001445948335836</v>
      </c>
      <c r="D20" s="27">
        <v>7.998554051664164E-2</v>
      </c>
      <c r="E20" s="27">
        <v>0</v>
      </c>
      <c r="F20" s="27">
        <v>0.85939388430999619</v>
      </c>
      <c r="G20" s="27">
        <v>0.14060611569000378</v>
      </c>
      <c r="H20" s="27">
        <v>0</v>
      </c>
      <c r="I20" s="27">
        <v>0.75309225810388591</v>
      </c>
      <c r="J20" s="27">
        <v>0.24690774189611406</v>
      </c>
      <c r="K20" s="27">
        <v>0</v>
      </c>
      <c r="L20" s="27">
        <v>0.20057216158040508</v>
      </c>
      <c r="M20" s="27">
        <v>0.48701705330816192</v>
      </c>
      <c r="N20" s="27">
        <v>0.312410785111433</v>
      </c>
      <c r="O20" s="27">
        <v>-10.943585584183493</v>
      </c>
      <c r="P20" s="27">
        <v>3.2687965930409575E-2</v>
      </c>
      <c r="Q20" s="27">
        <v>6.9743173354510528E-5</v>
      </c>
      <c r="R20" s="27">
        <v>1.0603685349642564</v>
      </c>
      <c r="S20" s="154"/>
      <c r="T20">
        <v>0.98088766688281459</v>
      </c>
      <c r="U20">
        <v>2.2229367475642423</v>
      </c>
      <c r="V20">
        <v>2.9288352437940386</v>
      </c>
      <c r="W20">
        <v>1</v>
      </c>
      <c r="Y20" s="2">
        <v>2992.7942771947337</v>
      </c>
      <c r="Z20" s="2">
        <v>7412.0449353179847</v>
      </c>
      <c r="AA20" s="2">
        <v>2473.7302715733686</v>
      </c>
      <c r="AB20" s="2">
        <v>951.73621725360567</v>
      </c>
      <c r="AC20" s="2">
        <v>1674.7454554665926</v>
      </c>
      <c r="AD20" s="2">
        <v>303.89729455509689</v>
      </c>
      <c r="AE20" s="2">
        <v>564.65321742760761</v>
      </c>
      <c r="AF20" s="2">
        <v>962.26409322502491</v>
      </c>
      <c r="AG20" s="2">
        <v>144.98944091052758</v>
      </c>
      <c r="AH20" s="2">
        <v>505.49475130520557</v>
      </c>
      <c r="AI20" s="2">
        <v>616601.30296858761</v>
      </c>
      <c r="AJ20" s="2">
        <v>580526.52050656523</v>
      </c>
      <c r="AL20" s="27">
        <v>0.90729102434382003</v>
      </c>
      <c r="AM20" s="27">
        <v>0.90920115591402295</v>
      </c>
      <c r="AN20" s="27">
        <v>0.91895148250402814</v>
      </c>
      <c r="AO20" s="27">
        <v>0.87406822825451191</v>
      </c>
      <c r="AP20" s="27">
        <v>0.80599898003798631</v>
      </c>
      <c r="AQ20" s="27">
        <v>0.90729102434382003</v>
      </c>
      <c r="AR20" s="27">
        <v>0.90920115591402295</v>
      </c>
      <c r="AS20" s="27">
        <v>0.91895148250402814</v>
      </c>
      <c r="AT20" s="27">
        <v>0.87406822825451191</v>
      </c>
      <c r="AU20" s="27">
        <v>0.80599898003798631</v>
      </c>
      <c r="AW20" s="1">
        <v>13.978873573993599</v>
      </c>
      <c r="AX20" s="1">
        <v>15.797657262002929</v>
      </c>
      <c r="AY20" s="2">
        <v>2591677.9307870609</v>
      </c>
      <c r="AZ20" s="1">
        <v>15.629758096872665</v>
      </c>
      <c r="BA20" s="1">
        <v>17.485824390080197</v>
      </c>
      <c r="BB20" s="2">
        <v>1798422.1446013993</v>
      </c>
      <c r="BC20" s="2">
        <f t="shared" si="5"/>
        <v>-793255.78618566156</v>
      </c>
      <c r="BD20" s="292">
        <f t="shared" si="6"/>
        <v>1.6508845228790658</v>
      </c>
      <c r="BF20" s="170">
        <f t="shared" si="1"/>
        <v>-355058.15894808481</v>
      </c>
      <c r="BG20" s="2">
        <f t="shared" si="2"/>
        <v>702339.15089822724</v>
      </c>
      <c r="BI20">
        <f t="shared" si="3"/>
        <v>0</v>
      </c>
      <c r="BJ20" s="95">
        <f t="shared" si="4"/>
        <v>1</v>
      </c>
      <c r="BL20" s="174">
        <v>26000</v>
      </c>
      <c r="BM20">
        <v>1E-3</v>
      </c>
      <c r="BN20" s="95">
        <v>0.999</v>
      </c>
      <c r="BP20" s="217">
        <f t="shared" si="7"/>
        <v>702339.15089822724</v>
      </c>
      <c r="BU20" s="174">
        <f t="shared" si="8"/>
        <v>26000</v>
      </c>
      <c r="BV20" s="173">
        <v>5836083.4918009043</v>
      </c>
      <c r="CB20" s="188" t="s">
        <v>53</v>
      </c>
      <c r="CC20" s="187">
        <v>0</v>
      </c>
    </row>
    <row r="21" spans="1:81">
      <c r="A21" s="11">
        <v>15</v>
      </c>
      <c r="C21" s="27">
        <v>0.92481084971593241</v>
      </c>
      <c r="D21" s="27">
        <v>7.5189150284067544E-2</v>
      </c>
      <c r="E21" s="27">
        <v>0</v>
      </c>
      <c r="F21" s="27">
        <v>0.85383522180106541</v>
      </c>
      <c r="G21" s="27">
        <v>0.14616477819893459</v>
      </c>
      <c r="H21" s="27">
        <v>0</v>
      </c>
      <c r="I21" s="27">
        <v>0.75161317321336307</v>
      </c>
      <c r="J21" s="27">
        <v>0.24838682678663696</v>
      </c>
      <c r="K21" s="27">
        <v>0</v>
      </c>
      <c r="L21" s="27">
        <v>6.5280988786123872E-2</v>
      </c>
      <c r="M21" s="27">
        <v>0.55959977643741809</v>
      </c>
      <c r="N21" s="27">
        <v>0.37511923477645803</v>
      </c>
      <c r="O21" s="27">
        <v>-11.195915084204271</v>
      </c>
      <c r="P21" s="27">
        <v>3.7090784737750654E-2</v>
      </c>
      <c r="Q21" s="27">
        <v>6.519667252551411E-5</v>
      </c>
      <c r="R21" s="27">
        <v>1.0614968703036918</v>
      </c>
      <c r="S21" s="154"/>
      <c r="T21">
        <v>0.9095248513113311</v>
      </c>
      <c r="U21">
        <v>2.2358194658458381</v>
      </c>
      <c r="V21">
        <v>2.8640944421930206</v>
      </c>
      <c r="W21">
        <v>1</v>
      </c>
      <c r="Y21" s="2">
        <v>265.6433346701142</v>
      </c>
      <c r="Z21" s="2">
        <v>1356.9697988881098</v>
      </c>
      <c r="AA21" s="2">
        <v>3675.6958970263454</v>
      </c>
      <c r="AB21" s="2">
        <v>1406.9615891537687</v>
      </c>
      <c r="AC21" s="2">
        <v>393.51854350142816</v>
      </c>
      <c r="AD21" s="2">
        <v>229.63169519257497</v>
      </c>
      <c r="AE21" s="2">
        <v>682.25020250228988</v>
      </c>
      <c r="AF21" s="2">
        <v>1113.966101321505</v>
      </c>
      <c r="AG21" s="2">
        <v>110.36954333588902</v>
      </c>
      <c r="AH21" s="2">
        <v>480.40857077598986</v>
      </c>
      <c r="AI21" s="2">
        <v>428338.55600099586</v>
      </c>
      <c r="AJ21" s="2">
        <v>391296.93768273998</v>
      </c>
      <c r="AL21" s="27">
        <v>0.91716963276595775</v>
      </c>
      <c r="AM21" s="27">
        <v>0.91157945155049258</v>
      </c>
      <c r="AN21" s="27">
        <v>0.90951791310359653</v>
      </c>
      <c r="AO21" s="27">
        <v>0.83732751336211286</v>
      </c>
      <c r="AP21" s="27">
        <v>0.72038877936672208</v>
      </c>
      <c r="AQ21" s="27">
        <v>0.91716963276595775</v>
      </c>
      <c r="AR21" s="27">
        <v>0.91157945155049258</v>
      </c>
      <c r="AS21" s="27">
        <v>0.90951791310359653</v>
      </c>
      <c r="AT21" s="27">
        <v>0.83732751336211286</v>
      </c>
      <c r="AU21" s="27">
        <v>0.72038877936672208</v>
      </c>
      <c r="AW21" s="1">
        <v>14.052830581110959</v>
      </c>
      <c r="AX21" s="1">
        <v>16.083107142409713</v>
      </c>
      <c r="AY21" s="2">
        <v>1593751.4256042365</v>
      </c>
      <c r="AZ21" s="1">
        <v>15.505724723866964</v>
      </c>
      <c r="BA21" s="1">
        <v>17.502359230034269</v>
      </c>
      <c r="BB21" s="2">
        <v>1267190.8893695718</v>
      </c>
      <c r="BC21" s="2">
        <f t="shared" si="5"/>
        <v>-326560.53623466473</v>
      </c>
      <c r="BD21" s="292">
        <f t="shared" si="6"/>
        <v>1.4528941427560049</v>
      </c>
      <c r="BF21" s="170">
        <f t="shared" si="1"/>
        <v>654701.46737351664</v>
      </c>
      <c r="BG21" s="2">
        <f t="shared" si="2"/>
        <v>1213725.0664491423</v>
      </c>
      <c r="BI21">
        <f t="shared" si="3"/>
        <v>0</v>
      </c>
      <c r="BJ21" s="95">
        <f t="shared" si="4"/>
        <v>1</v>
      </c>
      <c r="BL21" s="174">
        <v>28000</v>
      </c>
      <c r="BM21">
        <v>1E-3</v>
      </c>
      <c r="BN21" s="95">
        <v>0.999</v>
      </c>
      <c r="BP21" s="217">
        <f t="shared" si="7"/>
        <v>1213725.0664491423</v>
      </c>
      <c r="BU21" s="174">
        <f t="shared" si="8"/>
        <v>28000</v>
      </c>
      <c r="BV21" s="173">
        <v>5668935.0716692004</v>
      </c>
    </row>
    <row r="22" spans="1:81">
      <c r="A22" s="11">
        <v>16</v>
      </c>
      <c r="C22" s="27">
        <v>0.92157460399934954</v>
      </c>
      <c r="D22" s="27">
        <v>7.842539600065046E-2</v>
      </c>
      <c r="E22" s="27">
        <v>0</v>
      </c>
      <c r="F22" s="27">
        <v>0.85791185410425108</v>
      </c>
      <c r="G22" s="27">
        <v>0.14208814589574889</v>
      </c>
      <c r="H22" s="27">
        <v>0</v>
      </c>
      <c r="I22" s="27">
        <v>0.75006586442648726</v>
      </c>
      <c r="J22" s="27">
        <v>0.24993413557351279</v>
      </c>
      <c r="K22" s="27">
        <v>0</v>
      </c>
      <c r="L22" s="27">
        <v>0.10621157350404453</v>
      </c>
      <c r="M22" s="27">
        <v>0.54509799971809991</v>
      </c>
      <c r="N22" s="27">
        <v>0.34869042677785556</v>
      </c>
      <c r="O22" s="27">
        <v>-11.294108242438522</v>
      </c>
      <c r="P22" s="27">
        <v>3.7911655614394024E-2</v>
      </c>
      <c r="Q22" s="27">
        <v>6.1172139646318465E-5</v>
      </c>
      <c r="R22" s="27">
        <v>1.0643028550986278</v>
      </c>
      <c r="S22" s="154"/>
      <c r="T22">
        <v>1.023141949369837</v>
      </c>
      <c r="U22">
        <v>2.309977953173719</v>
      </c>
      <c r="V22">
        <v>2.7434385102396659</v>
      </c>
      <c r="W22">
        <v>1</v>
      </c>
      <c r="Y22" s="2">
        <v>325.24432126877394</v>
      </c>
      <c r="Z22" s="2">
        <v>2598.4786274046478</v>
      </c>
      <c r="AA22" s="2">
        <v>163.38567878876972</v>
      </c>
      <c r="AB22" s="2">
        <v>5249.1202096335419</v>
      </c>
      <c r="AC22" s="2">
        <v>999.75845616562333</v>
      </c>
      <c r="AD22" s="2">
        <v>485.88387079965423</v>
      </c>
      <c r="AE22" s="2">
        <v>520.81277778555636</v>
      </c>
      <c r="AF22" s="2">
        <v>1081.925552478946</v>
      </c>
      <c r="AG22" s="2">
        <v>83.991848966553434</v>
      </c>
      <c r="AH22" s="2">
        <v>309.57094892554238</v>
      </c>
      <c r="AI22" s="2">
        <v>394936.89895100321</v>
      </c>
      <c r="AJ22" s="2">
        <v>366855.85530149553</v>
      </c>
      <c r="AL22" s="27">
        <v>0.9124354949382284</v>
      </c>
      <c r="AM22" s="27">
        <v>0.91952492621647142</v>
      </c>
      <c r="AN22" s="27">
        <v>0.91271468682406276</v>
      </c>
      <c r="AO22" s="27">
        <v>0.90079817799962647</v>
      </c>
      <c r="AP22" s="27">
        <v>0.61094504033293784</v>
      </c>
      <c r="AQ22" s="27">
        <v>0.9124354949382284</v>
      </c>
      <c r="AR22" s="27">
        <v>0.91952492621647142</v>
      </c>
      <c r="AS22" s="27">
        <v>0.91271468682406276</v>
      </c>
      <c r="AT22" s="27">
        <v>0.90079817799962647</v>
      </c>
      <c r="AU22" s="27">
        <v>0.61094504033293784</v>
      </c>
      <c r="AW22" s="1">
        <v>13.328501362401267</v>
      </c>
      <c r="AX22" s="1">
        <v>15.787537951116784</v>
      </c>
      <c r="AY22" s="2">
        <v>1682310.9484964036</v>
      </c>
      <c r="AZ22" s="1">
        <v>15.26773618708307</v>
      </c>
      <c r="BA22" s="1">
        <v>17.540693130622575</v>
      </c>
      <c r="BB22" s="2">
        <v>1246533.6465450753</v>
      </c>
      <c r="BC22" s="2">
        <f t="shared" si="5"/>
        <v>-435777.30195132829</v>
      </c>
      <c r="BD22" s="292">
        <f t="shared" si="6"/>
        <v>1.9392348246818027</v>
      </c>
      <c r="BF22" s="170">
        <f t="shared" si="1"/>
        <v>450249.26948779915</v>
      </c>
      <c r="BG22" s="2">
        <f t="shared" si="2"/>
        <v>1196304.1433882159</v>
      </c>
      <c r="BI22">
        <f t="shared" si="3"/>
        <v>0</v>
      </c>
      <c r="BJ22" s="95">
        <f t="shared" si="4"/>
        <v>1</v>
      </c>
      <c r="BL22" s="174">
        <v>30000</v>
      </c>
      <c r="BM22">
        <v>1E-3</v>
      </c>
      <c r="BN22" s="95">
        <v>0.999</v>
      </c>
      <c r="BP22" s="217">
        <f t="shared" si="7"/>
        <v>1196304.1433882159</v>
      </c>
      <c r="BU22" s="174">
        <f t="shared" si="8"/>
        <v>30000</v>
      </c>
      <c r="BV22" s="173">
        <v>5501786.6515210224</v>
      </c>
      <c r="CB22" s="186" t="s">
        <v>55</v>
      </c>
      <c r="CC22" s="187">
        <v>0</v>
      </c>
    </row>
    <row r="23" spans="1:81">
      <c r="A23" s="11">
        <v>17</v>
      </c>
      <c r="C23" s="27">
        <v>0.91940434153977679</v>
      </c>
      <c r="D23" s="27">
        <v>8.0595658460223207E-2</v>
      </c>
      <c r="E23" s="27">
        <v>0</v>
      </c>
      <c r="F23" s="27">
        <v>0.85406282822461943</v>
      </c>
      <c r="G23" s="27">
        <v>0.14593717177538057</v>
      </c>
      <c r="H23" s="27">
        <v>0</v>
      </c>
      <c r="I23" s="27">
        <v>0.7512042617169209</v>
      </c>
      <c r="J23" s="27">
        <v>0.24879573828307913</v>
      </c>
      <c r="K23" s="27">
        <v>0</v>
      </c>
      <c r="L23" s="27">
        <v>0.1325099384524866</v>
      </c>
      <c r="M23" s="27">
        <v>0.49163807744836474</v>
      </c>
      <c r="N23" s="27">
        <v>0.37585198409914866</v>
      </c>
      <c r="O23" s="27">
        <v>-11.333250788408668</v>
      </c>
      <c r="P23" s="27">
        <v>3.3165284295530492E-2</v>
      </c>
      <c r="Q23" s="27">
        <v>4.8192418201892287E-5</v>
      </c>
      <c r="R23" s="27">
        <v>1.1129444552168355</v>
      </c>
      <c r="S23" s="154"/>
      <c r="T23">
        <v>0.91174231531290795</v>
      </c>
      <c r="U23">
        <v>2.3301710589862505</v>
      </c>
      <c r="V23">
        <v>3.0842535332647238</v>
      </c>
      <c r="W23">
        <v>1</v>
      </c>
      <c r="Y23" s="2">
        <v>1762.9555765778559</v>
      </c>
      <c r="Z23" s="2">
        <v>5896.0914780683879</v>
      </c>
      <c r="AA23" s="2">
        <v>324.53418438784917</v>
      </c>
      <c r="AB23" s="2">
        <v>1402.6867827122571</v>
      </c>
      <c r="AC23" s="2">
        <v>101.28673192849081</v>
      </c>
      <c r="AD23" s="2">
        <v>1034.2901727366195</v>
      </c>
      <c r="AE23" s="2">
        <v>544.13712647037039</v>
      </c>
      <c r="AF23" s="2">
        <v>960.79341823801894</v>
      </c>
      <c r="AG23" s="2">
        <v>228.18481669105611</v>
      </c>
      <c r="AH23" s="2">
        <v>221.26329448865511</v>
      </c>
      <c r="AI23" s="2">
        <v>523940.78049994656</v>
      </c>
      <c r="AJ23" s="2">
        <v>491245.97660026263</v>
      </c>
      <c r="AL23" s="27">
        <v>0.91194172943910745</v>
      </c>
      <c r="AM23" s="27">
        <v>0.91511925738791056</v>
      </c>
      <c r="AN23" s="27">
        <v>0.90788653462458568</v>
      </c>
      <c r="AO23" s="27">
        <v>0.87327261015016533</v>
      </c>
      <c r="AP23" s="27">
        <v>0.62831090063854989</v>
      </c>
      <c r="AQ23" s="27">
        <v>0.91194172943910745</v>
      </c>
      <c r="AR23" s="27">
        <v>0.91511925738791056</v>
      </c>
      <c r="AS23" s="27">
        <v>0.90788653462458568</v>
      </c>
      <c r="AT23" s="27">
        <v>0.87327261015016533</v>
      </c>
      <c r="AU23" s="27">
        <v>0.62831090063854989</v>
      </c>
      <c r="AW23" s="1">
        <v>13.212512462129197</v>
      </c>
      <c r="AX23" s="1">
        <v>15.436951200173905</v>
      </c>
      <c r="AY23" s="2">
        <v>1896018.2817263075</v>
      </c>
      <c r="AZ23" s="1">
        <v>14.952229623875345</v>
      </c>
      <c r="BA23" s="1">
        <v>17.096467385196092</v>
      </c>
      <c r="BB23" s="2">
        <v>1368852.9046885888</v>
      </c>
      <c r="BC23" s="2">
        <f t="shared" si="5"/>
        <v>-527165.37703771866</v>
      </c>
      <c r="BD23" s="292">
        <f t="shared" si="6"/>
        <v>1.7397171617461478</v>
      </c>
      <c r="BF23" s="170">
        <f t="shared" si="1"/>
        <v>217983.71221436397</v>
      </c>
      <c r="BG23" s="2">
        <f t="shared" si="2"/>
        <v>1023503.8351314664</v>
      </c>
      <c r="BI23">
        <f t="shared" si="3"/>
        <v>0</v>
      </c>
      <c r="BJ23" s="95">
        <f t="shared" si="4"/>
        <v>1</v>
      </c>
      <c r="BL23" s="174">
        <v>32000</v>
      </c>
      <c r="BM23">
        <v>1E-3</v>
      </c>
      <c r="BN23" s="95">
        <v>0.999</v>
      </c>
      <c r="BP23" s="217">
        <f t="shared" si="7"/>
        <v>1023503.8351314664</v>
      </c>
      <c r="BU23" s="174">
        <f t="shared" si="8"/>
        <v>32000</v>
      </c>
      <c r="BV23" s="173">
        <v>5334638.2313948106</v>
      </c>
      <c r="CB23" s="186" t="s">
        <v>57</v>
      </c>
      <c r="CC23" s="187">
        <v>0</v>
      </c>
    </row>
    <row r="24" spans="1:81">
      <c r="A24" s="11">
        <v>18</v>
      </c>
      <c r="C24" s="27">
        <v>0.92459651874200521</v>
      </c>
      <c r="D24" s="27">
        <v>7.5403481257994745E-2</v>
      </c>
      <c r="E24" s="27">
        <v>0</v>
      </c>
      <c r="F24" s="27">
        <v>0.85367037453343964</v>
      </c>
      <c r="G24" s="27">
        <v>0.14632962546656036</v>
      </c>
      <c r="H24" s="27">
        <v>0</v>
      </c>
      <c r="I24" s="27">
        <v>0.75391972176009148</v>
      </c>
      <c r="J24" s="27">
        <v>0.24608027823990855</v>
      </c>
      <c r="K24" s="27">
        <v>0</v>
      </c>
      <c r="L24" s="27">
        <v>0.1274232369559628</v>
      </c>
      <c r="M24" s="27">
        <v>0.54401905017624919</v>
      </c>
      <c r="N24" s="27">
        <v>0.32855771286778801</v>
      </c>
      <c r="O24" s="27">
        <v>-11.380584191805047</v>
      </c>
      <c r="P24" s="27">
        <v>3.5567078949942044E-2</v>
      </c>
      <c r="Q24" s="27">
        <v>5.084306247702918E-5</v>
      </c>
      <c r="R24" s="27">
        <v>1.1016421817763746</v>
      </c>
      <c r="S24" s="154"/>
      <c r="T24">
        <v>0.95205049864415214</v>
      </c>
      <c r="U24">
        <v>2.2523286880451985</v>
      </c>
      <c r="V24">
        <v>2.9990365749862145</v>
      </c>
      <c r="W24">
        <v>1</v>
      </c>
      <c r="Y24" s="2">
        <v>1331.2621052693132</v>
      </c>
      <c r="Z24" s="2">
        <v>13.964022492825727</v>
      </c>
      <c r="AA24" s="2">
        <v>742.10636263237575</v>
      </c>
      <c r="AB24" s="2">
        <v>6111.3503903549572</v>
      </c>
      <c r="AC24" s="2">
        <v>2714.5551351597919</v>
      </c>
      <c r="AD24" s="2">
        <v>2439.6425844152218</v>
      </c>
      <c r="AE24" s="2">
        <v>534.61213112096721</v>
      </c>
      <c r="AF24" s="2">
        <v>944.85555158070702</v>
      </c>
      <c r="AG24" s="2">
        <v>144.29346918949943</v>
      </c>
      <c r="AH24" s="2">
        <v>539.20179718412555</v>
      </c>
      <c r="AI24" s="2">
        <v>496005.31496022519</v>
      </c>
      <c r="AJ24" s="2">
        <v>451520.45729085576</v>
      </c>
      <c r="AL24" s="27">
        <v>0.91569219279276959</v>
      </c>
      <c r="AM24" s="27">
        <v>0.91857439763313464</v>
      </c>
      <c r="AN24" s="27">
        <v>0.90896715550767548</v>
      </c>
      <c r="AO24" s="27">
        <v>0.89469297282571358</v>
      </c>
      <c r="AP24" s="27">
        <v>0.80945723680192661</v>
      </c>
      <c r="AQ24" s="27">
        <v>0.91569219279276959</v>
      </c>
      <c r="AR24" s="27">
        <v>0.91857439763313464</v>
      </c>
      <c r="AS24" s="27">
        <v>0.90896715550767548</v>
      </c>
      <c r="AT24" s="27">
        <v>0.89469297282571358</v>
      </c>
      <c r="AU24" s="27">
        <v>0.80945723680192661</v>
      </c>
      <c r="AW24" s="1">
        <v>14.212603452597138</v>
      </c>
      <c r="AX24" s="1">
        <v>15.915878274062536</v>
      </c>
      <c r="AY24" s="2">
        <v>1875193.4649302983</v>
      </c>
      <c r="AZ24" s="1">
        <v>15.761007285483698</v>
      </c>
      <c r="BA24" s="1">
        <v>17.501965968682949</v>
      </c>
      <c r="BB24" s="2">
        <v>1483150.6577563866</v>
      </c>
      <c r="BC24" s="2">
        <f t="shared" si="5"/>
        <v>-392042.80717391171</v>
      </c>
      <c r="BD24" s="292">
        <f t="shared" si="6"/>
        <v>1.5484038328865601</v>
      </c>
      <c r="BF24" s="170">
        <f t="shared" si="1"/>
        <v>398823.08748524403</v>
      </c>
      <c r="BG24" s="2">
        <f t="shared" si="2"/>
        <v>1038610.5079210054</v>
      </c>
      <c r="BI24">
        <f t="shared" si="3"/>
        <v>0</v>
      </c>
      <c r="BJ24" s="95">
        <f t="shared" si="4"/>
        <v>1</v>
      </c>
      <c r="BL24" s="174">
        <v>34000</v>
      </c>
      <c r="BM24">
        <v>1E-3</v>
      </c>
      <c r="BN24" s="95">
        <v>0.999</v>
      </c>
      <c r="BP24" s="217">
        <f t="shared" si="7"/>
        <v>1038610.5079210054</v>
      </c>
      <c r="BU24" s="174">
        <f t="shared" si="8"/>
        <v>34000</v>
      </c>
      <c r="BV24" s="173">
        <v>5167489.8112576157</v>
      </c>
      <c r="CB24" s="186" t="s">
        <v>59</v>
      </c>
      <c r="CC24" s="187">
        <v>0</v>
      </c>
    </row>
    <row r="25" spans="1:81">
      <c r="A25" s="11">
        <v>19</v>
      </c>
      <c r="C25" s="27">
        <v>0.92297687972182729</v>
      </c>
      <c r="D25" s="27">
        <v>7.7023120278172708E-2</v>
      </c>
      <c r="E25" s="27">
        <v>0</v>
      </c>
      <c r="F25" s="27">
        <v>0.84911816855435518</v>
      </c>
      <c r="G25" s="27">
        <v>0.15088183144564482</v>
      </c>
      <c r="H25" s="27">
        <v>0</v>
      </c>
      <c r="I25" s="27">
        <v>0.75586085240888234</v>
      </c>
      <c r="J25" s="27">
        <v>0.24413914759111766</v>
      </c>
      <c r="K25" s="27">
        <v>0</v>
      </c>
      <c r="L25" s="27">
        <v>0.15989753781329397</v>
      </c>
      <c r="M25" s="27">
        <v>0.53598818244993818</v>
      </c>
      <c r="N25" s="27">
        <v>0.30411427973676786</v>
      </c>
      <c r="O25" s="27">
        <v>-11.164753940450735</v>
      </c>
      <c r="P25" s="27">
        <v>3.519292692274776E-2</v>
      </c>
      <c r="Q25" s="27">
        <v>6.2107052434790037E-5</v>
      </c>
      <c r="R25" s="27">
        <v>1.0669263582966046</v>
      </c>
      <c r="S25" s="154"/>
      <c r="T25">
        <v>0.93917850076598608</v>
      </c>
      <c r="U25">
        <v>2.1754680516738363</v>
      </c>
      <c r="V25">
        <v>3.0229999758145549</v>
      </c>
      <c r="W25">
        <v>1</v>
      </c>
      <c r="Y25" s="2">
        <v>214.77077392600128</v>
      </c>
      <c r="Z25" s="2">
        <v>895.51470689719747</v>
      </c>
      <c r="AA25" s="2">
        <v>4371.1931693797715</v>
      </c>
      <c r="AB25" s="2">
        <v>1087.9091213893682</v>
      </c>
      <c r="AC25" s="2">
        <v>682.1903877729992</v>
      </c>
      <c r="AD25" s="2">
        <v>349.58060072846985</v>
      </c>
      <c r="AE25" s="2">
        <v>584.41969319669511</v>
      </c>
      <c r="AF25" s="2">
        <v>986.4430659186778</v>
      </c>
      <c r="AG25" s="2">
        <v>58.73319688048597</v>
      </c>
      <c r="AH25" s="2">
        <v>437.76510482864364</v>
      </c>
      <c r="AI25" s="2">
        <v>457735.82606308057</v>
      </c>
      <c r="AJ25" s="2">
        <v>428977.63935322687</v>
      </c>
      <c r="AL25" s="27">
        <v>0.91294075397035634</v>
      </c>
      <c r="AM25" s="27">
        <v>0.91452494576297905</v>
      </c>
      <c r="AN25" s="27">
        <v>0.91089046911640881</v>
      </c>
      <c r="AO25" s="27">
        <v>0.90206318500335381</v>
      </c>
      <c r="AP25" s="27">
        <v>0.71360147480201075</v>
      </c>
      <c r="AQ25" s="27">
        <v>0.91294075397035634</v>
      </c>
      <c r="AR25" s="27">
        <v>0.91452494576297905</v>
      </c>
      <c r="AS25" s="27">
        <v>0.91089046911640881</v>
      </c>
      <c r="AT25" s="27">
        <v>0.90206318500335381</v>
      </c>
      <c r="AU25" s="27">
        <v>0.71360147480201075</v>
      </c>
      <c r="AW25" s="1">
        <v>14.045441940506748</v>
      </c>
      <c r="AX25" s="1">
        <v>16.161877391659512</v>
      </c>
      <c r="AY25" s="2">
        <v>1892403.4738077712</v>
      </c>
      <c r="AZ25" s="1">
        <v>15.560895071440225</v>
      </c>
      <c r="BA25" s="1">
        <v>17.617264649557896</v>
      </c>
      <c r="BB25" s="2">
        <v>1478812.6694908233</v>
      </c>
      <c r="BC25" s="2">
        <f t="shared" si="5"/>
        <v>-413590.80431694794</v>
      </c>
      <c r="BD25" s="292">
        <f t="shared" si="6"/>
        <v>1.5154531309334764</v>
      </c>
      <c r="BF25" s="170">
        <f t="shared" si="1"/>
        <v>354867.23667330854</v>
      </c>
      <c r="BG25" s="2">
        <f t="shared" si="2"/>
        <v>1010930.5419396127</v>
      </c>
      <c r="BI25">
        <f t="shared" si="3"/>
        <v>0</v>
      </c>
      <c r="BJ25" s="95">
        <f t="shared" si="4"/>
        <v>1</v>
      </c>
      <c r="BL25" s="174">
        <v>36000</v>
      </c>
      <c r="BM25">
        <v>1E-3</v>
      </c>
      <c r="BN25" s="95">
        <v>0.999</v>
      </c>
      <c r="BP25" s="217">
        <f t="shared" si="7"/>
        <v>1010930.5419396127</v>
      </c>
      <c r="BU25" s="174">
        <f t="shared" si="8"/>
        <v>36000</v>
      </c>
      <c r="BV25" s="173">
        <v>5000341.3911094377</v>
      </c>
      <c r="CB25" s="186" t="s">
        <v>61</v>
      </c>
      <c r="CC25" s="187">
        <v>0</v>
      </c>
    </row>
    <row r="26" spans="1:81">
      <c r="A26" s="11">
        <v>20</v>
      </c>
      <c r="C26" s="27">
        <v>0.92201312167048355</v>
      </c>
      <c r="D26" s="27">
        <v>7.7986878329516451E-2</v>
      </c>
      <c r="E26" s="27">
        <v>0</v>
      </c>
      <c r="F26" s="27">
        <v>0.85409278311745296</v>
      </c>
      <c r="G26" s="27">
        <v>0.14590721688254704</v>
      </c>
      <c r="H26" s="27">
        <v>0</v>
      </c>
      <c r="I26" s="27">
        <v>0.7531774083345395</v>
      </c>
      <c r="J26" s="27">
        <v>0.2468225916654605</v>
      </c>
      <c r="K26" s="27">
        <v>0</v>
      </c>
      <c r="L26" s="27">
        <v>0.13496725109167956</v>
      </c>
      <c r="M26" s="27">
        <v>0.51079723299388169</v>
      </c>
      <c r="N26" s="27">
        <v>0.35423551591443875</v>
      </c>
      <c r="O26" s="27">
        <v>-11.102142051642</v>
      </c>
      <c r="P26" s="27">
        <v>3.2539333747194935E-2</v>
      </c>
      <c r="Q26" s="27">
        <v>5.9146683746482453E-5</v>
      </c>
      <c r="R26" s="27">
        <v>1.0728065936074465</v>
      </c>
      <c r="S26" s="154"/>
      <c r="T26">
        <v>1.0162042032555987</v>
      </c>
      <c r="U26">
        <v>2.2449093781279821</v>
      </c>
      <c r="V26">
        <v>2.7551463510259548</v>
      </c>
      <c r="W26">
        <v>1</v>
      </c>
      <c r="Y26" s="2">
        <v>1344.4949492682063</v>
      </c>
      <c r="Z26" s="2">
        <v>4181.618600370155</v>
      </c>
      <c r="AA26" s="2">
        <v>133.04901865145834</v>
      </c>
      <c r="AB26" s="2">
        <v>1390.7326495835523</v>
      </c>
      <c r="AC26" s="2">
        <v>1518.1494068143215</v>
      </c>
      <c r="AD26" s="2">
        <v>2212.7677355573583</v>
      </c>
      <c r="AE26" s="2">
        <v>610.45880305758794</v>
      </c>
      <c r="AF26" s="2">
        <v>1146.6254363090366</v>
      </c>
      <c r="AG26" s="2">
        <v>72.918715809168745</v>
      </c>
      <c r="AH26" s="2">
        <v>489.83550862838638</v>
      </c>
      <c r="AI26" s="2">
        <v>413749.44151452207</v>
      </c>
      <c r="AJ26" s="2">
        <v>373268.71375509707</v>
      </c>
      <c r="AL26" s="27">
        <v>0.9207116518873768</v>
      </c>
      <c r="AM26" s="27">
        <v>0.91337335800323838</v>
      </c>
      <c r="AN26" s="27">
        <v>0.90238761545294266</v>
      </c>
      <c r="AO26" s="27">
        <v>0.85181517380021776</v>
      </c>
      <c r="AP26" s="27">
        <v>0.82145503743726156</v>
      </c>
      <c r="AQ26" s="27">
        <v>0.9207116518873768</v>
      </c>
      <c r="AR26" s="27">
        <v>0.91337335800323838</v>
      </c>
      <c r="AS26" s="27">
        <v>0.90238761545294266</v>
      </c>
      <c r="AT26" s="27">
        <v>0.85181517380021776</v>
      </c>
      <c r="AU26" s="27">
        <v>0.82145503743726156</v>
      </c>
      <c r="AW26" s="1">
        <v>14.014791594013234</v>
      </c>
      <c r="AX26" s="1">
        <v>15.668475893994287</v>
      </c>
      <c r="AY26" s="2">
        <v>1659622.829779237</v>
      </c>
      <c r="AZ26" s="1">
        <v>15.702526177081236</v>
      </c>
      <c r="BA26" s="1">
        <v>17.417949542352719</v>
      </c>
      <c r="BB26" s="2">
        <v>1180791.4393731744</v>
      </c>
      <c r="BC26" s="2">
        <f t="shared" si="5"/>
        <v>-478831.39040606259</v>
      </c>
      <c r="BD26" s="292">
        <f t="shared" si="6"/>
        <v>1.6877345830680017</v>
      </c>
      <c r="BF26" s="170">
        <f t="shared" si="1"/>
        <v>582743.82526288042</v>
      </c>
      <c r="BG26" s="2">
        <f t="shared" si="2"/>
        <v>1331612.7489598233</v>
      </c>
      <c r="BI26">
        <f t="shared" si="3"/>
        <v>0</v>
      </c>
      <c r="BJ26" s="95">
        <f t="shared" si="4"/>
        <v>1</v>
      </c>
      <c r="BL26" s="174">
        <v>38000</v>
      </c>
      <c r="BM26">
        <v>1E-3</v>
      </c>
      <c r="BN26" s="95">
        <v>0.999</v>
      </c>
      <c r="BP26" s="217">
        <f t="shared" si="7"/>
        <v>1331612.7489598233</v>
      </c>
      <c r="BU26" s="174">
        <f t="shared" si="8"/>
        <v>38000</v>
      </c>
      <c r="BV26" s="173">
        <v>4833192.9709777338</v>
      </c>
    </row>
    <row r="27" spans="1:81">
      <c r="A27" s="11">
        <v>21</v>
      </c>
      <c r="C27" s="27">
        <v>0.92354160823857878</v>
      </c>
      <c r="D27" s="27">
        <v>7.6458391761421191E-2</v>
      </c>
      <c r="E27" s="27">
        <v>0</v>
      </c>
      <c r="F27" s="27">
        <v>0.85488074667549796</v>
      </c>
      <c r="G27" s="27">
        <v>0.14511925332450204</v>
      </c>
      <c r="H27" s="27">
        <v>0</v>
      </c>
      <c r="I27" s="27">
        <v>0.75628534998638219</v>
      </c>
      <c r="J27" s="27">
        <v>0.24371465001361783</v>
      </c>
      <c r="K27" s="27">
        <v>0</v>
      </c>
      <c r="L27" s="27">
        <v>0.19754930691988748</v>
      </c>
      <c r="M27" s="27">
        <v>0.48132179456911367</v>
      </c>
      <c r="N27" s="27">
        <v>0.32112889851099879</v>
      </c>
      <c r="O27" s="27">
        <v>-11.187497989661065</v>
      </c>
      <c r="P27" s="27">
        <v>3.3516945009555071E-2</v>
      </c>
      <c r="Q27" s="27">
        <v>5.6583886773878981E-5</v>
      </c>
      <c r="R27" s="27">
        <v>1.0900078445099881</v>
      </c>
      <c r="S27" s="154"/>
      <c r="T27">
        <v>1.0469812078616405</v>
      </c>
      <c r="U27">
        <v>2.2270367564055586</v>
      </c>
      <c r="V27">
        <v>2.9020297999395281</v>
      </c>
      <c r="W27">
        <v>1</v>
      </c>
      <c r="Y27" s="2">
        <v>126.9756226367922</v>
      </c>
      <c r="Z27" s="2">
        <v>4549.2121289998613</v>
      </c>
      <c r="AA27" s="2">
        <v>2447.4059992852904</v>
      </c>
      <c r="AB27" s="2">
        <v>1508.1421755537933</v>
      </c>
      <c r="AC27" s="2">
        <v>669.18688928389133</v>
      </c>
      <c r="AD27" s="2">
        <v>2891.2207246951489</v>
      </c>
      <c r="AE27" s="2">
        <v>630.78086880382114</v>
      </c>
      <c r="AF27" s="2">
        <v>817.69717856015473</v>
      </c>
      <c r="AG27" s="2">
        <v>143.33734582288454</v>
      </c>
      <c r="AH27" s="2">
        <v>254.42620149379965</v>
      </c>
      <c r="AI27" s="2">
        <v>452142.85256896005</v>
      </c>
      <c r="AJ27" s="2">
        <v>415299.34666036535</v>
      </c>
      <c r="AL27" s="27">
        <v>0.91421871942341004</v>
      </c>
      <c r="AM27" s="27">
        <v>0.91106812267719983</v>
      </c>
      <c r="AN27" s="27">
        <v>0.90482862770314731</v>
      </c>
      <c r="AO27" s="27">
        <v>0.84875006916599738</v>
      </c>
      <c r="AP27" s="27">
        <v>0.75052873976489254</v>
      </c>
      <c r="AQ27" s="27">
        <v>0.91421871942341004</v>
      </c>
      <c r="AR27" s="27">
        <v>0.91106812267719983</v>
      </c>
      <c r="AS27" s="27">
        <v>0.90482862770314731</v>
      </c>
      <c r="AT27" s="27">
        <v>0.84875006916599738</v>
      </c>
      <c r="AU27" s="27">
        <v>0.75052873976489254</v>
      </c>
      <c r="AW27" s="1">
        <v>13.633461732703951</v>
      </c>
      <c r="AX27" s="1">
        <v>15.568212136117211</v>
      </c>
      <c r="AY27" s="2">
        <v>1755094.2632721558</v>
      </c>
      <c r="AZ27" s="1">
        <v>15.502018843988123</v>
      </c>
      <c r="BA27" s="1">
        <v>17.436743787941626</v>
      </c>
      <c r="BB27" s="2">
        <v>1283883.0205670586</v>
      </c>
      <c r="BC27" s="2">
        <f t="shared" si="5"/>
        <v>-471211.24270509719</v>
      </c>
      <c r="BD27" s="292">
        <f t="shared" si="6"/>
        <v>1.8685571112841721</v>
      </c>
      <c r="BF27" s="170">
        <f t="shared" si="1"/>
        <v>426259.61396047636</v>
      </c>
      <c r="BG27" s="2">
        <f t="shared" si="2"/>
        <v>1196439.994471041</v>
      </c>
      <c r="BI27">
        <f t="shared" si="3"/>
        <v>0</v>
      </c>
      <c r="BJ27" s="95">
        <f t="shared" si="4"/>
        <v>1</v>
      </c>
      <c r="BL27" s="174">
        <v>40000</v>
      </c>
      <c r="BM27">
        <v>1E-3</v>
      </c>
      <c r="BN27" s="95">
        <v>0.999</v>
      </c>
      <c r="BP27" s="217">
        <f t="shared" si="7"/>
        <v>1196439.994471041</v>
      </c>
      <c r="BU27" s="174">
        <f t="shared" si="8"/>
        <v>40000</v>
      </c>
      <c r="BV27" s="173">
        <v>4666044.55084603</v>
      </c>
      <c r="CB27" s="188" t="s">
        <v>78</v>
      </c>
      <c r="CC27" s="187">
        <v>0</v>
      </c>
    </row>
    <row r="28" spans="1:81">
      <c r="A28" s="11">
        <v>22</v>
      </c>
      <c r="C28" s="27">
        <v>0.92269861941785769</v>
      </c>
      <c r="D28" s="27">
        <v>7.7301380582142309E-2</v>
      </c>
      <c r="E28" s="27">
        <v>0</v>
      </c>
      <c r="F28" s="27">
        <v>0.85786050635994815</v>
      </c>
      <c r="G28" s="27">
        <v>0.14213949364005182</v>
      </c>
      <c r="H28" s="27">
        <v>0</v>
      </c>
      <c r="I28" s="27">
        <v>0.74884383649379438</v>
      </c>
      <c r="J28" s="27">
        <v>0.25115616350620562</v>
      </c>
      <c r="K28" s="27">
        <v>0</v>
      </c>
      <c r="L28" s="27">
        <v>0.12821454568819735</v>
      </c>
      <c r="M28" s="27">
        <v>0.46131609032744542</v>
      </c>
      <c r="N28" s="27">
        <v>0.41046936398435729</v>
      </c>
      <c r="O28" s="27">
        <v>-10.955859423213353</v>
      </c>
      <c r="P28" s="27">
        <v>3.4703682901182975E-2</v>
      </c>
      <c r="Q28" s="27">
        <v>7.4978830717974457E-5</v>
      </c>
      <c r="R28" s="27">
        <v>1.0491793808647614</v>
      </c>
      <c r="S28" s="154"/>
      <c r="T28">
        <v>1.0543538560385552</v>
      </c>
      <c r="U28">
        <v>2.3100477527412777</v>
      </c>
      <c r="V28">
        <v>3.0783554214036877</v>
      </c>
      <c r="W28">
        <v>1</v>
      </c>
      <c r="Y28" s="2">
        <v>105.07654905821862</v>
      </c>
      <c r="Z28" s="2">
        <v>10939.621412695033</v>
      </c>
      <c r="AA28" s="2">
        <v>4702.7144124985671</v>
      </c>
      <c r="AB28" s="2">
        <v>3372.4534821669076</v>
      </c>
      <c r="AC28" s="2">
        <v>3375.5332423054751</v>
      </c>
      <c r="AD28" s="2">
        <v>1115.2975984148754</v>
      </c>
      <c r="AE28" s="2">
        <v>618.95993119062018</v>
      </c>
      <c r="AF28" s="2">
        <v>1093.1299889634151</v>
      </c>
      <c r="AG28" s="2">
        <v>151.00452420859901</v>
      </c>
      <c r="AH28" s="2">
        <v>475.2909605800653</v>
      </c>
      <c r="AI28" s="2">
        <v>406758.62875087361</v>
      </c>
      <c r="AJ28" s="2">
        <v>374368.88345485105</v>
      </c>
      <c r="AL28" s="27">
        <v>0.92011829774555554</v>
      </c>
      <c r="AM28" s="27">
        <v>0.91554907196792779</v>
      </c>
      <c r="AN28" s="27">
        <v>0.90465510961264972</v>
      </c>
      <c r="AO28" s="27">
        <v>0.84122602875779995</v>
      </c>
      <c r="AP28" s="27">
        <v>0.67107193221664718</v>
      </c>
      <c r="AQ28" s="27">
        <v>0.92011829774555554</v>
      </c>
      <c r="AR28" s="27">
        <v>0.91554907196792779</v>
      </c>
      <c r="AS28" s="27">
        <v>0.90465510961264972</v>
      </c>
      <c r="AT28" s="27">
        <v>0.84122602875779995</v>
      </c>
      <c r="AU28" s="27">
        <v>0.67107193221664718</v>
      </c>
      <c r="AW28" s="1">
        <v>13.097858133475805</v>
      </c>
      <c r="AX28" s="1">
        <v>15.153428921763675</v>
      </c>
      <c r="AY28" s="2">
        <v>1627767.6140829064</v>
      </c>
      <c r="AZ28" s="1">
        <v>15.213512789512366</v>
      </c>
      <c r="BA28" s="1">
        <v>17.202290870495943</v>
      </c>
      <c r="BB28" s="2">
        <v>1148662.0534118935</v>
      </c>
      <c r="BC28" s="2">
        <f t="shared" si="5"/>
        <v>-479105.56067101285</v>
      </c>
      <c r="BD28" s="292">
        <f t="shared" si="6"/>
        <v>2.1156546560365612</v>
      </c>
      <c r="BF28" s="170">
        <f t="shared" si="1"/>
        <v>467889.68727322249</v>
      </c>
      <c r="BG28" s="2">
        <f t="shared" si="2"/>
        <v>1285499.9929100852</v>
      </c>
      <c r="BI28">
        <f t="shared" si="3"/>
        <v>0</v>
      </c>
      <c r="BJ28" s="95">
        <f t="shared" si="4"/>
        <v>1</v>
      </c>
      <c r="BL28" s="174">
        <v>42000</v>
      </c>
      <c r="BM28">
        <v>1E-3</v>
      </c>
      <c r="BN28" s="95">
        <v>0.999</v>
      </c>
      <c r="BP28" s="217">
        <f t="shared" si="7"/>
        <v>1285499.9929100852</v>
      </c>
      <c r="BU28" s="174">
        <f t="shared" si="8"/>
        <v>42000</v>
      </c>
      <c r="BV28" s="173">
        <v>4498896.1307143262</v>
      </c>
      <c r="CB28" s="188" t="s">
        <v>80</v>
      </c>
      <c r="CC28" s="187">
        <v>0</v>
      </c>
    </row>
    <row r="29" spans="1:81">
      <c r="A29" s="11">
        <v>23</v>
      </c>
      <c r="C29" s="27">
        <v>0.92150798317144156</v>
      </c>
      <c r="D29" s="27">
        <v>7.8492016828558442E-2</v>
      </c>
      <c r="E29" s="27">
        <v>0</v>
      </c>
      <c r="F29" s="27">
        <v>0.85453637117472947</v>
      </c>
      <c r="G29" s="27">
        <v>0.14546362882527053</v>
      </c>
      <c r="H29" s="27">
        <v>0</v>
      </c>
      <c r="I29" s="27">
        <v>0.7414549546118544</v>
      </c>
      <c r="J29" s="27">
        <v>0.2585450453881456</v>
      </c>
      <c r="K29" s="27">
        <v>0</v>
      </c>
      <c r="L29" s="27">
        <v>0.20777655141152895</v>
      </c>
      <c r="M29" s="27">
        <v>0.47233762385293748</v>
      </c>
      <c r="N29" s="27">
        <v>0.31988582473553351</v>
      </c>
      <c r="O29" s="27">
        <v>-11.583403596432813</v>
      </c>
      <c r="P29" s="27">
        <v>3.8382588334971726E-2</v>
      </c>
      <c r="Q29" s="27">
        <v>4.6720155721771178E-5</v>
      </c>
      <c r="R29" s="27">
        <v>1.1015898834129807</v>
      </c>
      <c r="S29" s="154"/>
      <c r="T29">
        <v>0.96044533597500936</v>
      </c>
      <c r="U29">
        <v>2.238350877130773</v>
      </c>
      <c r="V29">
        <v>2.8552107117743524</v>
      </c>
      <c r="W29">
        <v>1</v>
      </c>
      <c r="Y29" s="2">
        <v>2660.0313332821529</v>
      </c>
      <c r="Z29" s="2">
        <v>1890.7089516919334</v>
      </c>
      <c r="AA29" s="2">
        <v>731.91326636453323</v>
      </c>
      <c r="AB29" s="2">
        <v>16856.899102403826</v>
      </c>
      <c r="AC29" s="2">
        <v>700.55048790064075</v>
      </c>
      <c r="AD29" s="2">
        <v>194.1559357936957</v>
      </c>
      <c r="AE29" s="2">
        <v>587.98413423428201</v>
      </c>
      <c r="AF29" s="2">
        <v>1240.928737890501</v>
      </c>
      <c r="AG29" s="2">
        <v>142.1925105809992</v>
      </c>
      <c r="AH29" s="2">
        <v>714.20011983799407</v>
      </c>
      <c r="AI29" s="2">
        <v>443633.10973072145</v>
      </c>
      <c r="AJ29" s="2">
        <v>410641.61989565828</v>
      </c>
      <c r="AL29" s="27">
        <v>0.91878517748027844</v>
      </c>
      <c r="AM29" s="27">
        <v>0.91394395289154617</v>
      </c>
      <c r="AN29" s="27">
        <v>0.90757124638130415</v>
      </c>
      <c r="AO29" s="27">
        <v>0.87044182103178391</v>
      </c>
      <c r="AP29" s="27">
        <v>0.64862762277665398</v>
      </c>
      <c r="AQ29" s="27">
        <v>0.91878517748027844</v>
      </c>
      <c r="AR29" s="27">
        <v>0.91394395289154617</v>
      </c>
      <c r="AS29" s="27">
        <v>0.90757124638130415</v>
      </c>
      <c r="AT29" s="27">
        <v>0.87044182103178391</v>
      </c>
      <c r="AU29" s="27">
        <v>0.64862762277665398</v>
      </c>
      <c r="AW29" s="1">
        <v>13.567177241428148</v>
      </c>
      <c r="AX29" s="1">
        <v>15.789824953397986</v>
      </c>
      <c r="AY29" s="2">
        <v>1737767.4788978051</v>
      </c>
      <c r="AZ29" s="1">
        <v>15.25596276093014</v>
      </c>
      <c r="BA29" s="1">
        <v>17.381172089051947</v>
      </c>
      <c r="BB29" s="2">
        <v>1523919.1501605061</v>
      </c>
      <c r="BC29" s="2">
        <f t="shared" si="5"/>
        <v>-213848.32873729896</v>
      </c>
      <c r="BD29" s="292">
        <f t="shared" si="6"/>
        <v>1.6887855195019927</v>
      </c>
      <c r="BF29" s="170">
        <f t="shared" si="1"/>
        <v>432980.87973069842</v>
      </c>
      <c r="BG29" s="2">
        <f t="shared" si="2"/>
        <v>917034.89158831653</v>
      </c>
      <c r="BI29">
        <f t="shared" si="3"/>
        <v>0</v>
      </c>
      <c r="BJ29" s="95">
        <f t="shared" si="4"/>
        <v>1</v>
      </c>
      <c r="BL29" s="174">
        <v>44000</v>
      </c>
      <c r="BM29">
        <v>1E-3</v>
      </c>
      <c r="BN29" s="95">
        <v>0.999</v>
      </c>
      <c r="BP29" s="217">
        <f t="shared" si="7"/>
        <v>917034.89158831653</v>
      </c>
      <c r="BU29" s="174">
        <f t="shared" si="8"/>
        <v>44000</v>
      </c>
      <c r="BV29" s="173">
        <v>4331747.7105716402</v>
      </c>
      <c r="CB29" s="188" t="s">
        <v>81</v>
      </c>
      <c r="CC29" s="187">
        <v>0</v>
      </c>
    </row>
    <row r="30" spans="1:81">
      <c r="A30" s="11">
        <v>24</v>
      </c>
      <c r="C30" s="27">
        <v>0.92214424267662864</v>
      </c>
      <c r="D30" s="27">
        <v>7.7855757323371355E-2</v>
      </c>
      <c r="E30" s="27">
        <v>0</v>
      </c>
      <c r="F30" s="27">
        <v>0.85929803462396614</v>
      </c>
      <c r="G30" s="27">
        <v>0.14070196537603388</v>
      </c>
      <c r="H30" s="27">
        <v>0</v>
      </c>
      <c r="I30" s="27">
        <v>0.74524200930295981</v>
      </c>
      <c r="J30" s="27">
        <v>0.25475799069704019</v>
      </c>
      <c r="K30" s="27">
        <v>0</v>
      </c>
      <c r="L30" s="27">
        <v>0.18310378366414765</v>
      </c>
      <c r="M30" s="27">
        <v>0.49335015146528371</v>
      </c>
      <c r="N30" s="27">
        <v>0.32354606487056864</v>
      </c>
      <c r="O30" s="27">
        <v>-11.45708845886492</v>
      </c>
      <c r="P30" s="27">
        <v>3.5658398618035866E-2</v>
      </c>
      <c r="Q30" s="27">
        <v>4.7279407488815015E-5</v>
      </c>
      <c r="R30" s="27">
        <v>1.1072388362874388</v>
      </c>
      <c r="S30" s="154"/>
      <c r="T30">
        <v>0.97585055743764781</v>
      </c>
      <c r="U30">
        <v>2.2080846450549916</v>
      </c>
      <c r="V30">
        <v>3.0373956778104048</v>
      </c>
      <c r="W30">
        <v>1</v>
      </c>
      <c r="Y30" s="2">
        <v>466.74938053301696</v>
      </c>
      <c r="Z30" s="2">
        <v>9414.9200449358796</v>
      </c>
      <c r="AA30" s="2">
        <v>915.18800142405451</v>
      </c>
      <c r="AB30" s="2">
        <v>3745.9215068163066</v>
      </c>
      <c r="AC30" s="2">
        <v>165.57609976467862</v>
      </c>
      <c r="AD30" s="2">
        <v>1602.1395600249261</v>
      </c>
      <c r="AE30" s="2">
        <v>534.54667106489865</v>
      </c>
      <c r="AF30" s="2">
        <v>933.94773288143597</v>
      </c>
      <c r="AG30" s="2">
        <v>133.82763404282986</v>
      </c>
      <c r="AH30" s="2">
        <v>315.8668053148308</v>
      </c>
      <c r="AI30" s="2">
        <v>569843.2747924471</v>
      </c>
      <c r="AJ30" s="2">
        <v>535407.66896880127</v>
      </c>
      <c r="AL30" s="27">
        <v>0.92191227689668165</v>
      </c>
      <c r="AM30" s="27">
        <v>0.91893370942860897</v>
      </c>
      <c r="AN30" s="27">
        <v>0.90847861927075901</v>
      </c>
      <c r="AO30" s="27">
        <v>0.90437874048057831</v>
      </c>
      <c r="AP30" s="27">
        <v>0.55787585372032078</v>
      </c>
      <c r="AQ30" s="27">
        <v>0.92191227689668165</v>
      </c>
      <c r="AR30" s="27">
        <v>0.91893370942860897</v>
      </c>
      <c r="AS30" s="27">
        <v>0.90847861927075901</v>
      </c>
      <c r="AT30" s="27">
        <v>0.90437874048057831</v>
      </c>
      <c r="AU30" s="27">
        <v>0.55787585372032078</v>
      </c>
      <c r="AW30" s="1">
        <v>13.299561243562332</v>
      </c>
      <c r="AX30" s="1">
        <v>15.741957711021039</v>
      </c>
      <c r="AY30" s="2">
        <v>2277404.5027712346</v>
      </c>
      <c r="AZ30" s="1">
        <v>15.165841010489384</v>
      </c>
      <c r="BA30" s="1">
        <v>17.421855461446139</v>
      </c>
      <c r="BB30" s="2">
        <v>1640325.2192775279</v>
      </c>
      <c r="BC30" s="2">
        <f t="shared" si="5"/>
        <v>-637079.28349370672</v>
      </c>
      <c r="BD30" s="292">
        <f t="shared" si="6"/>
        <v>1.8662797669270521</v>
      </c>
      <c r="BF30" s="170">
        <f t="shared" si="1"/>
        <v>-149474.70380126173</v>
      </c>
      <c r="BG30" s="2">
        <f t="shared" si="2"/>
        <v>786209.34240077366</v>
      </c>
      <c r="BI30">
        <f t="shared" si="3"/>
        <v>0</v>
      </c>
      <c r="BJ30" s="95">
        <f t="shared" si="4"/>
        <v>1</v>
      </c>
      <c r="BL30" s="174">
        <v>46000</v>
      </c>
      <c r="BM30">
        <v>1E-3</v>
      </c>
      <c r="BN30" s="95">
        <v>0.999</v>
      </c>
      <c r="BP30" s="217">
        <f t="shared" si="7"/>
        <v>786209.34240077366</v>
      </c>
      <c r="BU30" s="174">
        <f t="shared" si="8"/>
        <v>46000</v>
      </c>
      <c r="BV30" s="173">
        <v>4164599.2904289532</v>
      </c>
      <c r="CB30" s="188" t="s">
        <v>82</v>
      </c>
      <c r="CC30" s="187">
        <v>0</v>
      </c>
    </row>
    <row r="31" spans="1:81">
      <c r="A31" s="11">
        <v>25</v>
      </c>
      <c r="C31" s="27">
        <v>0.91923990992020832</v>
      </c>
      <c r="D31" s="27">
        <v>8.076009007979168E-2</v>
      </c>
      <c r="E31" s="27">
        <v>0</v>
      </c>
      <c r="F31" s="27">
        <v>0.86315398445564728</v>
      </c>
      <c r="G31" s="27">
        <v>0.13684601554435274</v>
      </c>
      <c r="H31" s="27">
        <v>0</v>
      </c>
      <c r="I31" s="27">
        <v>0.74775010408610576</v>
      </c>
      <c r="J31" s="27">
        <v>0.25224989591389424</v>
      </c>
      <c r="K31" s="27">
        <v>0</v>
      </c>
      <c r="L31" s="27">
        <v>0.12317547314073363</v>
      </c>
      <c r="M31" s="27">
        <v>0.51292299097699112</v>
      </c>
      <c r="N31" s="27">
        <v>0.36390153588227525</v>
      </c>
      <c r="O31" s="27">
        <v>-11.14360445643478</v>
      </c>
      <c r="P31" s="27">
        <v>3.5649605768086144E-2</v>
      </c>
      <c r="Q31" s="27">
        <v>6.4663024315386795E-5</v>
      </c>
      <c r="R31" s="27">
        <v>1.066171128070398</v>
      </c>
      <c r="S31" s="154"/>
      <c r="T31">
        <v>0.85743730013718267</v>
      </c>
      <c r="U31">
        <v>2.2932149016494163</v>
      </c>
      <c r="V31">
        <v>2.9773207100592018</v>
      </c>
      <c r="W31">
        <v>1</v>
      </c>
      <c r="Y31" s="2">
        <v>90.090254533682042</v>
      </c>
      <c r="Z31" s="2">
        <v>4360.3689983011882</v>
      </c>
      <c r="AA31" s="2">
        <v>2793.7882946434252</v>
      </c>
      <c r="AB31" s="2">
        <v>1875.4398441705396</v>
      </c>
      <c r="AC31" s="2">
        <v>295.531107373672</v>
      </c>
      <c r="AD31" s="2">
        <v>427.4718575162222</v>
      </c>
      <c r="AE31" s="2">
        <v>562.90023326277117</v>
      </c>
      <c r="AF31" s="2">
        <v>919.7644331380867</v>
      </c>
      <c r="AG31" s="2">
        <v>87.244847641594333</v>
      </c>
      <c r="AH31" s="2">
        <v>424.17026139087858</v>
      </c>
      <c r="AI31" s="2">
        <v>386196.74825569155</v>
      </c>
      <c r="AJ31" s="2">
        <v>357612.55299303564</v>
      </c>
      <c r="AL31" s="27">
        <v>0.91417055450118501</v>
      </c>
      <c r="AM31" s="27">
        <v>0.91962056975609174</v>
      </c>
      <c r="AN31" s="27">
        <v>0.90821563262953142</v>
      </c>
      <c r="AO31" s="27">
        <v>0.89410662417635933</v>
      </c>
      <c r="AP31" s="27">
        <v>0.70499471250439594</v>
      </c>
      <c r="AQ31" s="27">
        <v>0.91417055450118501</v>
      </c>
      <c r="AR31" s="27">
        <v>0.91962056975609174</v>
      </c>
      <c r="AS31" s="27">
        <v>0.90821563262953142</v>
      </c>
      <c r="AT31" s="27">
        <v>0.89410662417635933</v>
      </c>
      <c r="AU31" s="27">
        <v>0.70499471250439594</v>
      </c>
      <c r="AW31" s="1">
        <v>13.941629706434062</v>
      </c>
      <c r="AX31" s="1">
        <v>15.971251085669019</v>
      </c>
      <c r="AY31" s="2">
        <v>1443538.9041793784</v>
      </c>
      <c r="AZ31" s="1">
        <v>15.389583684558424</v>
      </c>
      <c r="BA31" s="1">
        <v>17.374268949442374</v>
      </c>
      <c r="BB31" s="2">
        <v>1134003.7169518669</v>
      </c>
      <c r="BC31" s="2">
        <f t="shared" si="5"/>
        <v>-309535.18722751155</v>
      </c>
      <c r="BD31" s="292">
        <f t="shared" si="6"/>
        <v>1.447953978124362</v>
      </c>
      <c r="BF31" s="170">
        <f t="shared" si="1"/>
        <v>787121.84885007143</v>
      </c>
      <c r="BG31" s="2">
        <f t="shared" si="2"/>
        <v>1328329.672577481</v>
      </c>
      <c r="BI31">
        <f t="shared" si="3"/>
        <v>0</v>
      </c>
      <c r="BJ31" s="95">
        <f t="shared" si="4"/>
        <v>1</v>
      </c>
      <c r="BL31" s="174">
        <v>48000</v>
      </c>
      <c r="BM31">
        <v>1E-3</v>
      </c>
      <c r="BN31" s="95">
        <v>0.999</v>
      </c>
      <c r="BP31" s="217">
        <f t="shared" si="7"/>
        <v>1328329.672577481</v>
      </c>
      <c r="BU31" s="174">
        <f t="shared" si="8"/>
        <v>48000</v>
      </c>
      <c r="BV31" s="173">
        <v>3997450.870302741</v>
      </c>
      <c r="CB31" s="188" t="s">
        <v>83</v>
      </c>
      <c r="CC31" s="187">
        <v>0</v>
      </c>
    </row>
    <row r="32" spans="1:81">
      <c r="A32" s="11">
        <v>26</v>
      </c>
      <c r="C32" s="27">
        <v>0.92121944064477179</v>
      </c>
      <c r="D32" s="27">
        <v>7.8780559355228208E-2</v>
      </c>
      <c r="E32" s="27">
        <v>0</v>
      </c>
      <c r="F32" s="27">
        <v>0.85883749033236079</v>
      </c>
      <c r="G32" s="27">
        <v>0.14116250966763921</v>
      </c>
      <c r="H32" s="27">
        <v>0</v>
      </c>
      <c r="I32" s="27">
        <v>0.74480559548568803</v>
      </c>
      <c r="J32" s="27">
        <v>0.25519440451431197</v>
      </c>
      <c r="K32" s="27">
        <v>0</v>
      </c>
      <c r="L32" s="27">
        <v>0.10465611558911647</v>
      </c>
      <c r="M32" s="27">
        <v>0.55045917933527866</v>
      </c>
      <c r="N32" s="27">
        <v>0.34488470507560487</v>
      </c>
      <c r="O32" s="27">
        <v>-10.941737275378653</v>
      </c>
      <c r="P32" s="27">
        <v>3.4791700505001952E-2</v>
      </c>
      <c r="Q32" s="27">
        <v>7.6326844429249114E-5</v>
      </c>
      <c r="R32" s="27">
        <v>1.0415978332129923</v>
      </c>
      <c r="S32" s="154"/>
      <c r="T32">
        <v>0.89202895357345469</v>
      </c>
      <c r="U32">
        <v>2.2413591382780984</v>
      </c>
      <c r="V32">
        <v>2.9145105131375946</v>
      </c>
      <c r="W32">
        <v>1</v>
      </c>
      <c r="Y32" s="2">
        <v>498.00682914190548</v>
      </c>
      <c r="Z32" s="2">
        <v>3816.3117626108165</v>
      </c>
      <c r="AA32" s="2">
        <v>338.57038373063551</v>
      </c>
      <c r="AB32" s="2">
        <v>4904.8366457936636</v>
      </c>
      <c r="AC32" s="2">
        <v>1353.0889847303174</v>
      </c>
      <c r="AD32" s="2">
        <v>109.98603203341168</v>
      </c>
      <c r="AE32" s="2">
        <v>506.32029044616354</v>
      </c>
      <c r="AF32" s="2">
        <v>890.14627205212287</v>
      </c>
      <c r="AG32" s="2">
        <v>126.84777015768381</v>
      </c>
      <c r="AH32" s="2">
        <v>256.3941538860621</v>
      </c>
      <c r="AI32" s="2">
        <v>489726.16622501565</v>
      </c>
      <c r="AJ32" s="2">
        <v>443290.52609794633</v>
      </c>
      <c r="AL32" s="27">
        <v>0.91768297781207753</v>
      </c>
      <c r="AM32" s="27">
        <v>0.91257608109875288</v>
      </c>
      <c r="AN32" s="27">
        <v>0.89894630447219048</v>
      </c>
      <c r="AO32" s="27">
        <v>0.88863175703400077</v>
      </c>
      <c r="AP32" s="27">
        <v>0.53423884649661035</v>
      </c>
      <c r="AQ32" s="27">
        <v>0.91768297781207753</v>
      </c>
      <c r="AR32" s="27">
        <v>0.91257608109875288</v>
      </c>
      <c r="AS32" s="27">
        <v>0.89894630447219048</v>
      </c>
      <c r="AT32" s="27">
        <v>0.88863175703400077</v>
      </c>
      <c r="AU32" s="27">
        <v>0.53423884649661035</v>
      </c>
      <c r="AW32" s="1">
        <v>13.49080436868983</v>
      </c>
      <c r="AX32" s="1">
        <v>16.16408261990706</v>
      </c>
      <c r="AY32" s="2">
        <v>1939316.6453833473</v>
      </c>
      <c r="AZ32" s="1">
        <v>15.054571549109937</v>
      </c>
      <c r="BA32" s="1">
        <v>17.544439711169229</v>
      </c>
      <c r="BB32" s="2">
        <v>1487747.6178371224</v>
      </c>
      <c r="BC32" s="2">
        <f t="shared" si="5"/>
        <v>-451569.02754622488</v>
      </c>
      <c r="BD32" s="292">
        <f t="shared" si="6"/>
        <v>1.5637671804201076</v>
      </c>
      <c r="BF32" s="170">
        <f t="shared" si="1"/>
        <v>219212.05360702565</v>
      </c>
      <c r="BG32" s="2">
        <f t="shared" si="2"/>
        <v>920983.83002046752</v>
      </c>
      <c r="BI32">
        <f t="shared" si="3"/>
        <v>0</v>
      </c>
      <c r="BJ32" s="95">
        <f t="shared" si="4"/>
        <v>1</v>
      </c>
      <c r="BL32" s="174">
        <v>50000</v>
      </c>
      <c r="BM32">
        <v>1E-3</v>
      </c>
      <c r="BN32" s="95">
        <v>0.999</v>
      </c>
      <c r="BP32" s="217">
        <f t="shared" si="7"/>
        <v>920983.83002046752</v>
      </c>
      <c r="BU32" s="174">
        <f t="shared" si="8"/>
        <v>50000</v>
      </c>
      <c r="BV32" s="173">
        <v>3830302.4501600545</v>
      </c>
      <c r="CB32" s="188" t="s">
        <v>84</v>
      </c>
      <c r="CC32" s="187">
        <v>0</v>
      </c>
    </row>
    <row r="33" spans="1:81">
      <c r="A33" s="11">
        <v>27</v>
      </c>
      <c r="C33" s="27">
        <v>0.92475027212008243</v>
      </c>
      <c r="D33" s="27">
        <v>7.5249727879917613E-2</v>
      </c>
      <c r="E33" s="27">
        <v>0</v>
      </c>
      <c r="F33" s="27">
        <v>0.85204615348375456</v>
      </c>
      <c r="G33" s="27">
        <v>0.14795384651624544</v>
      </c>
      <c r="H33" s="27">
        <v>0</v>
      </c>
      <c r="I33" s="27">
        <v>0.74851974892662865</v>
      </c>
      <c r="J33" s="27">
        <v>0.25148025107337135</v>
      </c>
      <c r="K33" s="27">
        <v>0</v>
      </c>
      <c r="L33" s="27">
        <v>0.22310310706616193</v>
      </c>
      <c r="M33" s="27">
        <v>0.45677157192300055</v>
      </c>
      <c r="N33" s="27">
        <v>0.32012532101083752</v>
      </c>
      <c r="O33" s="27">
        <v>-11.280471249331981</v>
      </c>
      <c r="P33" s="27">
        <v>3.7180932602287602E-2</v>
      </c>
      <c r="Q33" s="27">
        <v>6.0137792924630507E-5</v>
      </c>
      <c r="R33" s="27">
        <v>1.0755345752996213</v>
      </c>
      <c r="S33" s="154"/>
      <c r="T33">
        <v>1.0545008033013197</v>
      </c>
      <c r="U33">
        <v>2.2146098443668953</v>
      </c>
      <c r="V33">
        <v>2.993241987049382</v>
      </c>
      <c r="W33">
        <v>1</v>
      </c>
      <c r="Y33" s="2">
        <v>116.19242096126621</v>
      </c>
      <c r="Z33" s="2">
        <v>12200.747774592552</v>
      </c>
      <c r="AA33" s="2">
        <v>2796.3917264153033</v>
      </c>
      <c r="AB33" s="2">
        <v>2235.2007605698727</v>
      </c>
      <c r="AC33" s="2">
        <v>86.225540091575567</v>
      </c>
      <c r="AD33" s="2">
        <v>1081.5512182167638</v>
      </c>
      <c r="AE33" s="2">
        <v>624.63106621961651</v>
      </c>
      <c r="AF33" s="2">
        <v>1053.122730035856</v>
      </c>
      <c r="AG33" s="2">
        <v>162.71884830339374</v>
      </c>
      <c r="AH33" s="2">
        <v>589.22894011865969</v>
      </c>
      <c r="AI33" s="2">
        <v>514017.80417653092</v>
      </c>
      <c r="AJ33" s="2">
        <v>489620.88357039099</v>
      </c>
      <c r="AL33" s="27">
        <v>0.92453571825778691</v>
      </c>
      <c r="AM33" s="27">
        <v>0.91918965772236516</v>
      </c>
      <c r="AN33" s="27">
        <v>0.91200093770569901</v>
      </c>
      <c r="AO33" s="27">
        <v>0.84629149950532101</v>
      </c>
      <c r="AP33" s="27">
        <v>0.7429122829703837</v>
      </c>
      <c r="AQ33" s="27">
        <v>0.92453571825778691</v>
      </c>
      <c r="AR33" s="27">
        <v>0.91918965772236516</v>
      </c>
      <c r="AS33" s="27">
        <v>0.91200093770569901</v>
      </c>
      <c r="AT33" s="27">
        <v>0.84629149950532101</v>
      </c>
      <c r="AU33" s="27">
        <v>0.7429122829703837</v>
      </c>
      <c r="AW33" s="1">
        <v>13.736610090439273</v>
      </c>
      <c r="AX33" s="1">
        <v>15.59479185333646</v>
      </c>
      <c r="AY33" s="2">
        <v>2174033.6760131177</v>
      </c>
      <c r="AZ33" s="1">
        <v>15.620420146409488</v>
      </c>
      <c r="BA33" s="1">
        <v>17.44253595957646</v>
      </c>
      <c r="BB33" s="2">
        <v>1505302.6855567675</v>
      </c>
      <c r="BC33" s="2">
        <f t="shared" si="5"/>
        <v>-668730.99045635015</v>
      </c>
      <c r="BD33" s="292">
        <f t="shared" si="6"/>
        <v>1.8838100559702156</v>
      </c>
      <c r="BF33" s="170">
        <f t="shared" si="1"/>
        <v>23823.938457165845</v>
      </c>
      <c r="BG33" s="2">
        <f t="shared" si="2"/>
        <v>993964.53786875075</v>
      </c>
      <c r="BI33">
        <f t="shared" si="3"/>
        <v>0</v>
      </c>
      <c r="BJ33" s="95">
        <f t="shared" si="4"/>
        <v>1</v>
      </c>
      <c r="BL33" s="174">
        <v>52000</v>
      </c>
      <c r="BM33">
        <v>1E-3</v>
      </c>
      <c r="BN33" s="95">
        <v>0.999</v>
      </c>
      <c r="BP33" s="217">
        <f t="shared" si="7"/>
        <v>993964.53786875075</v>
      </c>
      <c r="BU33" s="174">
        <f t="shared" si="8"/>
        <v>52000</v>
      </c>
      <c r="BV33" s="173">
        <v>3663154.0300283511</v>
      </c>
    </row>
    <row r="34" spans="1:81">
      <c r="A34" s="11">
        <v>28</v>
      </c>
      <c r="C34" s="27">
        <v>0.92398174011662226</v>
      </c>
      <c r="D34" s="27">
        <v>7.6018259883377723E-2</v>
      </c>
      <c r="E34" s="27">
        <v>0</v>
      </c>
      <c r="F34" s="27">
        <v>0.85393314989659241</v>
      </c>
      <c r="G34" s="27">
        <v>0.14606685010340759</v>
      </c>
      <c r="H34" s="27">
        <v>0</v>
      </c>
      <c r="I34" s="27">
        <v>0.74908101683500972</v>
      </c>
      <c r="J34" s="27">
        <v>0.25091898316499028</v>
      </c>
      <c r="K34" s="27">
        <v>0</v>
      </c>
      <c r="L34" s="27">
        <v>0.13683935766781941</v>
      </c>
      <c r="M34" s="27">
        <v>0.49047930984127946</v>
      </c>
      <c r="N34" s="27">
        <v>0.37268133249090118</v>
      </c>
      <c r="O34" s="27">
        <v>-11.169142160093315</v>
      </c>
      <c r="P34" s="27">
        <v>3.4713901367110202E-2</v>
      </c>
      <c r="Q34" s="27">
        <v>6.0603476249889469E-5</v>
      </c>
      <c r="R34" s="27">
        <v>1.0654678943668048</v>
      </c>
      <c r="S34" s="154"/>
      <c r="T34">
        <v>1.1910528108070841</v>
      </c>
      <c r="U34">
        <v>2.2710744553164242</v>
      </c>
      <c r="V34">
        <v>3.1024523636976808</v>
      </c>
      <c r="W34">
        <v>1</v>
      </c>
      <c r="Y34" s="2">
        <v>263.12830260397368</v>
      </c>
      <c r="Z34" s="2">
        <v>2032.3761556001241</v>
      </c>
      <c r="AA34" s="2">
        <v>134.18948007201249</v>
      </c>
      <c r="AB34" s="2">
        <v>3332.2163967178753</v>
      </c>
      <c r="AC34" s="2">
        <v>50.604537301506483</v>
      </c>
      <c r="AD34" s="2">
        <v>446.52739657667911</v>
      </c>
      <c r="AE34" s="2">
        <v>596.13853732593464</v>
      </c>
      <c r="AF34" s="2">
        <v>871.22347340391457</v>
      </c>
      <c r="AG34" s="2">
        <v>200.28140086414459</v>
      </c>
      <c r="AH34" s="2">
        <v>472.31034137568275</v>
      </c>
      <c r="AI34" s="2">
        <v>469295.5779301367</v>
      </c>
      <c r="AJ34" s="2">
        <v>435431.21592758648</v>
      </c>
      <c r="AL34" s="27">
        <v>0.92000148975397056</v>
      </c>
      <c r="AM34" s="27">
        <v>0.91649547062432379</v>
      </c>
      <c r="AN34" s="27">
        <v>0.90864180665271854</v>
      </c>
      <c r="AO34" s="27">
        <v>0.88088502833802607</v>
      </c>
      <c r="AP34" s="27">
        <v>0.62567710476986105</v>
      </c>
      <c r="AQ34" s="27">
        <v>0.92000148975397056</v>
      </c>
      <c r="AR34" s="27">
        <v>0.91649547062432379</v>
      </c>
      <c r="AS34" s="27">
        <v>0.90864180665271854</v>
      </c>
      <c r="AT34" s="27">
        <v>0.88088502833802607</v>
      </c>
      <c r="AU34" s="27">
        <v>0.62567710476986105</v>
      </c>
      <c r="AW34" s="1">
        <v>12.841320034761896</v>
      </c>
      <c r="AX34" s="1">
        <v>15.144798384392367</v>
      </c>
      <c r="AY34" s="2">
        <v>1951294.0239600262</v>
      </c>
      <c r="AZ34" s="1">
        <v>15.268673866416226</v>
      </c>
      <c r="BA34" s="1">
        <v>17.397722981875546</v>
      </c>
      <c r="BB34" s="2">
        <v>1321367.7174767763</v>
      </c>
      <c r="BC34" s="2">
        <f t="shared" si="5"/>
        <v>-629926.30648324988</v>
      </c>
      <c r="BD34" s="292">
        <f t="shared" si="6"/>
        <v>2.4273538316543295</v>
      </c>
      <c r="BF34" s="170">
        <f t="shared" si="1"/>
        <v>103317.18160187709</v>
      </c>
      <c r="BG34" s="2">
        <f t="shared" si="2"/>
        <v>1121620.1011498198</v>
      </c>
      <c r="BI34">
        <f t="shared" si="3"/>
        <v>0</v>
      </c>
      <c r="BJ34" s="95">
        <f t="shared" si="4"/>
        <v>1</v>
      </c>
      <c r="BL34" s="174">
        <v>54000</v>
      </c>
      <c r="BM34">
        <v>1E-3</v>
      </c>
      <c r="BN34" s="95">
        <v>0.999</v>
      </c>
      <c r="BP34" s="217">
        <f t="shared" si="7"/>
        <v>1121620.1011498198</v>
      </c>
      <c r="BU34" s="174">
        <f t="shared" si="8"/>
        <v>54000</v>
      </c>
      <c r="BV34" s="173">
        <v>3496005.6098911557</v>
      </c>
      <c r="CB34" s="188" t="s">
        <v>86</v>
      </c>
      <c r="CC34" s="187">
        <v>0</v>
      </c>
    </row>
    <row r="35" spans="1:81">
      <c r="A35" s="11">
        <v>29</v>
      </c>
      <c r="C35" s="27">
        <v>0.92075302072752241</v>
      </c>
      <c r="D35" s="27">
        <v>7.9246979272477591E-2</v>
      </c>
      <c r="E35" s="27">
        <v>0</v>
      </c>
      <c r="F35" s="27">
        <v>0.8604163507798559</v>
      </c>
      <c r="G35" s="27">
        <v>0.1395836492201441</v>
      </c>
      <c r="H35" s="27">
        <v>0</v>
      </c>
      <c r="I35" s="27">
        <v>0.75576024373138884</v>
      </c>
      <c r="J35" s="27">
        <v>0.24423975626861119</v>
      </c>
      <c r="K35" s="27">
        <v>0</v>
      </c>
      <c r="L35" s="27">
        <v>0.10343270625619017</v>
      </c>
      <c r="M35" s="27">
        <v>0.5353507407393745</v>
      </c>
      <c r="N35" s="27">
        <v>0.36121655300443534</v>
      </c>
      <c r="O35" s="27">
        <v>-11.005664370517577</v>
      </c>
      <c r="P35" s="27">
        <v>3.2390000316964047E-2</v>
      </c>
      <c r="Q35" s="27">
        <v>6.4730092447566473E-5</v>
      </c>
      <c r="R35" s="27">
        <v>1.073380266623206</v>
      </c>
      <c r="S35" s="154"/>
      <c r="T35">
        <v>1.0290409009989037</v>
      </c>
      <c r="U35">
        <v>2.2745829425958339</v>
      </c>
      <c r="V35">
        <v>2.7897142462115609</v>
      </c>
      <c r="W35">
        <v>1</v>
      </c>
      <c r="Y35" s="2">
        <v>380.56892389556475</v>
      </c>
      <c r="Z35" s="2">
        <v>421.2188216846792</v>
      </c>
      <c r="AA35" s="2">
        <v>2891.9781277636243</v>
      </c>
      <c r="AB35" s="2">
        <v>5711.3923518627598</v>
      </c>
      <c r="AC35" s="2">
        <v>51.556439173954701</v>
      </c>
      <c r="AD35" s="2">
        <v>153.33442964847396</v>
      </c>
      <c r="AE35" s="2">
        <v>507.67222984121605</v>
      </c>
      <c r="AF35" s="2">
        <v>1272.4884463623114</v>
      </c>
      <c r="AG35" s="2">
        <v>80.56857334480631</v>
      </c>
      <c r="AH35" s="2">
        <v>409.29615161253292</v>
      </c>
      <c r="AI35" s="2">
        <v>514107.78094302438</v>
      </c>
      <c r="AJ35" s="2">
        <v>474674.16488080582</v>
      </c>
      <c r="AL35" s="27">
        <v>0.92043152803289863</v>
      </c>
      <c r="AM35" s="27">
        <v>0.91617480572291177</v>
      </c>
      <c r="AN35" s="27">
        <v>0.91568212805466764</v>
      </c>
      <c r="AO35" s="27">
        <v>0.86499333210801532</v>
      </c>
      <c r="AP35" s="27">
        <v>0.7667729203159338</v>
      </c>
      <c r="AQ35" s="27">
        <v>0.92043152803289863</v>
      </c>
      <c r="AR35" s="27">
        <v>0.91617480572291177</v>
      </c>
      <c r="AS35" s="27">
        <v>0.91568212805466764</v>
      </c>
      <c r="AT35" s="27">
        <v>0.86499333210801532</v>
      </c>
      <c r="AU35" s="27">
        <v>0.7667729203159338</v>
      </c>
      <c r="AW35" s="1">
        <v>13.728169509963733</v>
      </c>
      <c r="AX35" s="1">
        <v>15.525392304913911</v>
      </c>
      <c r="AY35" s="2">
        <v>1962927.7638936481</v>
      </c>
      <c r="AZ35" s="1">
        <v>15.601880805617554</v>
      </c>
      <c r="BA35" s="1">
        <v>17.396905654523021</v>
      </c>
      <c r="BB35" s="2">
        <v>1516678.7770861934</v>
      </c>
      <c r="BC35" s="2">
        <f t="shared" si="5"/>
        <v>-446248.98680745461</v>
      </c>
      <c r="BD35" s="292">
        <f t="shared" si="6"/>
        <v>1.8737112956538216</v>
      </c>
      <c r="BF35" s="170">
        <f t="shared" si="1"/>
        <v>233579.35770054907</v>
      </c>
      <c r="BG35" s="2">
        <f t="shared" si="2"/>
        <v>979622.15181261511</v>
      </c>
      <c r="BI35">
        <f t="shared" si="3"/>
        <v>0</v>
      </c>
      <c r="BJ35" s="95">
        <f t="shared" si="4"/>
        <v>1</v>
      </c>
      <c r="BL35" s="174">
        <v>56000</v>
      </c>
      <c r="BM35">
        <v>1E-3</v>
      </c>
      <c r="BN35" s="95">
        <v>0.999</v>
      </c>
      <c r="BP35" s="217">
        <f t="shared" si="7"/>
        <v>979622.15181261511</v>
      </c>
      <c r="BU35" s="174">
        <f t="shared" si="8"/>
        <v>56000</v>
      </c>
      <c r="BV35" s="173">
        <v>3328857.1897539608</v>
      </c>
      <c r="CB35" s="188" t="s">
        <v>87</v>
      </c>
      <c r="CC35" s="187">
        <v>0</v>
      </c>
    </row>
    <row r="36" spans="1:81">
      <c r="A36" s="11">
        <v>30</v>
      </c>
      <c r="C36" s="27">
        <v>0.91904596315729914</v>
      </c>
      <c r="D36" s="27">
        <v>8.0954036842700861E-2</v>
      </c>
      <c r="E36" s="27">
        <v>0</v>
      </c>
      <c r="F36" s="27">
        <v>0.86105147837789031</v>
      </c>
      <c r="G36" s="27">
        <v>0.13894852162210969</v>
      </c>
      <c r="H36" s="27">
        <v>0</v>
      </c>
      <c r="I36" s="27">
        <v>0.74894450703206361</v>
      </c>
      <c r="J36" s="27">
        <v>0.25105549296793639</v>
      </c>
      <c r="K36" s="27">
        <v>0</v>
      </c>
      <c r="L36" s="27">
        <v>0.14161801874627861</v>
      </c>
      <c r="M36" s="27">
        <v>0.4880670010316836</v>
      </c>
      <c r="N36" s="27">
        <v>0.37031498022203774</v>
      </c>
      <c r="O36" s="27">
        <v>-11.178033369435392</v>
      </c>
      <c r="P36" s="27">
        <v>3.6803507572317228E-2</v>
      </c>
      <c r="Q36" s="27">
        <v>6.5576966021301374E-5</v>
      </c>
      <c r="R36" s="27">
        <v>1.0620217634474178</v>
      </c>
      <c r="S36" s="154"/>
      <c r="T36">
        <v>1.0357707856910585</v>
      </c>
      <c r="U36">
        <v>2.2285440416004585</v>
      </c>
      <c r="V36">
        <v>2.7887498557397095</v>
      </c>
      <c r="W36">
        <v>1</v>
      </c>
      <c r="Y36" s="2">
        <v>1181.2125478176731</v>
      </c>
      <c r="Z36" s="2">
        <v>444.13103373510387</v>
      </c>
      <c r="AA36" s="2">
        <v>287.44066672939334</v>
      </c>
      <c r="AB36" s="2">
        <v>1379.2771487651646</v>
      </c>
      <c r="AC36" s="2">
        <v>1756.4396344016934</v>
      </c>
      <c r="AD36" s="2">
        <v>753.4628133564097</v>
      </c>
      <c r="AE36" s="2">
        <v>601.63404297326167</v>
      </c>
      <c r="AF36" s="2">
        <v>1029.957861401183</v>
      </c>
      <c r="AG36" s="2">
        <v>178.34646845981342</v>
      </c>
      <c r="AH36" s="2">
        <v>580.70806849538053</v>
      </c>
      <c r="AI36" s="2">
        <v>404284.6794280652</v>
      </c>
      <c r="AJ36" s="2">
        <v>377684.39648174582</v>
      </c>
      <c r="AL36" s="27">
        <v>0.92251945947141789</v>
      </c>
      <c r="AM36" s="27">
        <v>0.91255239213710437</v>
      </c>
      <c r="AN36" s="27">
        <v>0.91298374686866846</v>
      </c>
      <c r="AO36" s="27">
        <v>0.84203039408787295</v>
      </c>
      <c r="AP36" s="27">
        <v>0.84300318907267902</v>
      </c>
      <c r="AQ36" s="27">
        <v>0.92251945947141789</v>
      </c>
      <c r="AR36" s="27">
        <v>0.91255239213710437</v>
      </c>
      <c r="AS36" s="27">
        <v>0.91298374686866846</v>
      </c>
      <c r="AT36" s="27">
        <v>0.84203039408787295</v>
      </c>
      <c r="AU36" s="27">
        <v>0.84300318907267902</v>
      </c>
      <c r="AW36" s="1">
        <v>13.891065020884296</v>
      </c>
      <c r="AX36" s="1">
        <v>15.433934096240163</v>
      </c>
      <c r="AY36" s="2">
        <v>1599177.8216967923</v>
      </c>
      <c r="AZ36" s="1">
        <v>15.688703058764386</v>
      </c>
      <c r="BA36" s="1">
        <v>17.312651145329497</v>
      </c>
      <c r="BB36" s="2">
        <v>1135871.3467770591</v>
      </c>
      <c r="BC36" s="2">
        <f t="shared" si="5"/>
        <v>-463306.47491973313</v>
      </c>
      <c r="BD36" s="292">
        <f t="shared" si="6"/>
        <v>1.7976380378800894</v>
      </c>
      <c r="BF36" s="170">
        <f t="shared" si="1"/>
        <v>623392.58164469525</v>
      </c>
      <c r="BG36" s="2">
        <f t="shared" si="2"/>
        <v>1374321.1426252425</v>
      </c>
      <c r="BI36">
        <f t="shared" si="3"/>
        <v>0</v>
      </c>
      <c r="BJ36" s="95">
        <f t="shared" si="4"/>
        <v>1</v>
      </c>
      <c r="BL36" s="174">
        <v>58000</v>
      </c>
      <c r="BM36">
        <v>1E-3</v>
      </c>
      <c r="BN36" s="95">
        <v>0.999</v>
      </c>
      <c r="BP36" s="217">
        <f t="shared" si="7"/>
        <v>1374321.1426252425</v>
      </c>
      <c r="BU36" s="174">
        <f t="shared" si="8"/>
        <v>58000</v>
      </c>
      <c r="BV36" s="173">
        <v>3161708.769622257</v>
      </c>
      <c r="CB36" s="188" t="s">
        <v>88</v>
      </c>
      <c r="CC36" s="187">
        <v>0</v>
      </c>
    </row>
    <row r="37" spans="1:81">
      <c r="A37" s="11">
        <v>31</v>
      </c>
      <c r="C37" s="27">
        <v>0.92490592409794803</v>
      </c>
      <c r="D37" s="27">
        <v>7.5094075902051929E-2</v>
      </c>
      <c r="E37" s="27">
        <v>0</v>
      </c>
      <c r="F37" s="27">
        <v>0.8557770634601124</v>
      </c>
      <c r="G37" s="27">
        <v>0.1442229365398876</v>
      </c>
      <c r="H37" s="27">
        <v>0</v>
      </c>
      <c r="I37" s="27">
        <v>0.74159190319977397</v>
      </c>
      <c r="J37" s="27">
        <v>0.25840809680022603</v>
      </c>
      <c r="K37" s="27">
        <v>0</v>
      </c>
      <c r="L37" s="27">
        <v>8.652218342010165E-2</v>
      </c>
      <c r="M37" s="27">
        <v>0.49778723181793438</v>
      </c>
      <c r="N37" s="27">
        <v>0.41569058476196397</v>
      </c>
      <c r="O37" s="27">
        <v>-11.083663688087926</v>
      </c>
      <c r="P37" s="27">
        <v>3.3974609071511903E-2</v>
      </c>
      <c r="Q37" s="27">
        <v>6.3993431858349356E-5</v>
      </c>
      <c r="R37" s="27">
        <v>1.0653781456426901</v>
      </c>
      <c r="S37" s="154"/>
      <c r="T37">
        <v>0.97763066843294733</v>
      </c>
      <c r="U37">
        <v>2.2010037763390957</v>
      </c>
      <c r="V37">
        <v>2.9434502715853323</v>
      </c>
      <c r="W37">
        <v>1</v>
      </c>
      <c r="Y37" s="2">
        <v>334.96299156035701</v>
      </c>
      <c r="Z37" s="2">
        <v>3747.357056971678</v>
      </c>
      <c r="AA37" s="2">
        <v>2218.6339719370826</v>
      </c>
      <c r="AB37" s="2">
        <v>211.69385773665681</v>
      </c>
      <c r="AC37" s="2">
        <v>1052.8097834526675</v>
      </c>
      <c r="AD37" s="2">
        <v>1306.4615028447797</v>
      </c>
      <c r="AE37" s="2">
        <v>549.71404670866013</v>
      </c>
      <c r="AF37" s="2">
        <v>918.75363948501024</v>
      </c>
      <c r="AG37" s="2">
        <v>95.183459155161145</v>
      </c>
      <c r="AH37" s="2">
        <v>524.55664078746941</v>
      </c>
      <c r="AI37" s="2">
        <v>516071.74325883167</v>
      </c>
      <c r="AJ37" s="2">
        <v>483078.4574178824</v>
      </c>
      <c r="AL37" s="27">
        <v>0.91484501367640259</v>
      </c>
      <c r="AM37" s="27">
        <v>0.91612381031843038</v>
      </c>
      <c r="AN37" s="27">
        <v>0.91546614025923834</v>
      </c>
      <c r="AO37" s="27">
        <v>0.82990968353999084</v>
      </c>
      <c r="AP37" s="27">
        <v>0.68561854154834356</v>
      </c>
      <c r="AQ37" s="27">
        <v>0.91484501367640259</v>
      </c>
      <c r="AR37" s="27">
        <v>0.91612381031843038</v>
      </c>
      <c r="AS37" s="27">
        <v>0.91546614025923834</v>
      </c>
      <c r="AT37" s="27">
        <v>0.82990968353999084</v>
      </c>
      <c r="AU37" s="27">
        <v>0.68561854154834356</v>
      </c>
      <c r="AW37" s="1">
        <v>13.505577690614777</v>
      </c>
      <c r="AX37" s="1">
        <v>15.574070638157062</v>
      </c>
      <c r="AY37" s="2">
        <v>1874424.9492768345</v>
      </c>
      <c r="AZ37" s="1">
        <v>15.256232988929185</v>
      </c>
      <c r="BA37" s="1">
        <v>17.262716697108772</v>
      </c>
      <c r="BB37" s="2">
        <v>1373509.0888459093</v>
      </c>
      <c r="BC37" s="2">
        <f t="shared" si="5"/>
        <v>-500915.86043092515</v>
      </c>
      <c r="BD37" s="292">
        <f t="shared" si="6"/>
        <v>1.7506552983144079</v>
      </c>
      <c r="BF37" s="170">
        <f t="shared" si="1"/>
        <v>286467.48122152989</v>
      </c>
      <c r="BG37" s="2">
        <f t="shared" si="2"/>
        <v>1067488.1893827601</v>
      </c>
      <c r="BI37">
        <f t="shared" si="3"/>
        <v>0</v>
      </c>
      <c r="BJ37" s="95">
        <f t="shared" si="4"/>
        <v>1</v>
      </c>
      <c r="BL37" s="174">
        <v>60000</v>
      </c>
      <c r="BM37">
        <v>1E-3</v>
      </c>
      <c r="BN37" s="95">
        <v>0.999</v>
      </c>
      <c r="BP37" s="217">
        <f t="shared" si="7"/>
        <v>1067488.1893827601</v>
      </c>
      <c r="BU37" s="174">
        <f t="shared" si="8"/>
        <v>60000</v>
      </c>
      <c r="BV37" s="173">
        <v>2994560.3494823161</v>
      </c>
      <c r="CB37" s="188" t="s">
        <v>89</v>
      </c>
      <c r="CC37" s="187">
        <v>0</v>
      </c>
    </row>
    <row r="38" spans="1:81">
      <c r="A38" s="11">
        <v>32</v>
      </c>
      <c r="C38" s="27">
        <v>0.91934941298398465</v>
      </c>
      <c r="D38" s="27">
        <v>8.0650587016015352E-2</v>
      </c>
      <c r="E38" s="27">
        <v>0</v>
      </c>
      <c r="F38" s="27">
        <v>0.85669066533134808</v>
      </c>
      <c r="G38" s="27">
        <v>0.14330933466865192</v>
      </c>
      <c r="H38" s="27">
        <v>0</v>
      </c>
      <c r="I38" s="27">
        <v>0.75128232939925277</v>
      </c>
      <c r="J38" s="27">
        <v>0.24871767060074718</v>
      </c>
      <c r="K38" s="27">
        <v>0</v>
      </c>
      <c r="L38" s="27">
        <v>0.17118470689284482</v>
      </c>
      <c r="M38" s="27">
        <v>0.42886986108854469</v>
      </c>
      <c r="N38" s="27">
        <v>0.39994543201861055</v>
      </c>
      <c r="O38" s="27">
        <v>-10.986878657378318</v>
      </c>
      <c r="P38" s="27">
        <v>3.3641892652376944E-2</v>
      </c>
      <c r="Q38" s="27">
        <v>6.951839487324228E-5</v>
      </c>
      <c r="R38" s="27">
        <v>1.0535742787072817</v>
      </c>
      <c r="S38" s="154"/>
      <c r="T38">
        <v>1.0664009800941863</v>
      </c>
      <c r="U38">
        <v>2.3317489881154811</v>
      </c>
      <c r="V38">
        <v>2.9707941810822609</v>
      </c>
      <c r="W38">
        <v>1</v>
      </c>
      <c r="Y38" s="2">
        <v>298.09011605936502</v>
      </c>
      <c r="Z38" s="2">
        <v>19318.798107127732</v>
      </c>
      <c r="AA38" s="2">
        <v>1058.8162438261472</v>
      </c>
      <c r="AB38" s="2">
        <v>1148.5074708679174</v>
      </c>
      <c r="AC38" s="2">
        <v>1863.1175147146944</v>
      </c>
      <c r="AD38" s="2">
        <v>398.32717260790116</v>
      </c>
      <c r="AE38" s="2">
        <v>561.10638929590073</v>
      </c>
      <c r="AF38" s="2">
        <v>1291.4541143355909</v>
      </c>
      <c r="AG38" s="2">
        <v>92.220414746798099</v>
      </c>
      <c r="AH38" s="2">
        <v>723.68120067506993</v>
      </c>
      <c r="AI38" s="2">
        <v>500981.79038583831</v>
      </c>
      <c r="AJ38" s="2">
        <v>464957.60328633367</v>
      </c>
      <c r="AL38" s="27">
        <v>0.91750973017400284</v>
      </c>
      <c r="AM38" s="27">
        <v>0.91319078645690965</v>
      </c>
      <c r="AN38" s="27">
        <v>0.90908279708639028</v>
      </c>
      <c r="AO38" s="27">
        <v>0.8705091620910792</v>
      </c>
      <c r="AP38" s="27">
        <v>0.68175419863309283</v>
      </c>
      <c r="AQ38" s="27">
        <v>0.91750973017400284</v>
      </c>
      <c r="AR38" s="27">
        <v>0.91319078645690965</v>
      </c>
      <c r="AS38" s="27">
        <v>0.90908279708639028</v>
      </c>
      <c r="AT38" s="27">
        <v>0.8705091620910792</v>
      </c>
      <c r="AU38" s="27">
        <v>0.68175419863309283</v>
      </c>
      <c r="AW38" s="1">
        <v>12.966063956990409</v>
      </c>
      <c r="AX38" s="1">
        <v>14.989422548380412</v>
      </c>
      <c r="AY38" s="2">
        <v>2080329.6482114296</v>
      </c>
      <c r="AZ38" s="1">
        <v>15.129693261987466</v>
      </c>
      <c r="BA38" s="1">
        <v>17.102888505464559</v>
      </c>
      <c r="BB38" s="2">
        <v>1290442.1717193532</v>
      </c>
      <c r="BC38" s="2">
        <f t="shared" si="5"/>
        <v>-789887.47649207641</v>
      </c>
      <c r="BD38" s="292">
        <f t="shared" si="6"/>
        <v>2.1636293049970572</v>
      </c>
      <c r="BF38" s="170">
        <f t="shared" si="1"/>
        <v>-5759.415092964191</v>
      </c>
      <c r="BG38" s="2">
        <f t="shared" si="2"/>
        <v>1130308.7501986413</v>
      </c>
      <c r="BI38">
        <f t="shared" si="3"/>
        <v>0</v>
      </c>
      <c r="BJ38" s="95">
        <f t="shared" si="4"/>
        <v>1</v>
      </c>
      <c r="BL38" s="174">
        <v>62000</v>
      </c>
      <c r="BM38">
        <v>1E-3</v>
      </c>
      <c r="BN38" s="95">
        <v>0.999</v>
      </c>
      <c r="BP38" s="217">
        <f t="shared" si="7"/>
        <v>1130308.7501986413</v>
      </c>
      <c r="BU38" s="174">
        <f t="shared" si="8"/>
        <v>62000</v>
      </c>
      <c r="BV38" s="173">
        <v>2827411.9293368841</v>
      </c>
      <c r="CB38" s="188" t="s">
        <v>90</v>
      </c>
      <c r="CC38" s="187">
        <v>0</v>
      </c>
    </row>
    <row r="39" spans="1:81">
      <c r="A39" s="11">
        <v>33</v>
      </c>
      <c r="C39" s="27">
        <v>0.92461651449797033</v>
      </c>
      <c r="D39" s="27">
        <v>7.5383485502029612E-2</v>
      </c>
      <c r="E39" s="27">
        <v>0</v>
      </c>
      <c r="F39" s="27">
        <v>0.85309257270726424</v>
      </c>
      <c r="G39" s="27">
        <v>0.14690742729273576</v>
      </c>
      <c r="H39" s="27">
        <v>0</v>
      </c>
      <c r="I39" s="27">
        <v>0.75430635069751661</v>
      </c>
      <c r="J39" s="27">
        <v>0.24569364930248339</v>
      </c>
      <c r="K39" s="27">
        <v>0</v>
      </c>
      <c r="L39" s="27">
        <v>8.6655837284733694E-2</v>
      </c>
      <c r="M39" s="27">
        <v>0.51570084808351124</v>
      </c>
      <c r="N39" s="27">
        <v>0.39764331463175506</v>
      </c>
      <c r="O39" s="27">
        <v>-11.165692906357638</v>
      </c>
      <c r="P39" s="27">
        <v>3.3028218964305987E-2</v>
      </c>
      <c r="Q39" s="27">
        <v>5.665628060301561E-5</v>
      </c>
      <c r="R39" s="27">
        <v>1.0880617950729228</v>
      </c>
      <c r="S39" s="154"/>
      <c r="T39">
        <v>1.0146223132796801</v>
      </c>
      <c r="U39">
        <v>2.2584932517552825</v>
      </c>
      <c r="V39">
        <v>2.5784182131325437</v>
      </c>
      <c r="W39">
        <v>1</v>
      </c>
      <c r="Y39" s="2">
        <v>174.6680692285727</v>
      </c>
      <c r="Z39" s="2">
        <v>11043.02531711638</v>
      </c>
      <c r="AA39" s="2">
        <v>597.45327249683623</v>
      </c>
      <c r="AB39" s="2">
        <v>7875.640532607229</v>
      </c>
      <c r="AC39" s="2">
        <v>404.47601178757441</v>
      </c>
      <c r="AD39" s="2">
        <v>218.86258092066498</v>
      </c>
      <c r="AE39" s="2">
        <v>598.59124417617977</v>
      </c>
      <c r="AF39" s="2">
        <v>963.36823165216765</v>
      </c>
      <c r="AG39" s="2">
        <v>131.78136788139381</v>
      </c>
      <c r="AH39" s="2">
        <v>662.87474791963518</v>
      </c>
      <c r="AI39" s="2">
        <v>503100.49181220843</v>
      </c>
      <c r="AJ39" s="2">
        <v>466769.5578411789</v>
      </c>
      <c r="AL39" s="27">
        <v>0.91722220671492738</v>
      </c>
      <c r="AM39" s="27">
        <v>0.91736589207192654</v>
      </c>
      <c r="AN39" s="27">
        <v>0.91332193961647024</v>
      </c>
      <c r="AO39" s="27">
        <v>0.85831588218907584</v>
      </c>
      <c r="AP39" s="27">
        <v>0.70114688640331346</v>
      </c>
      <c r="AQ39" s="27">
        <v>0.91722220671492738</v>
      </c>
      <c r="AR39" s="27">
        <v>0.91736589207192654</v>
      </c>
      <c r="AS39" s="27">
        <v>0.91332193961647024</v>
      </c>
      <c r="AT39" s="27">
        <v>0.85831588218907584</v>
      </c>
      <c r="AU39" s="27">
        <v>0.70114688640331346</v>
      </c>
      <c r="AW39" s="1">
        <v>13.518639049690176</v>
      </c>
      <c r="AX39" s="1">
        <v>15.503537789137866</v>
      </c>
      <c r="AY39" s="2">
        <v>1918649.2503551354</v>
      </c>
      <c r="AZ39" s="1">
        <v>15.341507019524036</v>
      </c>
      <c r="BA39" s="1">
        <v>17.278801335910487</v>
      </c>
      <c r="BB39" s="2">
        <v>1408638.195772999</v>
      </c>
      <c r="BC39" s="2">
        <f t="shared" si="5"/>
        <v>-510011.05458213645</v>
      </c>
      <c r="BD39" s="292">
        <f t="shared" si="6"/>
        <v>1.8228679698338599</v>
      </c>
      <c r="BF39" s="170">
        <f t="shared" si="1"/>
        <v>244332.99759529275</v>
      </c>
      <c r="BG39" s="2">
        <f t="shared" si="2"/>
        <v>1046002.9273508466</v>
      </c>
      <c r="BI39">
        <f t="shared" si="3"/>
        <v>0</v>
      </c>
      <c r="BJ39" s="95">
        <f t="shared" si="4"/>
        <v>1</v>
      </c>
      <c r="BL39" s="174">
        <v>64000</v>
      </c>
      <c r="BM39">
        <v>1E-3</v>
      </c>
      <c r="BN39" s="95">
        <v>0.999</v>
      </c>
      <c r="BP39" s="217">
        <f t="shared" si="7"/>
        <v>1046002.9273508466</v>
      </c>
      <c r="BU39" s="174">
        <f t="shared" si="8"/>
        <v>64000</v>
      </c>
      <c r="BV39" s="173">
        <v>2660263.5092079258</v>
      </c>
    </row>
    <row r="40" spans="1:81">
      <c r="A40" s="11">
        <v>34</v>
      </c>
      <c r="C40" s="27">
        <v>0.92513839012854426</v>
      </c>
      <c r="D40" s="27">
        <v>7.4861609871455737E-2</v>
      </c>
      <c r="E40" s="27">
        <v>0</v>
      </c>
      <c r="F40" s="27">
        <v>0.85360863797739939</v>
      </c>
      <c r="G40" s="27">
        <v>0.14639136202260061</v>
      </c>
      <c r="H40" s="27">
        <v>0</v>
      </c>
      <c r="I40" s="27">
        <v>0.74044233685162553</v>
      </c>
      <c r="J40" s="27">
        <v>0.25955766314837447</v>
      </c>
      <c r="K40" s="27">
        <v>0</v>
      </c>
      <c r="L40" s="27">
        <v>0.11489375434613747</v>
      </c>
      <c r="M40" s="27">
        <v>0.52695387420441464</v>
      </c>
      <c r="N40" s="27">
        <v>0.35815237144944789</v>
      </c>
      <c r="O40" s="27">
        <v>-10.982338267369306</v>
      </c>
      <c r="P40" s="27">
        <v>3.3451730727650834E-2</v>
      </c>
      <c r="Q40" s="27">
        <v>6.9279218311389079E-5</v>
      </c>
      <c r="R40" s="27">
        <v>1.0509589251976148</v>
      </c>
      <c r="S40" s="154"/>
      <c r="T40">
        <v>0.98158819351908955</v>
      </c>
      <c r="U40">
        <v>2.2190879722402483</v>
      </c>
      <c r="V40">
        <v>2.8594659926175829</v>
      </c>
      <c r="W40">
        <v>1</v>
      </c>
      <c r="Y40" s="2">
        <v>71.781453782765951</v>
      </c>
      <c r="Z40" s="2">
        <v>1046.9353751837432</v>
      </c>
      <c r="AA40" s="2">
        <v>775.70599065090073</v>
      </c>
      <c r="AB40" s="2">
        <v>1903.6493623534468</v>
      </c>
      <c r="AC40" s="2">
        <v>1892.7122680944817</v>
      </c>
      <c r="AD40" s="2">
        <v>7.7163438122994297</v>
      </c>
      <c r="AE40" s="2">
        <v>540.84147440854451</v>
      </c>
      <c r="AF40" s="2">
        <v>1012.4224774781217</v>
      </c>
      <c r="AG40" s="2">
        <v>179.82046174036216</v>
      </c>
      <c r="AH40" s="2">
        <v>507.66535433260151</v>
      </c>
      <c r="AI40" s="2">
        <v>471109.96204698901</v>
      </c>
      <c r="AJ40" s="2">
        <v>447405.56636269373</v>
      </c>
      <c r="AL40" s="27">
        <v>0.91614583405820482</v>
      </c>
      <c r="AM40" s="27">
        <v>0.91321951763080145</v>
      </c>
      <c r="AN40" s="27">
        <v>0.90758588405192087</v>
      </c>
      <c r="AO40" s="27">
        <v>0.85278351227392801</v>
      </c>
      <c r="AP40" s="27">
        <v>0.70884450683623323</v>
      </c>
      <c r="AQ40" s="27">
        <v>0.91614583405820482</v>
      </c>
      <c r="AR40" s="27">
        <v>0.91321951763080145</v>
      </c>
      <c r="AS40" s="27">
        <v>0.90758588405192087</v>
      </c>
      <c r="AT40" s="27">
        <v>0.85278351227392801</v>
      </c>
      <c r="AU40" s="27">
        <v>0.70884450683623323</v>
      </c>
      <c r="AW40" s="1">
        <v>13.835062529278279</v>
      </c>
      <c r="AX40" s="1">
        <v>15.922312961713281</v>
      </c>
      <c r="AY40" s="2">
        <v>1909952.8537620367</v>
      </c>
      <c r="AZ40" s="1">
        <v>15.473361428159825</v>
      </c>
      <c r="BA40" s="1">
        <v>17.505225716777229</v>
      </c>
      <c r="BB40" s="2">
        <v>1404475.1604152992</v>
      </c>
      <c r="BC40" s="2">
        <f t="shared" si="5"/>
        <v>-505477.69334673742</v>
      </c>
      <c r="BD40" s="292">
        <f t="shared" si="6"/>
        <v>1.6382988988815459</v>
      </c>
      <c r="BF40" s="170">
        <f t="shared" si="1"/>
        <v>303657.15092248796</v>
      </c>
      <c r="BG40" s="2">
        <f t="shared" si="2"/>
        <v>1071262.6680902727</v>
      </c>
      <c r="BI40">
        <f t="shared" si="3"/>
        <v>0</v>
      </c>
      <c r="BJ40" s="95">
        <f t="shared" si="4"/>
        <v>1</v>
      </c>
      <c r="BL40" s="174">
        <v>66000</v>
      </c>
      <c r="BM40">
        <v>1E-3</v>
      </c>
      <c r="BN40" s="95">
        <v>0.999</v>
      </c>
      <c r="BP40" s="217">
        <f t="shared" si="7"/>
        <v>1071262.6680902727</v>
      </c>
      <c r="BU40" s="174">
        <f t="shared" si="8"/>
        <v>66000</v>
      </c>
      <c r="BV40" s="173">
        <v>2493115.0890707308</v>
      </c>
      <c r="CB40" s="188" t="s">
        <v>92</v>
      </c>
      <c r="CC40" s="187">
        <v>0</v>
      </c>
    </row>
    <row r="41" spans="1:81">
      <c r="A41" s="11">
        <v>35</v>
      </c>
      <c r="C41" s="27">
        <v>0.92083007831071029</v>
      </c>
      <c r="D41" s="27">
        <v>7.9169921689289713E-2</v>
      </c>
      <c r="E41" s="27">
        <v>0</v>
      </c>
      <c r="F41" s="27">
        <v>0.86002243353286945</v>
      </c>
      <c r="G41" s="27">
        <v>0.1399775664671305</v>
      </c>
      <c r="H41" s="27">
        <v>0</v>
      </c>
      <c r="I41" s="27">
        <v>0.74451575058906994</v>
      </c>
      <c r="J41" s="27">
        <v>0.25548424941093006</v>
      </c>
      <c r="K41" s="27">
        <v>0</v>
      </c>
      <c r="L41" s="27">
        <v>0.11309965312861459</v>
      </c>
      <c r="M41" s="27">
        <v>0.49065019062364773</v>
      </c>
      <c r="N41" s="27">
        <v>0.39625015624773763</v>
      </c>
      <c r="O41" s="27">
        <v>-11.219412647736876</v>
      </c>
      <c r="P41" s="27">
        <v>3.2497739206613058E-2</v>
      </c>
      <c r="Q41" s="27">
        <v>5.2509964779211736E-5</v>
      </c>
      <c r="R41" s="27">
        <v>1.0965409319287929</v>
      </c>
      <c r="S41" s="154"/>
      <c r="T41">
        <v>1.037400298104548</v>
      </c>
      <c r="U41">
        <v>2.2976982423026251</v>
      </c>
      <c r="V41">
        <v>3.0500210267671228</v>
      </c>
      <c r="W41">
        <v>1</v>
      </c>
      <c r="Y41" s="2">
        <v>12.237260864121804</v>
      </c>
      <c r="Z41" s="2">
        <v>697.91528632292636</v>
      </c>
      <c r="AA41" s="2">
        <v>287.92652971748038</v>
      </c>
      <c r="AB41" s="2">
        <v>1371.5639516457097</v>
      </c>
      <c r="AC41" s="2">
        <v>2228.6359548992423</v>
      </c>
      <c r="AD41" s="2">
        <v>698.17208683594913</v>
      </c>
      <c r="AE41" s="2">
        <v>570.93606290875221</v>
      </c>
      <c r="AF41" s="2">
        <v>1216.4653209272553</v>
      </c>
      <c r="AG41" s="2">
        <v>93.081814824086251</v>
      </c>
      <c r="AH41" s="2">
        <v>283.12715973342324</v>
      </c>
      <c r="AI41" s="2">
        <v>418052.52026711381</v>
      </c>
      <c r="AJ41" s="2">
        <v>384484.52803301782</v>
      </c>
      <c r="AL41" s="27">
        <v>0.91164093674637192</v>
      </c>
      <c r="AM41" s="27">
        <v>0.91412819613023222</v>
      </c>
      <c r="AN41" s="27">
        <v>0.9102192205687144</v>
      </c>
      <c r="AO41" s="27">
        <v>0.84981699931481702</v>
      </c>
      <c r="AP41" s="27">
        <v>0.65657199565346258</v>
      </c>
      <c r="AQ41" s="27">
        <v>0.91164093674637192</v>
      </c>
      <c r="AR41" s="27">
        <v>0.91412819613023222</v>
      </c>
      <c r="AS41" s="27">
        <v>0.9102192205687144</v>
      </c>
      <c r="AT41" s="27">
        <v>0.84981699931481702</v>
      </c>
      <c r="AU41" s="27">
        <v>0.65657199565346258</v>
      </c>
      <c r="AW41" s="1">
        <v>12.989103618724164</v>
      </c>
      <c r="AX41" s="1">
        <v>15.163011538127243</v>
      </c>
      <c r="AY41" s="2">
        <v>1519372.670743688</v>
      </c>
      <c r="AZ41" s="1">
        <v>15.075256533467957</v>
      </c>
      <c r="BA41" s="1">
        <v>17.169148909632543</v>
      </c>
      <c r="BB41" s="2">
        <v>1074991.1134366654</v>
      </c>
      <c r="BC41" s="2">
        <f t="shared" si="5"/>
        <v>-444381.55730702262</v>
      </c>
      <c r="BD41" s="292">
        <f t="shared" si="6"/>
        <v>2.0861529147437938</v>
      </c>
      <c r="BF41" s="170">
        <f t="shared" si="1"/>
        <v>558883.90825217823</v>
      </c>
      <c r="BG41" s="2">
        <f t="shared" si="2"/>
        <v>1337049.931918208</v>
      </c>
      <c r="BI41">
        <f t="shared" si="3"/>
        <v>0</v>
      </c>
      <c r="BJ41" s="95">
        <f t="shared" si="4"/>
        <v>1</v>
      </c>
      <c r="BL41" s="174">
        <v>68000</v>
      </c>
      <c r="BM41">
        <v>1E-3</v>
      </c>
      <c r="BN41" s="95">
        <v>0.999</v>
      </c>
      <c r="BP41" s="217">
        <f t="shared" si="7"/>
        <v>1337049.931918208</v>
      </c>
      <c r="BU41" s="174">
        <f t="shared" si="8"/>
        <v>68000</v>
      </c>
      <c r="BV41" s="173">
        <v>2325966.6689335359</v>
      </c>
    </row>
    <row r="42" spans="1:81">
      <c r="A42" s="11">
        <v>36</v>
      </c>
      <c r="C42" s="27">
        <v>0.92200718953798089</v>
      </c>
      <c r="D42" s="27">
        <v>7.7992810462019113E-2</v>
      </c>
      <c r="E42" s="27">
        <v>0</v>
      </c>
      <c r="F42" s="27">
        <v>0.85841842007453129</v>
      </c>
      <c r="G42" s="27">
        <v>0.14158157992546874</v>
      </c>
      <c r="H42" s="27">
        <v>0</v>
      </c>
      <c r="I42" s="27">
        <v>0.74387529503779792</v>
      </c>
      <c r="J42" s="27">
        <v>0.25612470496220208</v>
      </c>
      <c r="K42" s="27">
        <v>0</v>
      </c>
      <c r="L42" s="27">
        <v>7.5517397884048321E-2</v>
      </c>
      <c r="M42" s="27">
        <v>0.50916886796012961</v>
      </c>
      <c r="N42" s="27">
        <v>0.41531373415582207</v>
      </c>
      <c r="O42" s="27">
        <v>-11.907789725472488</v>
      </c>
      <c r="P42" s="27">
        <v>3.7526869096017323E-2</v>
      </c>
      <c r="Q42" s="27">
        <v>3.2584911197529415E-5</v>
      </c>
      <c r="R42" s="27">
        <v>1.1541921462097089</v>
      </c>
      <c r="S42" s="154"/>
      <c r="T42">
        <v>0.99815146505319052</v>
      </c>
      <c r="U42">
        <v>2.2678954142449763</v>
      </c>
      <c r="V42">
        <v>2.9387716967394897</v>
      </c>
      <c r="W42">
        <v>1</v>
      </c>
      <c r="Y42" s="2">
        <v>854.10444043774771</v>
      </c>
      <c r="Z42" s="2">
        <v>3339.1792671655817</v>
      </c>
      <c r="AA42" s="2">
        <v>86.180201617800449</v>
      </c>
      <c r="AB42" s="2">
        <v>18.705104888729487</v>
      </c>
      <c r="AC42" s="2">
        <v>2216.5508900696873</v>
      </c>
      <c r="AD42" s="2">
        <v>486.59325757890059</v>
      </c>
      <c r="AE42" s="2">
        <v>606.79966217845674</v>
      </c>
      <c r="AF42" s="2">
        <v>959.90826100325535</v>
      </c>
      <c r="AG42" s="2">
        <v>115.12756247225855</v>
      </c>
      <c r="AH42" s="2">
        <v>431.63667039864595</v>
      </c>
      <c r="AI42" s="2">
        <v>458985.89352954348</v>
      </c>
      <c r="AJ42" s="2">
        <v>429324.60710869404</v>
      </c>
      <c r="AL42" s="27">
        <v>0.91580038563782629</v>
      </c>
      <c r="AM42" s="27">
        <v>0.91162637852055395</v>
      </c>
      <c r="AN42" s="27">
        <v>0.907983130401813</v>
      </c>
      <c r="AO42" s="27">
        <v>0.8596180386367922</v>
      </c>
      <c r="AP42" s="27">
        <v>0.67138222266545011</v>
      </c>
      <c r="AQ42" s="27">
        <v>0.91580038563782629</v>
      </c>
      <c r="AR42" s="27">
        <v>0.91162637852055395</v>
      </c>
      <c r="AS42" s="27">
        <v>0.907983130401813</v>
      </c>
      <c r="AT42" s="27">
        <v>0.8596180386367922</v>
      </c>
      <c r="AU42" s="27">
        <v>0.67138222266545011</v>
      </c>
      <c r="AW42" s="1">
        <v>13.166806461499375</v>
      </c>
      <c r="AX42" s="1">
        <v>15.216168858861046</v>
      </c>
      <c r="AY42" s="2">
        <v>1636708.9525519663</v>
      </c>
      <c r="AZ42" s="1">
        <v>15.084149873650933</v>
      </c>
      <c r="BA42" s="1">
        <v>17.09090734221105</v>
      </c>
      <c r="BB42" s="2">
        <v>1116875.3544277428</v>
      </c>
      <c r="BC42" s="2">
        <f t="shared" si="5"/>
        <v>-519833.59812422353</v>
      </c>
      <c r="BD42" s="292">
        <f t="shared" si="6"/>
        <v>1.917343412151558</v>
      </c>
      <c r="BF42" s="170">
        <f t="shared" si="1"/>
        <v>469980.08128793375</v>
      </c>
      <c r="BG42" s="2">
        <f t="shared" si="2"/>
        <v>1296588.6253564064</v>
      </c>
      <c r="BI42">
        <f t="shared" si="3"/>
        <v>0</v>
      </c>
      <c r="BJ42" s="95">
        <f t="shared" si="4"/>
        <v>1</v>
      </c>
      <c r="BL42" s="174">
        <v>70000</v>
      </c>
      <c r="BM42">
        <v>1E-3</v>
      </c>
      <c r="BN42" s="95">
        <v>0.999</v>
      </c>
      <c r="BP42" s="217">
        <f t="shared" si="7"/>
        <v>1296588.6253564064</v>
      </c>
      <c r="BU42" s="174">
        <f t="shared" si="8"/>
        <v>70000</v>
      </c>
      <c r="BV42" s="173">
        <v>2158818.2487963405</v>
      </c>
      <c r="CB42" s="188" t="s">
        <v>94</v>
      </c>
      <c r="CC42" s="187">
        <v>0</v>
      </c>
    </row>
    <row r="43" spans="1:81">
      <c r="A43" s="11">
        <v>37</v>
      </c>
      <c r="C43" s="27">
        <v>0.92480721018739653</v>
      </c>
      <c r="D43" s="27">
        <v>7.5192789812603411E-2</v>
      </c>
      <c r="E43" s="27">
        <v>0</v>
      </c>
      <c r="F43" s="27">
        <v>0.85746490070206749</v>
      </c>
      <c r="G43" s="27">
        <v>0.14253509929793254</v>
      </c>
      <c r="H43" s="27">
        <v>0</v>
      </c>
      <c r="I43" s="27">
        <v>0.75381643307443658</v>
      </c>
      <c r="J43" s="27">
        <v>0.24618356692556348</v>
      </c>
      <c r="K43" s="27">
        <v>0</v>
      </c>
      <c r="L43" s="27">
        <v>9.0401906071802984E-2</v>
      </c>
      <c r="M43" s="27">
        <v>0.51639218454228508</v>
      </c>
      <c r="N43" s="27">
        <v>0.39320590938591193</v>
      </c>
      <c r="O43" s="27">
        <v>-11.112560610232855</v>
      </c>
      <c r="P43" s="27">
        <v>3.3987237731459861E-2</v>
      </c>
      <c r="Q43" s="27">
        <v>6.2203665722427096E-5</v>
      </c>
      <c r="R43" s="27">
        <v>1.0782084078651617</v>
      </c>
      <c r="S43" s="154"/>
      <c r="T43">
        <v>1.137368529250109</v>
      </c>
      <c r="U43">
        <v>2.1378325287260727</v>
      </c>
      <c r="V43">
        <v>3.1449534276674274</v>
      </c>
      <c r="W43">
        <v>1</v>
      </c>
      <c r="Y43" s="2">
        <v>693.81048172621763</v>
      </c>
      <c r="Z43" s="2">
        <v>172.15624021553177</v>
      </c>
      <c r="AA43" s="2">
        <v>2468.7425294451432</v>
      </c>
      <c r="AB43" s="2">
        <v>5029.2948939967991</v>
      </c>
      <c r="AC43" s="2">
        <v>2923.5231349269284</v>
      </c>
      <c r="AD43" s="2">
        <v>339.04641395912847</v>
      </c>
      <c r="AE43" s="2">
        <v>516.81760855199946</v>
      </c>
      <c r="AF43" s="2">
        <v>1148.2466726788891</v>
      </c>
      <c r="AG43" s="2">
        <v>55.620961609570841</v>
      </c>
      <c r="AH43" s="2">
        <v>144.71499184652373</v>
      </c>
      <c r="AI43" s="2">
        <v>462282.54296931491</v>
      </c>
      <c r="AJ43" s="2">
        <v>435200.37683174532</v>
      </c>
      <c r="AL43" s="27">
        <v>0.91378984652385165</v>
      </c>
      <c r="AM43" s="27">
        <v>0.91880472126961799</v>
      </c>
      <c r="AN43" s="27">
        <v>0.90590666351064586</v>
      </c>
      <c r="AO43" s="27">
        <v>0.85174428804076285</v>
      </c>
      <c r="AP43" s="27">
        <v>0.72687295175943489</v>
      </c>
      <c r="AQ43" s="27">
        <v>0.91378984652385165</v>
      </c>
      <c r="AR43" s="27">
        <v>0.91880472126961799</v>
      </c>
      <c r="AS43" s="27">
        <v>0.90590666351064586</v>
      </c>
      <c r="AT43" s="27">
        <v>0.85174428804076285</v>
      </c>
      <c r="AU43" s="27">
        <v>0.72687295175943489</v>
      </c>
      <c r="AW43" s="1">
        <v>13.237385918749014</v>
      </c>
      <c r="AX43" s="1">
        <v>15.190437560988782</v>
      </c>
      <c r="AY43" s="2">
        <v>1789684.0256631598</v>
      </c>
      <c r="AZ43" s="1">
        <v>15.413828200335205</v>
      </c>
      <c r="BA43" s="1">
        <v>17.340309995108527</v>
      </c>
      <c r="BB43" s="2">
        <v>1299650.3947991356</v>
      </c>
      <c r="BC43" s="2">
        <f t="shared" si="5"/>
        <v>-490033.63086402416</v>
      </c>
      <c r="BD43" s="292">
        <f t="shared" si="6"/>
        <v>2.1764422815861906</v>
      </c>
      <c r="BF43" s="170">
        <f t="shared" si="1"/>
        <v>328297.72133668233</v>
      </c>
      <c r="BG43" s="2">
        <f t="shared" si="2"/>
        <v>1166562.117254497</v>
      </c>
      <c r="BI43">
        <f t="shared" si="3"/>
        <v>0</v>
      </c>
      <c r="BJ43" s="95">
        <f t="shared" si="4"/>
        <v>1</v>
      </c>
      <c r="BL43" s="174">
        <v>72000</v>
      </c>
      <c r="BM43">
        <v>1E-3</v>
      </c>
      <c r="BN43" s="95">
        <v>0.999</v>
      </c>
      <c r="BP43" s="217">
        <f t="shared" si="7"/>
        <v>1166562.117254497</v>
      </c>
      <c r="BU43" s="174">
        <f t="shared" si="8"/>
        <v>72000</v>
      </c>
      <c r="BV43" s="173">
        <v>1991669.8286591456</v>
      </c>
      <c r="CB43" s="188" t="s">
        <v>95</v>
      </c>
      <c r="CC43" s="187">
        <v>0</v>
      </c>
    </row>
    <row r="44" spans="1:81">
      <c r="A44" s="11">
        <v>38</v>
      </c>
      <c r="C44" s="27">
        <v>0.91954910477864082</v>
      </c>
      <c r="D44" s="27">
        <v>8.0450895221359175E-2</v>
      </c>
      <c r="E44" s="27">
        <v>0</v>
      </c>
      <c r="F44" s="27">
        <v>0.85385289966285038</v>
      </c>
      <c r="G44" s="27">
        <v>0.14614710033714962</v>
      </c>
      <c r="H44" s="27">
        <v>0</v>
      </c>
      <c r="I44" s="27">
        <v>0.74530945643486279</v>
      </c>
      <c r="J44" s="27">
        <v>0.25469054356513721</v>
      </c>
      <c r="K44" s="27">
        <v>0</v>
      </c>
      <c r="L44" s="27">
        <v>0.10691681448642631</v>
      </c>
      <c r="M44" s="27">
        <v>0.49950718235247021</v>
      </c>
      <c r="N44" s="27">
        <v>0.39357600316110353</v>
      </c>
      <c r="O44" s="27">
        <v>-11.095478321878014</v>
      </c>
      <c r="P44" s="27">
        <v>3.2858988931443303E-2</v>
      </c>
      <c r="Q44" s="27">
        <v>6.034691158710993E-5</v>
      </c>
      <c r="R44" s="27">
        <v>1.0903236659818003</v>
      </c>
      <c r="S44" s="154"/>
      <c r="T44">
        <v>0.97435163915812262</v>
      </c>
      <c r="U44">
        <v>2.2487032065400387</v>
      </c>
      <c r="V44">
        <v>3.044864282706258</v>
      </c>
      <c r="W44">
        <v>1</v>
      </c>
      <c r="Y44" s="2">
        <v>429.87470979008049</v>
      </c>
      <c r="Z44" s="2">
        <v>1504.9677112042007</v>
      </c>
      <c r="AA44" s="2">
        <v>88.759730186308914</v>
      </c>
      <c r="AB44" s="2">
        <v>12722.894368495283</v>
      </c>
      <c r="AC44" s="2">
        <v>1504.24919496289</v>
      </c>
      <c r="AD44" s="2">
        <v>165.78104670108141</v>
      </c>
      <c r="AE44" s="2">
        <v>595.4677040680632</v>
      </c>
      <c r="AF44" s="2">
        <v>1271.6242181549044</v>
      </c>
      <c r="AG44" s="2">
        <v>120.8894538739787</v>
      </c>
      <c r="AH44" s="2">
        <v>313.71309319422903</v>
      </c>
      <c r="AI44" s="2">
        <v>395633.96717903076</v>
      </c>
      <c r="AJ44" s="2">
        <v>368247.44960520277</v>
      </c>
      <c r="AL44" s="27">
        <v>0.91565885105353473</v>
      </c>
      <c r="AM44" s="27">
        <v>0.91159320836476188</v>
      </c>
      <c r="AN44" s="27">
        <v>0.89986937966410518</v>
      </c>
      <c r="AO44" s="27">
        <v>0.84405052026260396</v>
      </c>
      <c r="AP44" s="27">
        <v>0.69488444355244372</v>
      </c>
      <c r="AQ44" s="27">
        <v>0.91565885105353473</v>
      </c>
      <c r="AR44" s="27">
        <v>0.91159320836476188</v>
      </c>
      <c r="AS44" s="27">
        <v>0.89986937966410518</v>
      </c>
      <c r="AT44" s="27">
        <v>0.84405052026260396</v>
      </c>
      <c r="AU44" s="27">
        <v>0.69488444355244372</v>
      </c>
      <c r="AW44" s="1">
        <v>13.202071631348657</v>
      </c>
      <c r="AX44" s="1">
        <v>15.215107635474435</v>
      </c>
      <c r="AY44" s="2">
        <v>1406723.6963045734</v>
      </c>
      <c r="AZ44" s="1">
        <v>15.035774786067451</v>
      </c>
      <c r="BA44" s="1">
        <v>17.033908050909197</v>
      </c>
      <c r="BB44" s="2">
        <v>1208585.8931153859</v>
      </c>
      <c r="BC44" s="2">
        <f t="shared" si="5"/>
        <v>-198137.80318918754</v>
      </c>
      <c r="BD44" s="292">
        <f t="shared" si="6"/>
        <v>1.8337031547187941</v>
      </c>
      <c r="BF44" s="170">
        <f t="shared" si="1"/>
        <v>705607.76471121167</v>
      </c>
      <c r="BG44" s="2">
        <f t="shared" si="2"/>
        <v>1197138.0726554063</v>
      </c>
      <c r="BI44">
        <f t="shared" si="3"/>
        <v>0</v>
      </c>
      <c r="BJ44" s="95">
        <f t="shared" si="4"/>
        <v>1</v>
      </c>
      <c r="BL44" s="174">
        <v>74000</v>
      </c>
      <c r="BM44">
        <v>1E-3</v>
      </c>
      <c r="BN44" s="95">
        <v>0.999</v>
      </c>
      <c r="BP44" s="217">
        <f t="shared" si="7"/>
        <v>1197138.0726554063</v>
      </c>
      <c r="BU44" s="174">
        <f t="shared" si="8"/>
        <v>74000</v>
      </c>
      <c r="BV44" s="173">
        <v>1824521.4085219505</v>
      </c>
      <c r="CB44" s="188" t="s">
        <v>96</v>
      </c>
      <c r="CC44" s="187">
        <v>0</v>
      </c>
    </row>
    <row r="45" spans="1:81">
      <c r="A45" s="11">
        <v>39</v>
      </c>
      <c r="C45" s="27">
        <v>0.92620280577781611</v>
      </c>
      <c r="D45" s="27">
        <v>7.3797194222183879E-2</v>
      </c>
      <c r="E45" s="27">
        <v>0</v>
      </c>
      <c r="F45" s="27">
        <v>0.85932654542341835</v>
      </c>
      <c r="G45" s="27">
        <v>0.14067345457658167</v>
      </c>
      <c r="H45" s="27">
        <v>0</v>
      </c>
      <c r="I45" s="27">
        <v>0.74986595900096076</v>
      </c>
      <c r="J45" s="27">
        <v>0.25013404099903924</v>
      </c>
      <c r="K45" s="27">
        <v>0</v>
      </c>
      <c r="L45" s="27">
        <v>0.21114281355061659</v>
      </c>
      <c r="M45" s="27">
        <v>0.45831484820054308</v>
      </c>
      <c r="N45" s="27">
        <v>0.33054233824884038</v>
      </c>
      <c r="O45" s="27">
        <v>-11.479189558777632</v>
      </c>
      <c r="P45" s="27">
        <v>3.8378644969971426E-2</v>
      </c>
      <c r="Q45" s="27">
        <v>5.1843216039846824E-5</v>
      </c>
      <c r="R45" s="27">
        <v>1.0850080906897732</v>
      </c>
      <c r="S45" s="154"/>
      <c r="T45">
        <v>0.93703863626011619</v>
      </c>
      <c r="U45">
        <v>2.257210224546458</v>
      </c>
      <c r="V45">
        <v>2.9473869149891376</v>
      </c>
      <c r="W45">
        <v>1</v>
      </c>
      <c r="Y45" s="2">
        <v>2587.1338841173706</v>
      </c>
      <c r="Z45" s="2">
        <v>1788.3655895192758</v>
      </c>
      <c r="AA45" s="2">
        <v>3979.3250431749957</v>
      </c>
      <c r="AB45" s="2">
        <v>1781.480742303545</v>
      </c>
      <c r="AC45" s="2">
        <v>403.40478571938405</v>
      </c>
      <c r="AD45" s="2">
        <v>1623.9025194532567</v>
      </c>
      <c r="AE45" s="2">
        <v>616.58993007636661</v>
      </c>
      <c r="AF45" s="2">
        <v>1050.104935377766</v>
      </c>
      <c r="AG45" s="2">
        <v>79.460445889265728</v>
      </c>
      <c r="AH45" s="2">
        <v>317.10455996359923</v>
      </c>
      <c r="AI45" s="2">
        <v>660121.19685536041</v>
      </c>
      <c r="AJ45" s="2">
        <v>610669.33612852823</v>
      </c>
      <c r="AL45" s="27">
        <v>0.91396921137579812</v>
      </c>
      <c r="AM45" s="27">
        <v>0.90800319382838357</v>
      </c>
      <c r="AN45" s="27">
        <v>0.90922330154630371</v>
      </c>
      <c r="AO45" s="27">
        <v>0.85982867847892785</v>
      </c>
      <c r="AP45" s="27">
        <v>0.7150685454344663</v>
      </c>
      <c r="AQ45" s="27">
        <v>0.91396921137579812</v>
      </c>
      <c r="AR45" s="27">
        <v>0.90800319382838357</v>
      </c>
      <c r="AS45" s="27">
        <v>0.90922330154630371</v>
      </c>
      <c r="AT45" s="27">
        <v>0.85982867847892785</v>
      </c>
      <c r="AU45" s="27">
        <v>0.7150685454344663</v>
      </c>
      <c r="AW45" s="1">
        <v>13.984341873233671</v>
      </c>
      <c r="AX45" s="1">
        <v>16.035024876316573</v>
      </c>
      <c r="AY45" s="2">
        <v>2414021.633785014</v>
      </c>
      <c r="AZ45" s="1">
        <v>15.541098147328041</v>
      </c>
      <c r="BA45" s="1">
        <v>17.562189568854382</v>
      </c>
      <c r="BB45" s="2">
        <v>1831091.237468435</v>
      </c>
      <c r="BC45" s="2">
        <f t="shared" si="5"/>
        <v>-582930.39631657908</v>
      </c>
      <c r="BD45" s="292">
        <f t="shared" si="6"/>
        <v>1.5567562740943703</v>
      </c>
      <c r="BF45" s="170">
        <f t="shared" si="1"/>
        <v>-176526.93406762648</v>
      </c>
      <c r="BG45" s="2">
        <f t="shared" si="2"/>
        <v>655484.46610405156</v>
      </c>
      <c r="BI45">
        <f t="shared" si="3"/>
        <v>0</v>
      </c>
      <c r="BJ45" s="95">
        <f t="shared" si="4"/>
        <v>1</v>
      </c>
      <c r="BL45" s="174">
        <v>76000</v>
      </c>
      <c r="BM45">
        <v>1E-3</v>
      </c>
      <c r="BN45" s="95">
        <v>0.999</v>
      </c>
      <c r="BP45" s="217">
        <f t="shared" si="7"/>
        <v>655484.46610405156</v>
      </c>
      <c r="BU45" s="174">
        <f t="shared" si="8"/>
        <v>76000</v>
      </c>
      <c r="BV45" s="173">
        <v>1657372.9883875011</v>
      </c>
      <c r="CB45" s="188" t="s">
        <v>97</v>
      </c>
      <c r="CC45" s="187">
        <v>0</v>
      </c>
    </row>
    <row r="46" spans="1:81">
      <c r="A46" s="11">
        <v>40</v>
      </c>
      <c r="C46" s="27">
        <v>0.92693051859932329</v>
      </c>
      <c r="D46" s="27">
        <v>7.306948140067672E-2</v>
      </c>
      <c r="E46" s="27">
        <v>0</v>
      </c>
      <c r="F46" s="27">
        <v>0.85890683671300794</v>
      </c>
      <c r="G46" s="27">
        <v>0.14109316328699201</v>
      </c>
      <c r="H46" s="27">
        <v>0</v>
      </c>
      <c r="I46" s="27">
        <v>0.74810494536642957</v>
      </c>
      <c r="J46" s="27">
        <v>0.25189505463357043</v>
      </c>
      <c r="K46" s="27">
        <v>0</v>
      </c>
      <c r="L46" s="27">
        <v>8.2281313142671397E-2</v>
      </c>
      <c r="M46" s="27">
        <v>0.4967095079721926</v>
      </c>
      <c r="N46" s="27">
        <v>0.421009178885136</v>
      </c>
      <c r="O46" s="27">
        <v>-10.754368253936258</v>
      </c>
      <c r="P46" s="27">
        <v>3.3427166757358788E-2</v>
      </c>
      <c r="Q46" s="27">
        <v>8.6928271044353322E-5</v>
      </c>
      <c r="R46" s="27">
        <v>1.0200599021151631</v>
      </c>
      <c r="S46" s="154"/>
      <c r="T46">
        <v>1.0146657624091657</v>
      </c>
      <c r="U46">
        <v>2.2506160973950631</v>
      </c>
      <c r="V46">
        <v>3.0471111003187645</v>
      </c>
      <c r="W46">
        <v>1</v>
      </c>
      <c r="Y46" s="2">
        <v>108.7761780640589</v>
      </c>
      <c r="Z46" s="2">
        <v>4778.6464612363234</v>
      </c>
      <c r="AA46" s="2">
        <v>72.196173203349886</v>
      </c>
      <c r="AB46" s="2">
        <v>7161.9349797938648</v>
      </c>
      <c r="AC46" s="2">
        <v>259.95874731370196</v>
      </c>
      <c r="AD46" s="2">
        <v>1167.2551344856863</v>
      </c>
      <c r="AE46" s="2">
        <v>534.77145734727583</v>
      </c>
      <c r="AF46" s="2">
        <v>1034.7841750655214</v>
      </c>
      <c r="AG46" s="2">
        <v>148.83030488391449</v>
      </c>
      <c r="AH46" s="2">
        <v>630.10125957227581</v>
      </c>
      <c r="AI46" s="2">
        <v>448436.51751258364</v>
      </c>
      <c r="AJ46" s="2">
        <v>411629.03189270839</v>
      </c>
      <c r="AL46" s="27">
        <v>0.91905106807723769</v>
      </c>
      <c r="AM46" s="27">
        <v>0.91803000933173573</v>
      </c>
      <c r="AN46" s="27">
        <v>0.90997189946495061</v>
      </c>
      <c r="AO46" s="27">
        <v>0.87442451326913151</v>
      </c>
      <c r="AP46" s="27">
        <v>0.73057810415815205</v>
      </c>
      <c r="AQ46" s="27">
        <v>0.91905106807723769</v>
      </c>
      <c r="AR46" s="27">
        <v>0.91803000933173573</v>
      </c>
      <c r="AS46" s="27">
        <v>0.90997189946495061</v>
      </c>
      <c r="AT46" s="27">
        <v>0.87442451326913151</v>
      </c>
      <c r="AU46" s="27">
        <v>0.73057810415815205</v>
      </c>
      <c r="AW46" s="1">
        <v>13.758748677585148</v>
      </c>
      <c r="AX46" s="1">
        <v>15.65843353520536</v>
      </c>
      <c r="AY46" s="2">
        <v>1687134.8178714339</v>
      </c>
      <c r="AZ46" s="1">
        <v>15.581941702188882</v>
      </c>
      <c r="BA46" s="1">
        <v>17.451706045626338</v>
      </c>
      <c r="BB46" s="2">
        <v>1281827.2311787975</v>
      </c>
      <c r="BC46" s="2">
        <f t="shared" si="5"/>
        <v>-405307.58669263637</v>
      </c>
      <c r="BD46" s="292">
        <f t="shared" si="6"/>
        <v>1.823193024603734</v>
      </c>
      <c r="BF46" s="170">
        <f t="shared" si="1"/>
        <v>514264.9705421899</v>
      </c>
      <c r="BG46" s="2">
        <f t="shared" si="2"/>
        <v>1211283.4411714233</v>
      </c>
      <c r="BI46">
        <f t="shared" si="3"/>
        <v>0</v>
      </c>
      <c r="BJ46" s="95">
        <f t="shared" si="4"/>
        <v>1</v>
      </c>
      <c r="BL46" s="174">
        <v>78000</v>
      </c>
      <c r="BM46">
        <v>1E-3</v>
      </c>
      <c r="BN46" s="95">
        <v>0.999</v>
      </c>
      <c r="BP46" s="217">
        <f t="shared" si="7"/>
        <v>1211283.4411714233</v>
      </c>
      <c r="BU46" s="174">
        <f t="shared" si="8"/>
        <v>78000</v>
      </c>
      <c r="BV46" s="173">
        <v>1490224.568250306</v>
      </c>
      <c r="CB46" s="188" t="s">
        <v>98</v>
      </c>
      <c r="CC46" s="187">
        <v>0</v>
      </c>
    </row>
    <row r="47" spans="1:81">
      <c r="A47" s="11">
        <v>41</v>
      </c>
      <c r="C47" s="27">
        <v>0.92355542305396277</v>
      </c>
      <c r="D47" s="27">
        <v>7.6444576946037249E-2</v>
      </c>
      <c r="E47" s="27">
        <v>0</v>
      </c>
      <c r="F47" s="27">
        <v>0.85623387230214365</v>
      </c>
      <c r="G47" s="27">
        <v>0.14376612769785635</v>
      </c>
      <c r="H47" s="27">
        <v>0</v>
      </c>
      <c r="I47" s="27">
        <v>0.74135517570285814</v>
      </c>
      <c r="J47" s="27">
        <v>0.25864482429714186</v>
      </c>
      <c r="K47" s="27">
        <v>0</v>
      </c>
      <c r="L47" s="27">
        <v>8.2984267517732024E-2</v>
      </c>
      <c r="M47" s="27">
        <v>0.51975424849978502</v>
      </c>
      <c r="N47" s="27">
        <v>0.39726148398248295</v>
      </c>
      <c r="O47" s="27">
        <v>-11.015165760934375</v>
      </c>
      <c r="P47" s="27">
        <v>3.7199160794141019E-2</v>
      </c>
      <c r="Q47" s="27">
        <v>7.8469463600094657E-5</v>
      </c>
      <c r="R47" s="27">
        <v>1.0339605182261864</v>
      </c>
      <c r="S47" s="154"/>
      <c r="T47">
        <v>0.99213068428848938</v>
      </c>
      <c r="U47">
        <v>2.2455457951899604</v>
      </c>
      <c r="V47">
        <v>2.8458976456871552</v>
      </c>
      <c r="W47">
        <v>1</v>
      </c>
      <c r="Y47" s="2">
        <v>487.12305198944637</v>
      </c>
      <c r="Z47" s="2">
        <v>5096.0306061711944</v>
      </c>
      <c r="AA47" s="2">
        <v>1484.6787820412715</v>
      </c>
      <c r="AB47" s="2">
        <v>43.526574567424582</v>
      </c>
      <c r="AC47" s="2">
        <v>41.837057133765391</v>
      </c>
      <c r="AD47" s="2">
        <v>3288.9732492257035</v>
      </c>
      <c r="AE47" s="2">
        <v>556.55708819703784</v>
      </c>
      <c r="AF47" s="2">
        <v>1197.8078025132015</v>
      </c>
      <c r="AG47" s="2">
        <v>98.052407770228399</v>
      </c>
      <c r="AH47" s="2">
        <v>500.81510447004752</v>
      </c>
      <c r="AI47" s="2">
        <v>376565.22368851001</v>
      </c>
      <c r="AJ47" s="2">
        <v>353722.54926273169</v>
      </c>
      <c r="AL47" s="27">
        <v>0.92059455770804632</v>
      </c>
      <c r="AM47" s="27">
        <v>0.91867147604545607</v>
      </c>
      <c r="AN47" s="27">
        <v>0.90447256770812523</v>
      </c>
      <c r="AO47" s="27">
        <v>0.84953193986635223</v>
      </c>
      <c r="AP47" s="27">
        <v>0.77986664787542981</v>
      </c>
      <c r="AQ47" s="27">
        <v>0.92059455770804632</v>
      </c>
      <c r="AR47" s="27">
        <v>0.91867147604545607</v>
      </c>
      <c r="AS47" s="27">
        <v>0.90447256770812523</v>
      </c>
      <c r="AT47" s="27">
        <v>0.84953193986635223</v>
      </c>
      <c r="AU47" s="27">
        <v>0.77986664787542981</v>
      </c>
      <c r="AW47" s="1">
        <v>13.93891698960377</v>
      </c>
      <c r="AX47" s="1">
        <v>15.712629203408788</v>
      </c>
      <c r="AY47" s="2">
        <v>1529424.920966221</v>
      </c>
      <c r="AZ47" s="1">
        <v>15.609851679425175</v>
      </c>
      <c r="BA47" s="1">
        <v>17.394811490196751</v>
      </c>
      <c r="BB47" s="2">
        <v>1134167.601910617</v>
      </c>
      <c r="BC47" s="2">
        <f t="shared" si="5"/>
        <v>-395257.31905560405</v>
      </c>
      <c r="BD47" s="292">
        <f t="shared" si="6"/>
        <v>1.6709346898214044</v>
      </c>
      <c r="BF47" s="170">
        <f t="shared" si="1"/>
        <v>700801.79737038212</v>
      </c>
      <c r="BG47" s="2">
        <f t="shared" si="2"/>
        <v>1363408.6667974109</v>
      </c>
      <c r="BI47">
        <f t="shared" si="3"/>
        <v>0</v>
      </c>
      <c r="BJ47" s="95">
        <f t="shared" si="4"/>
        <v>1</v>
      </c>
      <c r="BL47" s="174">
        <v>80000</v>
      </c>
      <c r="BM47">
        <v>1E-3</v>
      </c>
      <c r="BN47" s="95">
        <v>0.999</v>
      </c>
      <c r="BP47" s="217">
        <f t="shared" si="7"/>
        <v>1363408.6667974109</v>
      </c>
      <c r="BU47" s="174">
        <f t="shared" si="8"/>
        <v>80000</v>
      </c>
      <c r="BV47" s="173">
        <v>1323076.1481144836</v>
      </c>
    </row>
    <row r="48" spans="1:81">
      <c r="A48" s="11">
        <v>42</v>
      </c>
      <c r="C48" s="27">
        <v>0.9272044726736659</v>
      </c>
      <c r="D48" s="27">
        <v>7.2795527326334125E-2</v>
      </c>
      <c r="E48" s="27">
        <v>0</v>
      </c>
      <c r="F48" s="27">
        <v>0.8550654865305799</v>
      </c>
      <c r="G48" s="27">
        <v>0.1449345134694201</v>
      </c>
      <c r="H48" s="27">
        <v>0</v>
      </c>
      <c r="I48" s="27">
        <v>0.74959263068694892</v>
      </c>
      <c r="J48" s="27">
        <v>0.25040736931305108</v>
      </c>
      <c r="K48" s="27">
        <v>0</v>
      </c>
      <c r="L48" s="27">
        <v>8.5678078025538507E-2</v>
      </c>
      <c r="M48" s="27">
        <v>0.53902086462541288</v>
      </c>
      <c r="N48" s="27">
        <v>0.37530105734904862</v>
      </c>
      <c r="O48" s="27">
        <v>-11.411958913651354</v>
      </c>
      <c r="P48" s="27">
        <v>3.7790641897689554E-2</v>
      </c>
      <c r="Q48" s="27">
        <v>5.4095911177164695E-5</v>
      </c>
      <c r="R48" s="27">
        <v>1.0835598376445512</v>
      </c>
      <c r="S48" s="154"/>
      <c r="T48">
        <v>0.97911986080982838</v>
      </c>
      <c r="U48">
        <v>2.2209436888887613</v>
      </c>
      <c r="V48">
        <v>3.2598950913397697</v>
      </c>
      <c r="W48">
        <v>1</v>
      </c>
      <c r="Y48" s="2">
        <v>1143.617948364252</v>
      </c>
      <c r="Z48" s="2">
        <v>1738.6529029556868</v>
      </c>
      <c r="AA48" s="2">
        <v>3433.9595371341647</v>
      </c>
      <c r="AB48" s="2">
        <v>4957.7356283513609</v>
      </c>
      <c r="AC48" s="2">
        <v>2062.8859417656722</v>
      </c>
      <c r="AD48" s="2">
        <v>1011.9645180097066</v>
      </c>
      <c r="AE48" s="2">
        <v>562.3254758470091</v>
      </c>
      <c r="AF48" s="2">
        <v>1140.9183244872052</v>
      </c>
      <c r="AG48" s="2">
        <v>111.1516511547627</v>
      </c>
      <c r="AH48" s="2">
        <v>310.09629232780088</v>
      </c>
      <c r="AI48" s="2">
        <v>654359.74176229723</v>
      </c>
      <c r="AJ48" s="2">
        <v>614158.14738337614</v>
      </c>
      <c r="AL48" s="27">
        <v>0.91764282516906936</v>
      </c>
      <c r="AM48" s="27">
        <v>0.9159578276963708</v>
      </c>
      <c r="AN48" s="27">
        <v>0.90169420624694807</v>
      </c>
      <c r="AO48" s="27">
        <v>0.85585571271635563</v>
      </c>
      <c r="AP48" s="27">
        <v>0.77232192330080163</v>
      </c>
      <c r="AQ48" s="27">
        <v>0.91764282516906936</v>
      </c>
      <c r="AR48" s="27">
        <v>0.9159578276963708</v>
      </c>
      <c r="AS48" s="27">
        <v>0.90169420624694807</v>
      </c>
      <c r="AT48" s="27">
        <v>0.85585571271635563</v>
      </c>
      <c r="AU48" s="27">
        <v>0.77232192330080163</v>
      </c>
      <c r="AW48" s="1">
        <v>14.022500464298744</v>
      </c>
      <c r="AX48" s="1">
        <v>15.850165386058137</v>
      </c>
      <c r="AY48" s="2">
        <v>2519686.1857111962</v>
      </c>
      <c r="AZ48" s="1">
        <v>15.674276524172313</v>
      </c>
      <c r="BA48" s="1">
        <v>17.515854350633536</v>
      </c>
      <c r="BB48" s="2">
        <v>1907101.5853820548</v>
      </c>
      <c r="BC48" s="2">
        <f t="shared" si="5"/>
        <v>-612584.60032914137</v>
      </c>
      <c r="BD48" s="292">
        <f t="shared" si="6"/>
        <v>1.6517760598735691</v>
      </c>
      <c r="BF48" s="170">
        <f t="shared" si="1"/>
        <v>-276086.11142339697</v>
      </c>
      <c r="BG48" s="2">
        <f t="shared" si="2"/>
        <v>600782.65848551528</v>
      </c>
      <c r="BI48">
        <f t="shared" si="3"/>
        <v>0</v>
      </c>
      <c r="BJ48" s="95">
        <f t="shared" si="4"/>
        <v>1</v>
      </c>
      <c r="BL48" s="174">
        <v>82000</v>
      </c>
      <c r="BM48">
        <v>1E-3</v>
      </c>
      <c r="BN48" s="95">
        <v>0.999</v>
      </c>
      <c r="BP48" s="217">
        <f t="shared" si="7"/>
        <v>600782.65848551528</v>
      </c>
      <c r="BU48" s="174">
        <f t="shared" si="8"/>
        <v>82000</v>
      </c>
      <c r="BV48" s="173">
        <v>1155927.7279772887</v>
      </c>
      <c r="CB48" s="188" t="s">
        <v>99</v>
      </c>
      <c r="CC48" s="187">
        <v>0</v>
      </c>
    </row>
    <row r="49" spans="1:81">
      <c r="A49" s="11">
        <v>43</v>
      </c>
      <c r="C49" s="27">
        <v>0.92138115839995205</v>
      </c>
      <c r="D49" s="27">
        <v>7.8618841600047951E-2</v>
      </c>
      <c r="E49" s="27">
        <v>0</v>
      </c>
      <c r="F49" s="27">
        <v>0.86216931802318197</v>
      </c>
      <c r="G49" s="27">
        <v>0.137830681976818</v>
      </c>
      <c r="H49" s="27">
        <v>0</v>
      </c>
      <c r="I49" s="27">
        <v>0.75440538910204791</v>
      </c>
      <c r="J49" s="27">
        <v>0.24559461089795215</v>
      </c>
      <c r="K49" s="27">
        <v>0</v>
      </c>
      <c r="L49" s="27">
        <v>0.14841712644383664</v>
      </c>
      <c r="M49" s="27">
        <v>0.47460093753776456</v>
      </c>
      <c r="N49" s="27">
        <v>0.3769819360183988</v>
      </c>
      <c r="O49" s="27">
        <v>-11.437248749814513</v>
      </c>
      <c r="P49" s="27">
        <v>3.747512696385006E-2</v>
      </c>
      <c r="Q49" s="27">
        <v>5.2050642590910344E-5</v>
      </c>
      <c r="R49" s="27">
        <v>1.0842737151989827</v>
      </c>
      <c r="S49" s="154"/>
      <c r="T49">
        <v>1.0109297693323163</v>
      </c>
      <c r="U49">
        <v>2.3238367692254589</v>
      </c>
      <c r="V49">
        <v>2.9580129415459964</v>
      </c>
      <c r="W49">
        <v>1</v>
      </c>
      <c r="Y49" s="2">
        <v>1790.4985267374991</v>
      </c>
      <c r="Z49" s="2">
        <v>1360.4237726991489</v>
      </c>
      <c r="AA49" s="2">
        <v>2281.7494849662435</v>
      </c>
      <c r="AB49" s="2">
        <v>7758.4662972562837</v>
      </c>
      <c r="AC49" s="2">
        <v>1565.6038343581681</v>
      </c>
      <c r="AD49" s="2">
        <v>2135.3144091267791</v>
      </c>
      <c r="AE49" s="2">
        <v>593.3490277095741</v>
      </c>
      <c r="AF49" s="2">
        <v>929.57637528656744</v>
      </c>
      <c r="AG49" s="2">
        <v>102.23442523224827</v>
      </c>
      <c r="AH49" s="2">
        <v>313.04697561507828</v>
      </c>
      <c r="AI49" s="2">
        <v>687532.56686877308</v>
      </c>
      <c r="AJ49" s="2">
        <v>644921.62485767924</v>
      </c>
      <c r="AL49" s="27">
        <v>0.917727127139771</v>
      </c>
      <c r="AM49" s="27">
        <v>0.91717013859079355</v>
      </c>
      <c r="AN49" s="27">
        <v>0.91813222983806697</v>
      </c>
      <c r="AO49" s="27">
        <v>0.86387942952407459</v>
      </c>
      <c r="AP49" s="27">
        <v>0.7881101886763402</v>
      </c>
      <c r="AQ49" s="27">
        <v>0.917727127139771</v>
      </c>
      <c r="AR49" s="27">
        <v>0.91717013859079355</v>
      </c>
      <c r="AS49" s="27">
        <v>0.91813222983806697</v>
      </c>
      <c r="AT49" s="27">
        <v>0.86387942952407459</v>
      </c>
      <c r="AU49" s="27">
        <v>0.7881101886763402</v>
      </c>
      <c r="AW49" s="1">
        <v>13.756424481876818</v>
      </c>
      <c r="AX49" s="1">
        <v>15.484819794229033</v>
      </c>
      <c r="AY49" s="2">
        <v>2627518.2270837706</v>
      </c>
      <c r="AZ49" s="1">
        <v>15.620847181157709</v>
      </c>
      <c r="BA49" s="1">
        <v>17.368227801748063</v>
      </c>
      <c r="BB49" s="2">
        <v>1978754.9201984815</v>
      </c>
      <c r="BC49" s="2">
        <f t="shared" si="5"/>
        <v>-648763.30688528903</v>
      </c>
      <c r="BD49" s="292">
        <f t="shared" si="6"/>
        <v>1.8644226992808903</v>
      </c>
      <c r="BF49" s="170">
        <f t="shared" si="1"/>
        <v>-426490.30998347979</v>
      </c>
      <c r="BG49" s="2">
        <f t="shared" si="2"/>
        <v>520580.628786752</v>
      </c>
      <c r="BI49">
        <f t="shared" si="3"/>
        <v>0</v>
      </c>
      <c r="BJ49" s="95">
        <f t="shared" si="4"/>
        <v>1</v>
      </c>
      <c r="BL49" s="174">
        <v>84000</v>
      </c>
      <c r="BM49">
        <v>1E-3</v>
      </c>
      <c r="BN49" s="95">
        <v>0.999</v>
      </c>
      <c r="BP49" s="217">
        <f t="shared" si="7"/>
        <v>520580.628786752</v>
      </c>
      <c r="BU49" s="174">
        <f t="shared" si="8"/>
        <v>84000</v>
      </c>
      <c r="BV49" s="173">
        <v>988779.30784283916</v>
      </c>
      <c r="CB49" s="188" t="s">
        <v>100</v>
      </c>
      <c r="CC49" s="187">
        <v>0</v>
      </c>
    </row>
    <row r="50" spans="1:81">
      <c r="A50" s="11">
        <v>44</v>
      </c>
      <c r="C50" s="27">
        <v>0.9218746887294047</v>
      </c>
      <c r="D50" s="27">
        <v>7.8125311270595299E-2</v>
      </c>
      <c r="E50" s="27">
        <v>0</v>
      </c>
      <c r="F50" s="27">
        <v>0.85866180102453249</v>
      </c>
      <c r="G50" s="27">
        <v>0.14133819897546751</v>
      </c>
      <c r="H50" s="27">
        <v>0</v>
      </c>
      <c r="I50" s="27">
        <v>0.74296884615077774</v>
      </c>
      <c r="J50" s="27">
        <v>0.25703115384922226</v>
      </c>
      <c r="K50" s="27">
        <v>0</v>
      </c>
      <c r="L50" s="27">
        <v>0.13717951212175411</v>
      </c>
      <c r="M50" s="27">
        <v>0.52003949798169757</v>
      </c>
      <c r="N50" s="27">
        <v>0.34278098989654832</v>
      </c>
      <c r="O50" s="27">
        <v>-11.355749297335148</v>
      </c>
      <c r="P50" s="27">
        <v>3.436455226794017E-2</v>
      </c>
      <c r="Q50" s="27">
        <v>4.9554469369087441E-5</v>
      </c>
      <c r="R50" s="27">
        <v>1.1022512805656444</v>
      </c>
      <c r="S50" s="154"/>
      <c r="T50">
        <v>1.066364442846276</v>
      </c>
      <c r="U50">
        <v>2.2815713032783833</v>
      </c>
      <c r="V50">
        <v>3.0054178018654403</v>
      </c>
      <c r="W50">
        <v>1</v>
      </c>
      <c r="Y50" s="2">
        <v>2604.6181389314847</v>
      </c>
      <c r="Z50" s="2">
        <v>1582.7557173783439</v>
      </c>
      <c r="AA50" s="2">
        <v>14.100074070057731</v>
      </c>
      <c r="AB50" s="2">
        <v>2879.598879600876</v>
      </c>
      <c r="AC50" s="2">
        <v>565.47796347810561</v>
      </c>
      <c r="AD50" s="2">
        <v>1518.8292686847528</v>
      </c>
      <c r="AE50" s="2">
        <v>520.63449579511371</v>
      </c>
      <c r="AF50" s="2">
        <v>728.97877383270929</v>
      </c>
      <c r="AG50" s="2">
        <v>120.23974509141978</v>
      </c>
      <c r="AH50" s="2">
        <v>230.6202614575399</v>
      </c>
      <c r="AI50" s="2">
        <v>568985.8991813527</v>
      </c>
      <c r="AJ50" s="2">
        <v>522296.14058649191</v>
      </c>
      <c r="AL50" s="27">
        <v>0.91438136522132596</v>
      </c>
      <c r="AM50" s="27">
        <v>0.91653040263021635</v>
      </c>
      <c r="AN50" s="27">
        <v>0.91160436078472928</v>
      </c>
      <c r="AO50" s="27">
        <v>0.88914121432225124</v>
      </c>
      <c r="AP50" s="27">
        <v>0.80491547219644</v>
      </c>
      <c r="AQ50" s="27">
        <v>0.91438136522132596</v>
      </c>
      <c r="AR50" s="27">
        <v>0.91653040263021635</v>
      </c>
      <c r="AS50" s="27">
        <v>0.91160436078472928</v>
      </c>
      <c r="AT50" s="27">
        <v>0.88914121432225124</v>
      </c>
      <c r="AU50" s="27">
        <v>0.80491547219644</v>
      </c>
      <c r="AW50" s="1">
        <v>13.709441017688409</v>
      </c>
      <c r="AX50" s="1">
        <v>15.419639340496159</v>
      </c>
      <c r="AY50" s="2">
        <v>2262189.9206807874</v>
      </c>
      <c r="AZ50" s="1">
        <v>15.624851567013739</v>
      </c>
      <c r="BA50" s="1">
        <v>17.380340469006082</v>
      </c>
      <c r="BB50" s="2">
        <v>1580716.6429188768</v>
      </c>
      <c r="BC50" s="2">
        <f t="shared" si="5"/>
        <v>-681473.27776191058</v>
      </c>
      <c r="BD50" s="292">
        <f t="shared" si="6"/>
        <v>1.9154105493253297</v>
      </c>
      <c r="BF50" s="170">
        <f t="shared" si="1"/>
        <v>-68679.357850641944</v>
      </c>
      <c r="BG50" s="2">
        <f t="shared" si="2"/>
        <v>919259.60780332144</v>
      </c>
      <c r="BI50">
        <f t="shared" si="3"/>
        <v>0</v>
      </c>
      <c r="BJ50" s="95">
        <f t="shared" si="4"/>
        <v>1</v>
      </c>
      <c r="BL50" s="174">
        <v>86000</v>
      </c>
      <c r="BM50">
        <v>1E-3</v>
      </c>
      <c r="BN50" s="95">
        <v>0.999</v>
      </c>
      <c r="BP50" s="217">
        <f t="shared" si="7"/>
        <v>919259.60780332144</v>
      </c>
      <c r="BU50" s="174">
        <f t="shared" si="8"/>
        <v>86000</v>
      </c>
      <c r="BV50" s="173">
        <v>821630.88770495763</v>
      </c>
      <c r="CB50" s="188" t="s">
        <v>101</v>
      </c>
      <c r="CC50" s="187">
        <v>0</v>
      </c>
    </row>
    <row r="51" spans="1:81">
      <c r="A51" s="11">
        <v>45</v>
      </c>
      <c r="C51" s="27">
        <v>0.9271343996615945</v>
      </c>
      <c r="D51" s="27">
        <v>7.2865600338405528E-2</v>
      </c>
      <c r="E51" s="27">
        <v>0</v>
      </c>
      <c r="F51" s="27">
        <v>0.85676270979350666</v>
      </c>
      <c r="G51" s="27">
        <v>0.14323729020649334</v>
      </c>
      <c r="H51" s="27">
        <v>0</v>
      </c>
      <c r="I51" s="27">
        <v>0.76168588597218367</v>
      </c>
      <c r="J51" s="27">
        <v>0.23831411402781635</v>
      </c>
      <c r="K51" s="27">
        <v>0</v>
      </c>
      <c r="L51" s="27">
        <v>6.1817442866071937E-2</v>
      </c>
      <c r="M51" s="27">
        <v>0.51144702454711799</v>
      </c>
      <c r="N51" s="27">
        <v>0.42673553258681007</v>
      </c>
      <c r="O51" s="27">
        <v>-11.1540517507978</v>
      </c>
      <c r="P51" s="27">
        <v>3.3758709406141417E-2</v>
      </c>
      <c r="Q51" s="27">
        <v>5.9105536618035683E-5</v>
      </c>
      <c r="R51" s="27">
        <v>1.0781163156318776</v>
      </c>
      <c r="S51" s="154"/>
      <c r="T51">
        <v>1.0489739039351469</v>
      </c>
      <c r="U51">
        <v>2.2542720841332637</v>
      </c>
      <c r="V51">
        <v>3.0931285521536136</v>
      </c>
      <c r="W51">
        <v>1</v>
      </c>
      <c r="Y51" s="2">
        <v>1135.7413614924558</v>
      </c>
      <c r="Z51" s="2">
        <v>3870.7216721777559</v>
      </c>
      <c r="AA51" s="2">
        <v>1338.3026269292668</v>
      </c>
      <c r="AB51" s="2">
        <v>2745.6299852461934</v>
      </c>
      <c r="AC51" s="2">
        <v>3.6948632377862709</v>
      </c>
      <c r="AD51" s="2">
        <v>760.78779146316083</v>
      </c>
      <c r="AE51" s="2">
        <v>531.83648892777842</v>
      </c>
      <c r="AF51" s="2">
        <v>980.63044914484306</v>
      </c>
      <c r="AG51" s="2">
        <v>139.44351448139435</v>
      </c>
      <c r="AH51" s="2">
        <v>209.32015444445875</v>
      </c>
      <c r="AI51" s="2">
        <v>490147.12144638808</v>
      </c>
      <c r="AJ51" s="2">
        <v>451057.85770221031</v>
      </c>
      <c r="AL51" s="27">
        <v>0.91899409800502263</v>
      </c>
      <c r="AM51" s="27">
        <v>0.92085116606657569</v>
      </c>
      <c r="AN51" s="27">
        <v>0.90253841751920338</v>
      </c>
      <c r="AO51" s="27">
        <v>0.85459326071610198</v>
      </c>
      <c r="AP51" s="27">
        <v>0.71915661385054097</v>
      </c>
      <c r="AQ51" s="27">
        <v>0.91899409800502263</v>
      </c>
      <c r="AR51" s="27">
        <v>0.92085116606657569</v>
      </c>
      <c r="AS51" s="27">
        <v>0.90253841751920338</v>
      </c>
      <c r="AT51" s="27">
        <v>0.85459326071610198</v>
      </c>
      <c r="AU51" s="27">
        <v>0.71915661385054097</v>
      </c>
      <c r="AW51" s="1">
        <v>13.492741083766939</v>
      </c>
      <c r="AX51" s="1">
        <v>15.396818233613715</v>
      </c>
      <c r="AY51" s="2">
        <v>1762186.1445584923</v>
      </c>
      <c r="AZ51" s="1">
        <v>15.494757692478215</v>
      </c>
      <c r="BA51" s="1">
        <v>17.370947261685512</v>
      </c>
      <c r="BB51" s="2">
        <v>1243339.993281685</v>
      </c>
      <c r="BC51" s="2">
        <f t="shared" si="5"/>
        <v>-518846.1512768073</v>
      </c>
      <c r="BD51" s="292">
        <f t="shared" si="6"/>
        <v>2.0020166087112763</v>
      </c>
      <c r="BF51" s="170">
        <f t="shared" si="1"/>
        <v>396652.42884421791</v>
      </c>
      <c r="BG51" s="2">
        <f t="shared" si="2"/>
        <v>1235821.2375148295</v>
      </c>
      <c r="BI51">
        <f t="shared" si="3"/>
        <v>0</v>
      </c>
      <c r="BJ51" s="95">
        <f t="shared" si="4"/>
        <v>1</v>
      </c>
      <c r="BL51" s="174">
        <v>88000</v>
      </c>
      <c r="BM51">
        <v>1E-3</v>
      </c>
      <c r="BN51" s="95">
        <v>0.999</v>
      </c>
      <c r="BP51" s="217">
        <f t="shared" si="7"/>
        <v>1235821.2375148295</v>
      </c>
      <c r="BU51" s="174">
        <f t="shared" si="8"/>
        <v>88000</v>
      </c>
      <c r="BV51" s="173">
        <v>654482.46756776248</v>
      </c>
      <c r="CB51" s="188" t="s">
        <v>102</v>
      </c>
      <c r="CC51" s="187">
        <v>0</v>
      </c>
    </row>
    <row r="52" spans="1:81">
      <c r="A52" s="11">
        <v>46</v>
      </c>
      <c r="C52" s="27">
        <v>0.9245518360457804</v>
      </c>
      <c r="D52" s="27">
        <v>7.5448163954219591E-2</v>
      </c>
      <c r="E52" s="27">
        <v>0</v>
      </c>
      <c r="F52" s="27">
        <v>0.85525092068462849</v>
      </c>
      <c r="G52" s="27">
        <v>0.14474907931537151</v>
      </c>
      <c r="H52" s="27">
        <v>0</v>
      </c>
      <c r="I52" s="27">
        <v>0.75733453050457022</v>
      </c>
      <c r="J52" s="27">
        <v>0.24266546949542975</v>
      </c>
      <c r="K52" s="27">
        <v>0</v>
      </c>
      <c r="L52" s="27">
        <v>8.5538217722641641E-2</v>
      </c>
      <c r="M52" s="27">
        <v>0.56564722331721951</v>
      </c>
      <c r="N52" s="27">
        <v>0.34881455896013885</v>
      </c>
      <c r="O52" s="27">
        <v>-11.433761036006908</v>
      </c>
      <c r="P52" s="27">
        <v>4.0153808007292895E-2</v>
      </c>
      <c r="Q52" s="27">
        <v>5.8452207718392592E-5</v>
      </c>
      <c r="R52" s="27">
        <v>1.0796909534809707</v>
      </c>
      <c r="S52" s="154"/>
      <c r="T52">
        <v>0.86742466958957209</v>
      </c>
      <c r="U52">
        <v>2.2705781014779278</v>
      </c>
      <c r="V52">
        <v>3.2927438348795603</v>
      </c>
      <c r="W52">
        <v>1</v>
      </c>
      <c r="Y52" s="2">
        <v>83.922486987155864</v>
      </c>
      <c r="Z52" s="2">
        <v>2640.0356504278666</v>
      </c>
      <c r="AA52" s="2">
        <v>722.00865162616651</v>
      </c>
      <c r="AB52" s="2">
        <v>1370.1778303678875</v>
      </c>
      <c r="AC52" s="2">
        <v>734.8199160868221</v>
      </c>
      <c r="AD52" s="2">
        <v>727.83962433884733</v>
      </c>
      <c r="AE52" s="2">
        <v>554.79603399407279</v>
      </c>
      <c r="AF52" s="2">
        <v>1130.8488601651213</v>
      </c>
      <c r="AG52" s="2">
        <v>89.4402670952568</v>
      </c>
      <c r="AH52" s="2">
        <v>543.59310462370991</v>
      </c>
      <c r="AI52" s="2">
        <v>469616.01556705596</v>
      </c>
      <c r="AJ52" s="2">
        <v>438535.74740063021</v>
      </c>
      <c r="AL52" s="27">
        <v>0.92366739921877417</v>
      </c>
      <c r="AM52" s="27">
        <v>0.91762074749475264</v>
      </c>
      <c r="AN52" s="27">
        <v>0.89981783453945841</v>
      </c>
      <c r="AO52" s="27">
        <v>0.85681259831323808</v>
      </c>
      <c r="AP52" s="27">
        <v>0.70850003293466757</v>
      </c>
      <c r="AQ52" s="27">
        <v>0.92366739921877417</v>
      </c>
      <c r="AR52" s="27">
        <v>0.91762074749475264</v>
      </c>
      <c r="AS52" s="27">
        <v>0.89981783453945841</v>
      </c>
      <c r="AT52" s="27">
        <v>0.85681259831323808</v>
      </c>
      <c r="AU52" s="27">
        <v>0.70850003293466757</v>
      </c>
      <c r="AW52" s="1">
        <v>14.191475990468408</v>
      </c>
      <c r="AX52" s="1">
        <v>16.18406411109866</v>
      </c>
      <c r="AY52" s="2">
        <v>1783758.7240510965</v>
      </c>
      <c r="AZ52" s="1">
        <v>15.599942055137832</v>
      </c>
      <c r="BA52" s="1">
        <v>17.558951391181388</v>
      </c>
      <c r="BB52" s="2">
        <v>1363569.7908197124</v>
      </c>
      <c r="BC52" s="2">
        <f t="shared" si="5"/>
        <v>-420188.93323138403</v>
      </c>
      <c r="BD52" s="292">
        <f t="shared" si="6"/>
        <v>1.4084660646694243</v>
      </c>
      <c r="BF52" s="170">
        <f t="shared" si="1"/>
        <v>486877.43442384899</v>
      </c>
      <c r="BG52" s="2">
        <f t="shared" si="2"/>
        <v>1132420.938002341</v>
      </c>
      <c r="BI52">
        <f t="shared" si="3"/>
        <v>0</v>
      </c>
      <c r="BJ52" s="95">
        <f t="shared" si="4"/>
        <v>1</v>
      </c>
      <c r="BL52" s="174">
        <v>90000</v>
      </c>
      <c r="BM52">
        <v>1E-3</v>
      </c>
      <c r="BN52" s="95">
        <v>0.999</v>
      </c>
      <c r="BP52" s="217">
        <f t="shared" si="7"/>
        <v>1132420.938002341</v>
      </c>
      <c r="BU52" s="174">
        <f t="shared" si="8"/>
        <v>90000</v>
      </c>
      <c r="BV52" s="173">
        <v>487334.04743262666</v>
      </c>
      <c r="CB52" s="188" t="s">
        <v>103</v>
      </c>
      <c r="CC52" s="187">
        <v>0</v>
      </c>
    </row>
    <row r="53" spans="1:81">
      <c r="A53" s="11">
        <v>47</v>
      </c>
      <c r="C53" s="27">
        <v>0.92632935175062592</v>
      </c>
      <c r="D53" s="27">
        <v>7.3670648249374027E-2</v>
      </c>
      <c r="E53" s="27">
        <v>0</v>
      </c>
      <c r="F53" s="27">
        <v>0.85580245415403988</v>
      </c>
      <c r="G53" s="27">
        <v>0.14419754584596012</v>
      </c>
      <c r="H53" s="27">
        <v>0</v>
      </c>
      <c r="I53" s="27">
        <v>0.74596543756253086</v>
      </c>
      <c r="J53" s="27">
        <v>0.25403456243746914</v>
      </c>
      <c r="K53" s="27">
        <v>0</v>
      </c>
      <c r="L53" s="27">
        <v>0.16801450306491883</v>
      </c>
      <c r="M53" s="27">
        <v>0.49210264528381997</v>
      </c>
      <c r="N53" s="27">
        <v>0.3398828516512612</v>
      </c>
      <c r="O53" s="27">
        <v>-11.026727797262355</v>
      </c>
      <c r="P53" s="27">
        <v>3.5949710628936246E-2</v>
      </c>
      <c r="Q53" s="27">
        <v>7.3601882813827861E-5</v>
      </c>
      <c r="R53" s="27">
        <v>1.0452208959414095</v>
      </c>
      <c r="S53" s="154"/>
      <c r="T53">
        <v>1.0326786241273098</v>
      </c>
      <c r="U53">
        <v>2.2410264114860863</v>
      </c>
      <c r="V53">
        <v>3.2887446449371596</v>
      </c>
      <c r="W53">
        <v>1</v>
      </c>
      <c r="Y53" s="2">
        <v>230.57190879037725</v>
      </c>
      <c r="Z53" s="2">
        <v>0.25157808550976529</v>
      </c>
      <c r="AA53" s="2">
        <v>654.33605948579088</v>
      </c>
      <c r="AB53" s="2">
        <v>17253.951827631114</v>
      </c>
      <c r="AC53" s="2">
        <v>2326.56183381645</v>
      </c>
      <c r="AD53" s="2">
        <v>988.98872646112864</v>
      </c>
      <c r="AE53" s="2">
        <v>594.63548739429928</v>
      </c>
      <c r="AF53" s="2">
        <v>1232.2365536093453</v>
      </c>
      <c r="AG53" s="2">
        <v>102.9580813090229</v>
      </c>
      <c r="AH53" s="2">
        <v>244.10960305496772</v>
      </c>
      <c r="AI53" s="2">
        <v>586789.48919449351</v>
      </c>
      <c r="AJ53" s="2">
        <v>555894.68183366919</v>
      </c>
      <c r="AL53" s="27">
        <v>0.91558678456721976</v>
      </c>
      <c r="AM53" s="27">
        <v>0.91464184957308359</v>
      </c>
      <c r="AN53" s="27">
        <v>0.90941542483392013</v>
      </c>
      <c r="AO53" s="27">
        <v>0.87436169341710468</v>
      </c>
      <c r="AP53" s="27">
        <v>0.76484477899830128</v>
      </c>
      <c r="AQ53" s="27">
        <v>0.91558678456721976</v>
      </c>
      <c r="AR53" s="27">
        <v>0.91464184957308359</v>
      </c>
      <c r="AS53" s="27">
        <v>0.90941542483392013</v>
      </c>
      <c r="AT53" s="27">
        <v>0.87436169341710468</v>
      </c>
      <c r="AU53" s="27">
        <v>0.76484477899830128</v>
      </c>
      <c r="AW53" s="1">
        <v>13.896818125619088</v>
      </c>
      <c r="AX53" s="1">
        <v>15.77830453648534</v>
      </c>
      <c r="AY53" s="2">
        <v>2382447.7074892726</v>
      </c>
      <c r="AZ53" s="1">
        <v>15.697705339767914</v>
      </c>
      <c r="BA53" s="1">
        <v>17.574391201164744</v>
      </c>
      <c r="BB53" s="2">
        <v>1948316.9328992886</v>
      </c>
      <c r="BC53" s="2">
        <f t="shared" si="5"/>
        <v>-434130.77458998398</v>
      </c>
      <c r="BD53" s="292">
        <f t="shared" si="6"/>
        <v>1.8008872141488261</v>
      </c>
      <c r="BF53" s="170">
        <f t="shared" si="1"/>
        <v>-158956.8073902186</v>
      </c>
      <c r="BG53" s="2">
        <f t="shared" si="2"/>
        <v>563315.92146357778</v>
      </c>
      <c r="BI53">
        <f t="shared" si="3"/>
        <v>0</v>
      </c>
      <c r="BJ53" s="95">
        <f t="shared" si="4"/>
        <v>1</v>
      </c>
      <c r="BL53" s="174">
        <v>92000</v>
      </c>
      <c r="BM53">
        <v>1E-3</v>
      </c>
      <c r="BN53" s="95">
        <v>0.999</v>
      </c>
      <c r="BP53" s="217">
        <f t="shared" si="7"/>
        <v>563315.92146357778</v>
      </c>
      <c r="BU53" s="174">
        <f t="shared" si="8"/>
        <v>92000</v>
      </c>
      <c r="BV53" s="173">
        <v>320185.62729543156</v>
      </c>
    </row>
    <row r="54" spans="1:81">
      <c r="A54" s="11">
        <v>48</v>
      </c>
      <c r="C54" s="27">
        <v>0.92018479719573476</v>
      </c>
      <c r="D54" s="27">
        <v>7.981520280426524E-2</v>
      </c>
      <c r="E54" s="27">
        <v>0</v>
      </c>
      <c r="F54" s="27">
        <v>0.85199054494761584</v>
      </c>
      <c r="G54" s="27">
        <v>0.14800945505238416</v>
      </c>
      <c r="H54" s="27">
        <v>0</v>
      </c>
      <c r="I54" s="27">
        <v>0.75200111411725379</v>
      </c>
      <c r="J54" s="27">
        <v>0.24799888588274627</v>
      </c>
      <c r="K54" s="27">
        <v>0</v>
      </c>
      <c r="L54" s="27">
        <v>8.8595789591922824E-2</v>
      </c>
      <c r="M54" s="27">
        <v>0.52855384962996432</v>
      </c>
      <c r="N54" s="27">
        <v>0.38285036077811285</v>
      </c>
      <c r="O54" s="27">
        <v>-11.441871587994282</v>
      </c>
      <c r="P54" s="27">
        <v>3.5623718019398377E-2</v>
      </c>
      <c r="Q54" s="27">
        <v>4.7934482317055468E-5</v>
      </c>
      <c r="R54" s="27">
        <v>1.1000699500313575</v>
      </c>
      <c r="S54" s="154"/>
      <c r="T54">
        <v>1.0423695675018105</v>
      </c>
      <c r="U54">
        <v>2.2754152060602606</v>
      </c>
      <c r="V54">
        <v>3.2020475601627187</v>
      </c>
      <c r="W54">
        <v>1</v>
      </c>
      <c r="Y54" s="2">
        <v>861.54491578531702</v>
      </c>
      <c r="Z54" s="2">
        <v>176.52780612011193</v>
      </c>
      <c r="AA54" s="2">
        <v>2708.4161203631656</v>
      </c>
      <c r="AB54" s="2">
        <v>212.70560597472496</v>
      </c>
      <c r="AC54" s="2">
        <v>268.17962516437643</v>
      </c>
      <c r="AD54" s="2">
        <v>1423.2293133479268</v>
      </c>
      <c r="AE54" s="2">
        <v>523.28697436458935</v>
      </c>
      <c r="AF54" s="2">
        <v>1137.0303577948814</v>
      </c>
      <c r="AG54" s="2">
        <v>104.22010790335445</v>
      </c>
      <c r="AH54" s="2">
        <v>546.46671560026152</v>
      </c>
      <c r="AI54" s="2">
        <v>392942.14200978569</v>
      </c>
      <c r="AJ54" s="2">
        <v>362218.65523881523</v>
      </c>
      <c r="AL54" s="27">
        <v>0.91475557839376098</v>
      </c>
      <c r="AM54" s="27">
        <v>0.91503078836460972</v>
      </c>
      <c r="AN54" s="27">
        <v>0.91763478040003599</v>
      </c>
      <c r="AO54" s="27">
        <v>0.86209717860973378</v>
      </c>
      <c r="AP54" s="27">
        <v>0.6880935776151974</v>
      </c>
      <c r="AQ54" s="27">
        <v>0.91475557839376098</v>
      </c>
      <c r="AR54" s="27">
        <v>0.91503078836460972</v>
      </c>
      <c r="AS54" s="27">
        <v>0.91763478040003599</v>
      </c>
      <c r="AT54" s="27">
        <v>0.86209717860973378</v>
      </c>
      <c r="AU54" s="27">
        <v>0.6880935776151974</v>
      </c>
      <c r="AW54" s="1">
        <v>13.175802347615111</v>
      </c>
      <c r="AX54" s="1">
        <v>15.280878951063379</v>
      </c>
      <c r="AY54" s="2">
        <v>1538031.8559533756</v>
      </c>
      <c r="AZ54" s="1">
        <v>15.218440403754002</v>
      </c>
      <c r="BA54" s="1">
        <v>17.243184489944074</v>
      </c>
      <c r="BB54" s="2">
        <v>1139198.5138353682</v>
      </c>
      <c r="BC54" s="2">
        <f t="shared" si="5"/>
        <v>-398833.34211800736</v>
      </c>
      <c r="BD54" s="292">
        <f t="shared" si="6"/>
        <v>2.042638056138891</v>
      </c>
      <c r="BF54" s="170">
        <f t="shared" si="1"/>
        <v>570096.51966504217</v>
      </c>
      <c r="BG54" s="2">
        <f t="shared" si="2"/>
        <v>1295751.9507652721</v>
      </c>
      <c r="BI54">
        <f t="shared" si="3"/>
        <v>0</v>
      </c>
      <c r="BJ54" s="95">
        <f t="shared" si="4"/>
        <v>1</v>
      </c>
      <c r="BL54" s="174">
        <v>94000</v>
      </c>
      <c r="BM54">
        <v>1E-3</v>
      </c>
      <c r="BN54" s="95">
        <v>0.999</v>
      </c>
      <c r="BP54" s="217">
        <f t="shared" si="7"/>
        <v>1295751.9507652721</v>
      </c>
      <c r="BU54" s="174">
        <f t="shared" si="8"/>
        <v>94000</v>
      </c>
      <c r="BV54" s="173">
        <v>153037.20715909448</v>
      </c>
      <c r="CB54" s="13"/>
      <c r="CC54" s="220"/>
    </row>
    <row r="55" spans="1:81">
      <c r="A55" s="11">
        <v>49</v>
      </c>
      <c r="C55" s="27">
        <v>0.92231951228656361</v>
      </c>
      <c r="D55" s="27">
        <v>7.7680487713436386E-2</v>
      </c>
      <c r="E55" s="27">
        <v>0</v>
      </c>
      <c r="F55" s="27">
        <v>0.85178103490232049</v>
      </c>
      <c r="G55" s="27">
        <v>0.14821896509767951</v>
      </c>
      <c r="H55" s="27">
        <v>0</v>
      </c>
      <c r="I55" s="27">
        <v>0.75435028517439395</v>
      </c>
      <c r="J55" s="27">
        <v>0.24564971482560605</v>
      </c>
      <c r="K55" s="27">
        <v>0</v>
      </c>
      <c r="L55" s="27">
        <v>0.2123021801853382</v>
      </c>
      <c r="M55" s="27">
        <v>0.43552119687975716</v>
      </c>
      <c r="N55" s="27">
        <v>0.35217662293490459</v>
      </c>
      <c r="O55" s="27">
        <v>-11.142914005540252</v>
      </c>
      <c r="P55" s="27">
        <v>3.5254472982317701E-2</v>
      </c>
      <c r="Q55" s="27">
        <v>6.3642686569142899E-5</v>
      </c>
      <c r="R55" s="27">
        <v>1.069512570556699</v>
      </c>
      <c r="S55" s="154"/>
      <c r="T55">
        <v>1.0768880713962505</v>
      </c>
      <c r="U55">
        <v>2.2400892100491538</v>
      </c>
      <c r="V55">
        <v>2.8613826180762234</v>
      </c>
      <c r="W55">
        <v>1</v>
      </c>
      <c r="Y55" s="2">
        <v>859.473090067915</v>
      </c>
      <c r="Z55" s="2">
        <v>4019.0734493218156</v>
      </c>
      <c r="AA55" s="2">
        <v>364.56799420782914</v>
      </c>
      <c r="AB55" s="2">
        <v>6950.0017989088956</v>
      </c>
      <c r="AC55" s="2">
        <v>243.39422663489972</v>
      </c>
      <c r="AD55" s="2">
        <v>200.84033448873186</v>
      </c>
      <c r="AE55" s="2">
        <v>595.29699257045536</v>
      </c>
      <c r="AF55" s="2">
        <v>780.83929989854892</v>
      </c>
      <c r="AG55" s="2">
        <v>95.399293852060026</v>
      </c>
      <c r="AH55" s="2">
        <v>481.16509353239258</v>
      </c>
      <c r="AI55" s="2">
        <v>373723.45315719926</v>
      </c>
      <c r="AJ55" s="2">
        <v>345689.35672434437</v>
      </c>
      <c r="AL55" s="27">
        <v>0.90779868291805232</v>
      </c>
      <c r="AM55" s="27">
        <v>0.91778713657893052</v>
      </c>
      <c r="AN55" s="27">
        <v>0.90780104213097701</v>
      </c>
      <c r="AO55" s="27">
        <v>0.88092358898004164</v>
      </c>
      <c r="AP55" s="27">
        <v>0.58901508151417614</v>
      </c>
      <c r="AQ55" s="27">
        <v>0.90779868291805232</v>
      </c>
      <c r="AR55" s="27">
        <v>0.91778713657893052</v>
      </c>
      <c r="AS55" s="27">
        <v>0.90780104213097701</v>
      </c>
      <c r="AT55" s="27">
        <v>0.88092358898004164</v>
      </c>
      <c r="AU55" s="27">
        <v>0.58901508151417614</v>
      </c>
      <c r="AW55" s="1">
        <v>12.83356175403477</v>
      </c>
      <c r="AX55" s="1">
        <v>15.261759406388261</v>
      </c>
      <c r="AY55" s="2">
        <v>1434958.5502331012</v>
      </c>
      <c r="AZ55" s="1">
        <v>14.983541192052227</v>
      </c>
      <c r="BA55" s="1">
        <v>17.256503931251913</v>
      </c>
      <c r="BB55" s="2">
        <v>1072876.8578513523</v>
      </c>
      <c r="BC55" s="2">
        <f t="shared" si="5"/>
        <v>-362081.69238174893</v>
      </c>
      <c r="BD55" s="292">
        <f t="shared" si="6"/>
        <v>2.1499794380174571</v>
      </c>
      <c r="BF55" s="170">
        <f t="shared" si="1"/>
        <v>618411.33041246189</v>
      </c>
      <c r="BG55" s="2">
        <f t="shared" si="2"/>
        <v>1324489.7328770042</v>
      </c>
      <c r="BI55">
        <f t="shared" si="3"/>
        <v>0</v>
      </c>
      <c r="BJ55" s="95">
        <f t="shared" si="4"/>
        <v>1</v>
      </c>
      <c r="BL55" s="174">
        <v>96000</v>
      </c>
      <c r="BM55">
        <v>0</v>
      </c>
      <c r="BN55" s="95">
        <v>1</v>
      </c>
      <c r="BP55" s="217">
        <f t="shared" si="7"/>
        <v>1324489.7328770042</v>
      </c>
      <c r="BU55" s="174">
        <f t="shared" si="8"/>
        <v>96000</v>
      </c>
      <c r="BV55" s="173">
        <v>0</v>
      </c>
    </row>
    <row r="56" spans="1:81">
      <c r="A56" s="11">
        <v>50</v>
      </c>
      <c r="C56" s="27">
        <v>0.92172078946134361</v>
      </c>
      <c r="D56" s="27">
        <v>7.8279210538656385E-2</v>
      </c>
      <c r="E56" s="27">
        <v>0</v>
      </c>
      <c r="F56" s="27">
        <v>0.86486744713649533</v>
      </c>
      <c r="G56" s="27">
        <v>0.13513255286350465</v>
      </c>
      <c r="H56" s="27">
        <v>0</v>
      </c>
      <c r="I56" s="27">
        <v>0.74383659718871264</v>
      </c>
      <c r="J56" s="27">
        <v>0.25616340281128736</v>
      </c>
      <c r="K56" s="27">
        <v>0</v>
      </c>
      <c r="L56" s="27">
        <v>0.12355538462485383</v>
      </c>
      <c r="M56" s="27">
        <v>0.47099554055045045</v>
      </c>
      <c r="N56" s="27">
        <v>0.40544907482469572</v>
      </c>
      <c r="O56" s="27">
        <v>-11.232724643125085</v>
      </c>
      <c r="P56" s="27">
        <v>3.3778930358393008E-2</v>
      </c>
      <c r="Q56" s="27">
        <v>5.4680162839248079E-5</v>
      </c>
      <c r="R56" s="27">
        <v>1.0849341627293152</v>
      </c>
      <c r="S56" s="154"/>
      <c r="T56">
        <v>0.95165635290164152</v>
      </c>
      <c r="U56">
        <v>2.2738306399917168</v>
      </c>
      <c r="V56">
        <v>3.0571413196047641</v>
      </c>
      <c r="W56">
        <v>1</v>
      </c>
      <c r="Y56" s="2">
        <v>44.250539400862429</v>
      </c>
      <c r="Z56" s="2">
        <v>10253.122533924943</v>
      </c>
      <c r="AA56" s="2">
        <v>263.60392722175391</v>
      </c>
      <c r="AB56" s="2">
        <v>1770.8958904499316</v>
      </c>
      <c r="AC56" s="2">
        <v>95.251859953122036</v>
      </c>
      <c r="AD56" s="2">
        <v>153.07709682621416</v>
      </c>
      <c r="AE56" s="2">
        <v>547.15873903735121</v>
      </c>
      <c r="AF56" s="2">
        <v>857.33100441188515</v>
      </c>
      <c r="AG56" s="2">
        <v>113.84290014778165</v>
      </c>
      <c r="AH56" s="2">
        <v>396.48757364174861</v>
      </c>
      <c r="AI56" s="2">
        <v>561827.84749938222</v>
      </c>
      <c r="AJ56" s="2">
        <v>535678.14818796481</v>
      </c>
      <c r="AL56" s="27">
        <v>0.91485395652899459</v>
      </c>
      <c r="AM56" s="27">
        <v>0.91662192787209529</v>
      </c>
      <c r="AN56" s="27">
        <v>0.90798220994651146</v>
      </c>
      <c r="AO56" s="27">
        <v>0.86741299946004757</v>
      </c>
      <c r="AP56" s="27">
        <v>0.6857515902948188</v>
      </c>
      <c r="AQ56" s="27">
        <v>0.91485395652899459</v>
      </c>
      <c r="AR56" s="27">
        <v>0.91662192787209529</v>
      </c>
      <c r="AS56" s="27">
        <v>0.90798220994651146</v>
      </c>
      <c r="AT56" s="27">
        <v>0.86741299946004757</v>
      </c>
      <c r="AU56" s="27">
        <v>0.6857515902948188</v>
      </c>
      <c r="AW56" s="1">
        <v>13.465258886709256</v>
      </c>
      <c r="AX56" s="1">
        <v>15.492993612336818</v>
      </c>
      <c r="AY56" s="2">
        <v>2091745.0527575235</v>
      </c>
      <c r="AZ56" s="1">
        <v>15.255822934143989</v>
      </c>
      <c r="BA56" s="1">
        <v>17.238159610666891</v>
      </c>
      <c r="BB56" s="2">
        <v>1437153.8430502738</v>
      </c>
      <c r="BC56" s="2">
        <f t="shared" si="5"/>
        <v>-654591.20970724965</v>
      </c>
      <c r="BD56" s="292">
        <f t="shared" si="6"/>
        <v>1.7905640474347333</v>
      </c>
      <c r="BF56" s="170">
        <f t="shared" si="1"/>
        <v>62696.369115957525</v>
      </c>
      <c r="BG56" s="2">
        <f t="shared" si="2"/>
        <v>1003777.8264127646</v>
      </c>
      <c r="BI56">
        <f t="shared" si="3"/>
        <v>0</v>
      </c>
      <c r="BJ56" s="95">
        <f t="shared" si="4"/>
        <v>1</v>
      </c>
      <c r="BL56" s="174">
        <v>98000</v>
      </c>
      <c r="BM56">
        <v>0</v>
      </c>
      <c r="BN56" s="95">
        <v>1</v>
      </c>
      <c r="BP56" s="217">
        <f t="shared" si="7"/>
        <v>1003777.8264127646</v>
      </c>
      <c r="BU56" s="174">
        <f t="shared" si="8"/>
        <v>98000</v>
      </c>
      <c r="BV56" s="173">
        <v>0</v>
      </c>
    </row>
    <row r="57" spans="1:81">
      <c r="A57" s="11">
        <v>51</v>
      </c>
      <c r="C57" s="27">
        <v>0.92430107327940803</v>
      </c>
      <c r="D57" s="27">
        <v>7.5698926720592002E-2</v>
      </c>
      <c r="E57" s="27">
        <v>0</v>
      </c>
      <c r="F57" s="27">
        <v>0.85808725253021989</v>
      </c>
      <c r="G57" s="27">
        <v>0.14191274746978008</v>
      </c>
      <c r="H57" s="27">
        <v>0</v>
      </c>
      <c r="I57" s="27">
        <v>0.75402426940471134</v>
      </c>
      <c r="J57" s="27">
        <v>0.24597573059528866</v>
      </c>
      <c r="K57" s="27">
        <v>0</v>
      </c>
      <c r="L57" s="27">
        <v>7.5362222399585732E-2</v>
      </c>
      <c r="M57" s="27">
        <v>0.55088281349842838</v>
      </c>
      <c r="N57" s="27">
        <v>0.37375496410198589</v>
      </c>
      <c r="O57" s="27">
        <v>-11.280883924949784</v>
      </c>
      <c r="P57" s="27">
        <v>3.7489434787262951E-2</v>
      </c>
      <c r="Q57" s="27">
        <v>6.0896937986228979E-5</v>
      </c>
      <c r="R57" s="27">
        <v>1.0694983473263824</v>
      </c>
      <c r="S57" s="154"/>
      <c r="T57">
        <v>1.1488325006799656</v>
      </c>
      <c r="U57">
        <v>2.3426350443704731</v>
      </c>
      <c r="V57">
        <v>2.9620147200602069</v>
      </c>
      <c r="W57">
        <v>1</v>
      </c>
      <c r="Y57" s="2">
        <v>32.060626777728778</v>
      </c>
      <c r="Z57" s="2">
        <v>318.67958170826245</v>
      </c>
      <c r="AA57" s="2">
        <v>3417.1808355000562</v>
      </c>
      <c r="AB57" s="2">
        <v>3951.7458430995757</v>
      </c>
      <c r="AC57" s="2">
        <v>23.399168302439588</v>
      </c>
      <c r="AD57" s="2">
        <v>5.5544290908411371</v>
      </c>
      <c r="AE57" s="2">
        <v>520.40725877471596</v>
      </c>
      <c r="AF57" s="2">
        <v>876.04076007480069</v>
      </c>
      <c r="AG57" s="2">
        <v>85.39807228699587</v>
      </c>
      <c r="AH57" s="2">
        <v>558.56978121192321</v>
      </c>
      <c r="AI57" s="2">
        <v>393214.29526099644</v>
      </c>
      <c r="AJ57" s="2">
        <v>344597.79932317795</v>
      </c>
      <c r="AL57" s="27">
        <v>0.91936604370912089</v>
      </c>
      <c r="AM57" s="27">
        <v>0.91679317524877835</v>
      </c>
      <c r="AN57" s="27">
        <v>0.90862820735827743</v>
      </c>
      <c r="AO57" s="27">
        <v>0.88800793113887666</v>
      </c>
      <c r="AP57" s="27">
        <v>0.69049780122204063</v>
      </c>
      <c r="AQ57" s="27">
        <v>0.91936604370912089</v>
      </c>
      <c r="AR57" s="27">
        <v>0.91679317524877835</v>
      </c>
      <c r="AS57" s="27">
        <v>0.90862820735827743</v>
      </c>
      <c r="AT57" s="27">
        <v>0.88800793113887666</v>
      </c>
      <c r="AU57" s="27">
        <v>0.69049780122204063</v>
      </c>
      <c r="AW57" s="1">
        <v>13.271286814848251</v>
      </c>
      <c r="AX57" s="1">
        <v>15.371974628176979</v>
      </c>
      <c r="AY57" s="2">
        <v>1546585.6620641376</v>
      </c>
      <c r="AZ57" s="1">
        <v>15.520801663522098</v>
      </c>
      <c r="BA57" s="1">
        <v>17.520787469794403</v>
      </c>
      <c r="BB57" s="2">
        <v>1144480.9113640364</v>
      </c>
      <c r="BC57" s="2">
        <f t="shared" si="5"/>
        <v>-402104.75070010126</v>
      </c>
      <c r="BD57" s="292">
        <f t="shared" si="6"/>
        <v>2.2495148486738472</v>
      </c>
      <c r="BF57" s="170">
        <f t="shared" si="1"/>
        <v>576820.2283115827</v>
      </c>
      <c r="BG57" s="2">
        <f t="shared" si="2"/>
        <v>1338847.3547994995</v>
      </c>
      <c r="BI57">
        <f t="shared" si="3"/>
        <v>0</v>
      </c>
      <c r="BJ57" s="95">
        <f t="shared" si="4"/>
        <v>1</v>
      </c>
      <c r="BL57" s="174">
        <v>100000</v>
      </c>
      <c r="BM57">
        <v>0</v>
      </c>
      <c r="BN57" s="95">
        <v>1</v>
      </c>
      <c r="BP57" s="217">
        <f t="shared" si="7"/>
        <v>1338847.3547994995</v>
      </c>
      <c r="BU57" s="174">
        <f t="shared" si="8"/>
        <v>100000</v>
      </c>
      <c r="BV57" s="173">
        <v>0</v>
      </c>
    </row>
    <row r="58" spans="1:81">
      <c r="A58" s="11">
        <v>52</v>
      </c>
      <c r="C58" s="27">
        <v>0.92236783746624318</v>
      </c>
      <c r="D58" s="27">
        <v>7.7632162533756821E-2</v>
      </c>
      <c r="E58" s="27">
        <v>0</v>
      </c>
      <c r="F58" s="27">
        <v>0.857569428787333</v>
      </c>
      <c r="G58" s="27">
        <v>0.142430571212667</v>
      </c>
      <c r="H58" s="27">
        <v>0</v>
      </c>
      <c r="I58" s="27">
        <v>0.74856035764923234</v>
      </c>
      <c r="J58" s="27">
        <v>0.25143964235076766</v>
      </c>
      <c r="K58" s="27">
        <v>0</v>
      </c>
      <c r="L58" s="27">
        <v>8.2444873858524059E-2</v>
      </c>
      <c r="M58" s="27">
        <v>0.53296512997504253</v>
      </c>
      <c r="N58" s="27">
        <v>0.38458999616643341</v>
      </c>
      <c r="O58" s="27">
        <v>-11.195983604800418</v>
      </c>
      <c r="P58" s="27">
        <v>3.5487821764926521E-2</v>
      </c>
      <c r="Q58" s="27">
        <v>6.0947660257514777E-5</v>
      </c>
      <c r="R58" s="27">
        <v>1.0732715134493356</v>
      </c>
      <c r="S58" s="154"/>
      <c r="T58">
        <v>0.93871925364406328</v>
      </c>
      <c r="U58">
        <v>2.216589325883112</v>
      </c>
      <c r="V58">
        <v>3.3749985894572196</v>
      </c>
      <c r="W58">
        <v>1</v>
      </c>
      <c r="Y58" s="2">
        <v>564.70434071622094</v>
      </c>
      <c r="Z58" s="2">
        <v>9057.8986431085614</v>
      </c>
      <c r="AA58" s="2">
        <v>1214.8748116121312</v>
      </c>
      <c r="AB58" s="2">
        <v>43.69200584168847</v>
      </c>
      <c r="AC58" s="2">
        <v>205.48248877863256</v>
      </c>
      <c r="AD58" s="2">
        <v>127.7442439895063</v>
      </c>
      <c r="AE58" s="2">
        <v>515.91867108240285</v>
      </c>
      <c r="AF58" s="2">
        <v>1005.9493510656099</v>
      </c>
      <c r="AG58" s="2">
        <v>112.93482771601131</v>
      </c>
      <c r="AH58" s="2">
        <v>482.52064106108196</v>
      </c>
      <c r="AI58" s="2">
        <v>448297.25238180417</v>
      </c>
      <c r="AJ58" s="2">
        <v>415457.40901883901</v>
      </c>
      <c r="AL58" s="27">
        <v>0.92048692600321691</v>
      </c>
      <c r="AM58" s="27">
        <v>0.91134450391534993</v>
      </c>
      <c r="AN58" s="27">
        <v>0.91880503411352288</v>
      </c>
      <c r="AO58" s="27">
        <v>0.88334135741427067</v>
      </c>
      <c r="AP58" s="27">
        <v>0.65527798051807262</v>
      </c>
      <c r="AQ58" s="27">
        <v>0.92048692600321691</v>
      </c>
      <c r="AR58" s="27">
        <v>0.91134450391534993</v>
      </c>
      <c r="AS58" s="27">
        <v>0.91880503411352288</v>
      </c>
      <c r="AT58" s="27">
        <v>0.88334135741427067</v>
      </c>
      <c r="AU58" s="27">
        <v>0.65527798051807262</v>
      </c>
      <c r="AW58" s="1">
        <v>13.578012641210526</v>
      </c>
      <c r="AX58" s="1">
        <v>15.718993068503691</v>
      </c>
      <c r="AY58" s="2">
        <v>1777160.8710800356</v>
      </c>
      <c r="AZ58" s="1">
        <v>15.306273746834417</v>
      </c>
      <c r="BA58" s="1">
        <v>17.359566788510843</v>
      </c>
      <c r="BB58" s="2">
        <v>1224177.7492706613</v>
      </c>
      <c r="BC58" s="2">
        <f t="shared" si="5"/>
        <v>-552983.12180937431</v>
      </c>
      <c r="BD58" s="292">
        <f t="shared" si="6"/>
        <v>1.7282611056238917</v>
      </c>
      <c r="BF58" s="170">
        <f t="shared" si="1"/>
        <v>395321.15151364845</v>
      </c>
      <c r="BG58" s="2">
        <f t="shared" si="2"/>
        <v>1224826.0502228457</v>
      </c>
      <c r="BI58">
        <f t="shared" si="3"/>
        <v>0</v>
      </c>
      <c r="BJ58" s="95">
        <f t="shared" si="4"/>
        <v>1</v>
      </c>
      <c r="BL58" s="174">
        <v>102000</v>
      </c>
      <c r="BM58">
        <v>0</v>
      </c>
      <c r="BN58" s="95">
        <v>1</v>
      </c>
      <c r="BP58" s="217">
        <f>MAX(BF58,BG58)</f>
        <v>1224826.0502228457</v>
      </c>
      <c r="BU58" s="174">
        <f t="shared" si="8"/>
        <v>102000</v>
      </c>
      <c r="BV58" s="173">
        <v>0</v>
      </c>
    </row>
    <row r="59" spans="1:81">
      <c r="A59" s="11">
        <v>53</v>
      </c>
      <c r="C59" s="27">
        <v>0.92288259988208987</v>
      </c>
      <c r="D59" s="27">
        <v>7.7117400117910129E-2</v>
      </c>
      <c r="E59" s="27">
        <v>0</v>
      </c>
      <c r="F59" s="27">
        <v>0.85749526278538757</v>
      </c>
      <c r="G59" s="27">
        <v>0.14250473721461238</v>
      </c>
      <c r="H59" s="27">
        <v>0</v>
      </c>
      <c r="I59" s="27">
        <v>0.75414123831475444</v>
      </c>
      <c r="J59" s="27">
        <v>0.24585876168524556</v>
      </c>
      <c r="K59" s="27">
        <v>0</v>
      </c>
      <c r="L59" s="27">
        <v>0.17961442812893252</v>
      </c>
      <c r="M59" s="27">
        <v>0.53783657836567289</v>
      </c>
      <c r="N59" s="27">
        <v>0.28254899350539459</v>
      </c>
      <c r="O59" s="27">
        <v>-11.240211798015604</v>
      </c>
      <c r="P59" s="27">
        <v>3.8160329855827742E-2</v>
      </c>
      <c r="Q59" s="27">
        <v>6.5237379762433901E-5</v>
      </c>
      <c r="R59" s="27">
        <v>1.0563132242506468</v>
      </c>
      <c r="S59" s="154"/>
      <c r="T59">
        <v>0.98452748530009926</v>
      </c>
      <c r="U59">
        <v>2.2598267513069565</v>
      </c>
      <c r="V59">
        <v>2.8301937055363786</v>
      </c>
      <c r="W59">
        <v>1</v>
      </c>
      <c r="Y59" s="2">
        <v>746.33294519640435</v>
      </c>
      <c r="Z59" s="2">
        <v>3941.0562533597727</v>
      </c>
      <c r="AA59" s="2">
        <v>1206.3424724542735</v>
      </c>
      <c r="AB59" s="2">
        <v>2585.5807294840311</v>
      </c>
      <c r="AC59" s="2">
        <v>184.21696689355889</v>
      </c>
      <c r="AD59" s="2">
        <v>624.60498935702617</v>
      </c>
      <c r="AE59" s="2">
        <v>610.93099534502699</v>
      </c>
      <c r="AF59" s="2">
        <v>1206.0314873242228</v>
      </c>
      <c r="AG59" s="2">
        <v>107.02797536660142</v>
      </c>
      <c r="AH59" s="2">
        <v>413.97448181418906</v>
      </c>
      <c r="AI59" s="2">
        <v>376054.08552701562</v>
      </c>
      <c r="AJ59" s="2">
        <v>322512.30042147124</v>
      </c>
      <c r="AL59" s="27">
        <v>0.91098995233198043</v>
      </c>
      <c r="AM59" s="27">
        <v>0.91679414755117539</v>
      </c>
      <c r="AN59" s="27">
        <v>0.90781514716154799</v>
      </c>
      <c r="AO59" s="27">
        <v>0.89233820758698768</v>
      </c>
      <c r="AP59" s="27">
        <v>0.78956745995756783</v>
      </c>
      <c r="AQ59" s="27">
        <v>0.91098995233198043</v>
      </c>
      <c r="AR59" s="27">
        <v>0.91679414755117539</v>
      </c>
      <c r="AS59" s="27">
        <v>0.90781514716154799</v>
      </c>
      <c r="AT59" s="27">
        <v>0.89233820758698768</v>
      </c>
      <c r="AU59" s="27">
        <v>0.78956745995756783</v>
      </c>
      <c r="AW59" s="1">
        <v>14.350159564213468</v>
      </c>
      <c r="AX59" s="1">
        <v>16.25662249659236</v>
      </c>
      <c r="AY59" s="2">
        <v>1568487.6481991708</v>
      </c>
      <c r="AZ59" s="1">
        <v>15.902624381587893</v>
      </c>
      <c r="BA59" s="1">
        <v>17.805461972788589</v>
      </c>
      <c r="BB59" s="2">
        <v>1153491.3803208845</v>
      </c>
      <c r="BC59" s="2">
        <f t="shared" si="5"/>
        <v>-414996.26787828631</v>
      </c>
      <c r="BD59" s="292">
        <f t="shared" si="6"/>
        <v>1.5524648173744247</v>
      </c>
      <c r="BF59" s="170">
        <f t="shared" si="1"/>
        <v>727537.88207498426</v>
      </c>
      <c r="BG59" s="2">
        <f t="shared" si="2"/>
        <v>1390928.5207331784</v>
      </c>
      <c r="BI59">
        <f t="shared" si="3"/>
        <v>0</v>
      </c>
      <c r="BJ59" s="95">
        <f t="shared" si="4"/>
        <v>1</v>
      </c>
      <c r="BL59" s="174">
        <v>104000</v>
      </c>
      <c r="BM59">
        <v>0</v>
      </c>
      <c r="BN59" s="95">
        <v>1</v>
      </c>
      <c r="BP59" s="217">
        <f t="shared" si="7"/>
        <v>1390928.5207331784</v>
      </c>
      <c r="BU59" s="174">
        <f t="shared" si="8"/>
        <v>104000</v>
      </c>
      <c r="BV59" s="173">
        <v>0</v>
      </c>
    </row>
    <row r="60" spans="1:81">
      <c r="A60" s="11">
        <v>54</v>
      </c>
      <c r="C60" s="27">
        <v>0.9185565373328759</v>
      </c>
      <c r="D60" s="27">
        <v>8.14434626671241E-2</v>
      </c>
      <c r="E60" s="27">
        <v>0</v>
      </c>
      <c r="F60" s="27">
        <v>0.85941071753819798</v>
      </c>
      <c r="G60" s="27">
        <v>0.14058928246180197</v>
      </c>
      <c r="H60" s="27">
        <v>0</v>
      </c>
      <c r="I60" s="27">
        <v>0.74605041859984422</v>
      </c>
      <c r="J60" s="27">
        <v>0.25394958140015578</v>
      </c>
      <c r="K60" s="27">
        <v>0</v>
      </c>
      <c r="L60" s="27">
        <v>9.5481663013179174E-2</v>
      </c>
      <c r="M60" s="27">
        <v>0.50953774311623368</v>
      </c>
      <c r="N60" s="27">
        <v>0.39498059387058715</v>
      </c>
      <c r="O60" s="27">
        <v>-11.303600886247258</v>
      </c>
      <c r="P60" s="27">
        <v>3.582785713491473E-2</v>
      </c>
      <c r="Q60" s="27">
        <v>5.5516466552308846E-5</v>
      </c>
      <c r="R60" s="27">
        <v>1.087257724289614</v>
      </c>
      <c r="S60" s="154"/>
      <c r="T60">
        <v>0.97444035958826436</v>
      </c>
      <c r="U60">
        <v>2.2274501395746742</v>
      </c>
      <c r="V60">
        <v>2.9577110702415195</v>
      </c>
      <c r="W60">
        <v>1</v>
      </c>
      <c r="Y60" s="2">
        <v>2219.0794185378072</v>
      </c>
      <c r="Z60" s="2">
        <v>9419.6320093101713</v>
      </c>
      <c r="AA60" s="2">
        <v>25.860134683474644</v>
      </c>
      <c r="AB60" s="2">
        <v>3622.351978623647</v>
      </c>
      <c r="AC60" s="2">
        <v>96.461382597876494</v>
      </c>
      <c r="AD60" s="2">
        <v>257.21044815588158</v>
      </c>
      <c r="AE60" s="2">
        <v>548.89741014996639</v>
      </c>
      <c r="AF60" s="2">
        <v>784.57798661883169</v>
      </c>
      <c r="AG60" s="2">
        <v>123.49488064380436</v>
      </c>
      <c r="AH60" s="2">
        <v>345.97332165984824</v>
      </c>
      <c r="AI60" s="2">
        <v>628914.91234819393</v>
      </c>
      <c r="AJ60" s="2">
        <v>584438.5267901622</v>
      </c>
      <c r="AL60" s="27">
        <v>0.91630213233381974</v>
      </c>
      <c r="AM60" s="27">
        <v>0.91125916862525769</v>
      </c>
      <c r="AN60" s="27">
        <v>0.90775597785010342</v>
      </c>
      <c r="AO60" s="27">
        <v>0.89171645680941658</v>
      </c>
      <c r="AP60" s="27">
        <v>0.55480958066123209</v>
      </c>
      <c r="AQ60" s="27">
        <v>0.91630213233381974</v>
      </c>
      <c r="AR60" s="27">
        <v>0.91125916862525769</v>
      </c>
      <c r="AS60" s="27">
        <v>0.90775597785010342</v>
      </c>
      <c r="AT60" s="27">
        <v>0.89171645680941658</v>
      </c>
      <c r="AU60" s="27">
        <v>0.55480958066123209</v>
      </c>
      <c r="AW60" s="1">
        <v>12.935941051966585</v>
      </c>
      <c r="AX60" s="1">
        <v>15.39808636849637</v>
      </c>
      <c r="AY60" s="2">
        <v>2426581.0624402147</v>
      </c>
      <c r="AZ60" s="1">
        <v>14.865880568304268</v>
      </c>
      <c r="BA60" s="1">
        <v>17.171923561465167</v>
      </c>
      <c r="BB60" s="2">
        <v>1694973.2514095104</v>
      </c>
      <c r="BC60" s="2">
        <f t="shared" si="5"/>
        <v>-731607.8110307043</v>
      </c>
      <c r="BD60" s="292">
        <f t="shared" si="6"/>
        <v>1.9299395163376829</v>
      </c>
      <c r="BF60" s="170">
        <f t="shared" si="1"/>
        <v>-356830.49412556109</v>
      </c>
      <c r="BG60" s="2">
        <f t="shared" si="2"/>
        <v>683567.63951917249</v>
      </c>
      <c r="BI60">
        <f t="shared" si="3"/>
        <v>0</v>
      </c>
      <c r="BJ60" s="95">
        <f t="shared" si="4"/>
        <v>1</v>
      </c>
      <c r="BL60" s="174">
        <v>106000</v>
      </c>
      <c r="BM60">
        <v>0</v>
      </c>
      <c r="BN60" s="95">
        <v>1</v>
      </c>
      <c r="BP60" s="217">
        <f t="shared" si="7"/>
        <v>683567.63951917249</v>
      </c>
      <c r="BU60" s="174">
        <f t="shared" si="8"/>
        <v>106000</v>
      </c>
      <c r="BV60" s="173">
        <v>0</v>
      </c>
    </row>
    <row r="61" spans="1:81">
      <c r="A61" s="11">
        <v>55</v>
      </c>
      <c r="C61" s="27">
        <v>0.92145940702914897</v>
      </c>
      <c r="D61" s="27">
        <v>7.8540592970851031E-2</v>
      </c>
      <c r="E61" s="27">
        <v>0</v>
      </c>
      <c r="F61" s="27">
        <v>0.86029472545081054</v>
      </c>
      <c r="G61" s="27">
        <v>0.13970527454918943</v>
      </c>
      <c r="H61" s="27">
        <v>0</v>
      </c>
      <c r="I61" s="27">
        <v>0.75304337967361534</v>
      </c>
      <c r="J61" s="27">
        <v>0.24695662032638466</v>
      </c>
      <c r="K61" s="27">
        <v>0</v>
      </c>
      <c r="L61" s="27">
        <v>0.10381205116820164</v>
      </c>
      <c r="M61" s="27">
        <v>0.53594737630376499</v>
      </c>
      <c r="N61" s="27">
        <v>0.36024057252803338</v>
      </c>
      <c r="O61" s="27">
        <v>-11.142524393521498</v>
      </c>
      <c r="P61" s="27">
        <v>3.4146030688903879E-2</v>
      </c>
      <c r="Q61" s="27">
        <v>6.0771410319699907E-5</v>
      </c>
      <c r="R61" s="27">
        <v>1.0736780885812462</v>
      </c>
      <c r="S61" s="154"/>
      <c r="T61">
        <v>0.97741218393427187</v>
      </c>
      <c r="U61">
        <v>2.2723821579811689</v>
      </c>
      <c r="V61">
        <v>2.7456493896124221</v>
      </c>
      <c r="W61">
        <v>1</v>
      </c>
      <c r="Y61" s="2">
        <v>28.859316018569213</v>
      </c>
      <c r="Z61" s="2">
        <v>3786.1103193116796</v>
      </c>
      <c r="AA61" s="2">
        <v>2265.8954973730765</v>
      </c>
      <c r="AB61" s="2">
        <v>19423.083207865275</v>
      </c>
      <c r="AC61" s="2">
        <v>284.67343498437708</v>
      </c>
      <c r="AD61" s="2">
        <v>2882.1153231023436</v>
      </c>
      <c r="AE61" s="2">
        <v>534.58412395623259</v>
      </c>
      <c r="AF61" s="2">
        <v>842.75636832924829</v>
      </c>
      <c r="AG61" s="2">
        <v>98.480668269831256</v>
      </c>
      <c r="AH61" s="2">
        <v>396.54594685509784</v>
      </c>
      <c r="AI61" s="2">
        <v>590515.40015434241</v>
      </c>
      <c r="AJ61" s="2">
        <v>547529.00912558055</v>
      </c>
      <c r="AL61" s="27">
        <v>0.91504808453677267</v>
      </c>
      <c r="AM61" s="27">
        <v>0.9182988753923943</v>
      </c>
      <c r="AN61" s="27">
        <v>0.9157568493348669</v>
      </c>
      <c r="AO61" s="27">
        <v>0.88732855073244521</v>
      </c>
      <c r="AP61" s="27">
        <v>0.76046729118751832</v>
      </c>
      <c r="AQ61" s="27">
        <v>0.91504808453677267</v>
      </c>
      <c r="AR61" s="27">
        <v>0.9182988753923943</v>
      </c>
      <c r="AS61" s="27">
        <v>0.9157568493348669</v>
      </c>
      <c r="AT61" s="27">
        <v>0.88732855073244521</v>
      </c>
      <c r="AU61" s="27">
        <v>0.76046729118751832</v>
      </c>
      <c r="AW61" s="1">
        <v>13.909364474663704</v>
      </c>
      <c r="AX61" s="1">
        <v>15.774183046387376</v>
      </c>
      <c r="AY61" s="2">
        <v>2299165.6163033741</v>
      </c>
      <c r="AZ61" s="1">
        <v>15.604374687338993</v>
      </c>
      <c r="BA61" s="1">
        <v>17.454969498859505</v>
      </c>
      <c r="BB61" s="2">
        <v>2013499.851070754</v>
      </c>
      <c r="BC61" s="2">
        <f t="shared" si="5"/>
        <v>-285665.76523262006</v>
      </c>
      <c r="BD61" s="292">
        <f t="shared" si="6"/>
        <v>1.6950102126752888</v>
      </c>
      <c r="BF61" s="170">
        <f t="shared" si="1"/>
        <v>-73667.300357181579</v>
      </c>
      <c r="BG61" s="2">
        <f t="shared" si="2"/>
        <v>483200.09890348488</v>
      </c>
      <c r="BI61">
        <f t="shared" si="3"/>
        <v>0</v>
      </c>
      <c r="BJ61" s="95">
        <f t="shared" si="4"/>
        <v>1</v>
      </c>
      <c r="BL61" s="174">
        <v>108000</v>
      </c>
      <c r="BM61">
        <v>0</v>
      </c>
      <c r="BN61" s="95">
        <v>1</v>
      </c>
      <c r="BP61" s="217">
        <f t="shared" si="7"/>
        <v>483200.09890348488</v>
      </c>
      <c r="BU61" s="174">
        <f t="shared" si="8"/>
        <v>108000</v>
      </c>
      <c r="BV61" s="173">
        <v>0</v>
      </c>
    </row>
    <row r="62" spans="1:81">
      <c r="A62" s="11">
        <v>56</v>
      </c>
      <c r="C62" s="27">
        <v>0.92578797649131916</v>
      </c>
      <c r="D62" s="27">
        <v>7.4212023508680836E-2</v>
      </c>
      <c r="E62" s="27">
        <v>0</v>
      </c>
      <c r="F62" s="27">
        <v>0.85245096561127542</v>
      </c>
      <c r="G62" s="27">
        <v>0.14754903438872458</v>
      </c>
      <c r="H62" s="27">
        <v>0</v>
      </c>
      <c r="I62" s="27">
        <v>0.75206919995017918</v>
      </c>
      <c r="J62" s="27">
        <v>0.24793080004982085</v>
      </c>
      <c r="K62" s="27">
        <v>0</v>
      </c>
      <c r="L62" s="27">
        <v>0.10421121790458598</v>
      </c>
      <c r="M62" s="27">
        <v>0.54772812826686623</v>
      </c>
      <c r="N62" s="27">
        <v>0.34806065382854778</v>
      </c>
      <c r="O62" s="27">
        <v>-11.165278423662105</v>
      </c>
      <c r="P62" s="27">
        <v>3.7352281969986738E-2</v>
      </c>
      <c r="Q62" s="27">
        <v>6.7967386310332039E-5</v>
      </c>
      <c r="R62" s="27">
        <v>1.0568496542261701</v>
      </c>
      <c r="S62" s="154"/>
      <c r="T62">
        <v>1.1165104151855902</v>
      </c>
      <c r="U62">
        <v>2.2220085209287928</v>
      </c>
      <c r="V62">
        <v>3.0344415282386485</v>
      </c>
      <c r="W62">
        <v>1</v>
      </c>
      <c r="Y62" s="2">
        <v>790.59806965409348</v>
      </c>
      <c r="Z62" s="2">
        <v>18541.45584590239</v>
      </c>
      <c r="AA62" s="2">
        <v>1327.7360658919674</v>
      </c>
      <c r="AB62" s="2">
        <v>3895.7573742558247</v>
      </c>
      <c r="AC62" s="2">
        <v>16.505048853163412</v>
      </c>
      <c r="AD62" s="2">
        <v>521.07432276908139</v>
      </c>
      <c r="AE62" s="2">
        <v>492.28086834135166</v>
      </c>
      <c r="AF62" s="2">
        <v>950.52505052028789</v>
      </c>
      <c r="AG62" s="2">
        <v>95.597274758554576</v>
      </c>
      <c r="AH62" s="2">
        <v>217.8722276370232</v>
      </c>
      <c r="AI62" s="2">
        <v>554119.49910193344</v>
      </c>
      <c r="AJ62" s="2">
        <v>526108.55650699418</v>
      </c>
      <c r="AL62" s="27">
        <v>0.91757613832826235</v>
      </c>
      <c r="AM62" s="27">
        <v>0.915903527231682</v>
      </c>
      <c r="AN62" s="27">
        <v>0.910136041461868</v>
      </c>
      <c r="AO62" s="27">
        <v>0.84380970669162025</v>
      </c>
      <c r="AP62" s="27">
        <v>0.6692639780812224</v>
      </c>
      <c r="AQ62" s="27">
        <v>0.91757613832826235</v>
      </c>
      <c r="AR62" s="27">
        <v>0.915903527231682</v>
      </c>
      <c r="AS62" s="27">
        <v>0.910136041461868</v>
      </c>
      <c r="AT62" s="27">
        <v>0.84380970669162025</v>
      </c>
      <c r="AU62" s="27">
        <v>0.6692639780812224</v>
      </c>
      <c r="AW62" s="1">
        <v>13.376407525558204</v>
      </c>
      <c r="AX62" s="1">
        <v>15.624717110547117</v>
      </c>
      <c r="AY62" s="2">
        <v>2615434.454376915</v>
      </c>
      <c r="AZ62" s="1">
        <v>15.469618150949174</v>
      </c>
      <c r="BA62" s="1">
        <v>17.583402110037955</v>
      </c>
      <c r="BB62" s="2">
        <v>1687022.1153684042</v>
      </c>
      <c r="BC62" s="2">
        <f t="shared" si="5"/>
        <v>-928412.33900851081</v>
      </c>
      <c r="BD62" s="292">
        <f t="shared" si="6"/>
        <v>2.0932106253909701</v>
      </c>
      <c r="BF62" s="170">
        <f t="shared" si="1"/>
        <v>-475209.25028760266</v>
      </c>
      <c r="BG62" s="2">
        <f t="shared" si="2"/>
        <v>788116.78878346342</v>
      </c>
      <c r="BI62">
        <f t="shared" si="3"/>
        <v>0</v>
      </c>
      <c r="BJ62" s="95">
        <f t="shared" si="4"/>
        <v>1</v>
      </c>
      <c r="BL62" s="174">
        <v>110000</v>
      </c>
      <c r="BM62">
        <v>0</v>
      </c>
      <c r="BN62" s="95">
        <v>1</v>
      </c>
      <c r="BP62" s="217">
        <f t="shared" si="7"/>
        <v>788116.78878346342</v>
      </c>
      <c r="BU62" s="174">
        <f t="shared" si="8"/>
        <v>110000</v>
      </c>
      <c r="BV62" s="173">
        <v>0</v>
      </c>
    </row>
    <row r="63" spans="1:81">
      <c r="A63" s="11">
        <v>57</v>
      </c>
      <c r="C63" s="27">
        <v>0.92611785038525152</v>
      </c>
      <c r="D63" s="27">
        <v>7.3882149614748524E-2</v>
      </c>
      <c r="E63" s="27">
        <v>0</v>
      </c>
      <c r="F63" s="27">
        <v>0.85800279232522947</v>
      </c>
      <c r="G63" s="27">
        <v>0.14199720767477056</v>
      </c>
      <c r="H63" s="27">
        <v>0</v>
      </c>
      <c r="I63" s="27">
        <v>0.75279628103474516</v>
      </c>
      <c r="J63" s="27">
        <v>0.24720371896525486</v>
      </c>
      <c r="K63" s="27">
        <v>0</v>
      </c>
      <c r="L63" s="27">
        <v>0.1089299183395086</v>
      </c>
      <c r="M63" s="27">
        <v>0.55141920744122963</v>
      </c>
      <c r="N63" s="27">
        <v>0.33965087421926177</v>
      </c>
      <c r="O63" s="27">
        <v>-11.304308462628018</v>
      </c>
      <c r="P63" s="27">
        <v>3.4010075529914495E-2</v>
      </c>
      <c r="Q63" s="27">
        <v>5.1399336694041361E-5</v>
      </c>
      <c r="R63" s="27">
        <v>1.0921127659946042</v>
      </c>
      <c r="S63" s="154"/>
      <c r="T63">
        <v>1.034329302756112</v>
      </c>
      <c r="U63">
        <v>2.3286674766538562</v>
      </c>
      <c r="V63">
        <v>2.9481282913371043</v>
      </c>
      <c r="W63">
        <v>1</v>
      </c>
      <c r="Y63" s="2">
        <v>675.85745823185516</v>
      </c>
      <c r="Z63" s="2">
        <v>6316.281088430299</v>
      </c>
      <c r="AA63" s="2">
        <v>830.62783718567619</v>
      </c>
      <c r="AB63" s="2">
        <v>12408.826090244162</v>
      </c>
      <c r="AC63" s="2">
        <v>989.1425178022871</v>
      </c>
      <c r="AD63" s="2">
        <v>316.56114994385968</v>
      </c>
      <c r="AE63" s="2">
        <v>605.16500117532132</v>
      </c>
      <c r="AF63" s="2">
        <v>1184.1417312491578</v>
      </c>
      <c r="AG63" s="2">
        <v>150.65516594113484</v>
      </c>
      <c r="AH63" s="2">
        <v>262.00978877378026</v>
      </c>
      <c r="AI63" s="2">
        <v>393790.88878603699</v>
      </c>
      <c r="AJ63" s="2">
        <v>356257.54555783549</v>
      </c>
      <c r="AL63" s="27">
        <v>0.91716754732524208</v>
      </c>
      <c r="AM63" s="27">
        <v>0.91375384470072352</v>
      </c>
      <c r="AN63" s="27">
        <v>0.91226077247869952</v>
      </c>
      <c r="AO63" s="27">
        <v>0.85597826436028546</v>
      </c>
      <c r="AP63" s="27">
        <v>0.75929182082984137</v>
      </c>
      <c r="AQ63" s="27">
        <v>0.91716754732524208</v>
      </c>
      <c r="AR63" s="27">
        <v>0.91375384470072352</v>
      </c>
      <c r="AS63" s="27">
        <v>0.91226077247869952</v>
      </c>
      <c r="AT63" s="27">
        <v>0.85597826436028546</v>
      </c>
      <c r="AU63" s="27">
        <v>0.75929182082984137</v>
      </c>
      <c r="AW63" s="1">
        <v>13.910787719579334</v>
      </c>
      <c r="AX63" s="1">
        <v>15.816443053524671</v>
      </c>
      <c r="AY63" s="2">
        <v>1632496.414395415</v>
      </c>
      <c r="AZ63" s="1">
        <v>15.733755871442016</v>
      </c>
      <c r="BA63" s="1">
        <v>17.621254302651614</v>
      </c>
      <c r="BB63" s="2">
        <v>1286295.5715476165</v>
      </c>
      <c r="BC63" s="2">
        <f t="shared" si="5"/>
        <v>-346200.84284779849</v>
      </c>
      <c r="BD63" s="292">
        <f t="shared" si="6"/>
        <v>1.8229681518626819</v>
      </c>
      <c r="BF63" s="170">
        <f t="shared" si="1"/>
        <v>593229.6207372786</v>
      </c>
      <c r="BG63" s="2">
        <f t="shared" si="2"/>
        <v>1231105.367883106</v>
      </c>
      <c r="BI63">
        <f t="shared" si="3"/>
        <v>0</v>
      </c>
      <c r="BJ63" s="95">
        <f t="shared" si="4"/>
        <v>1</v>
      </c>
      <c r="BL63" s="174">
        <v>112000</v>
      </c>
      <c r="BM63">
        <v>0</v>
      </c>
      <c r="BN63" s="95">
        <v>1</v>
      </c>
      <c r="BP63" s="217">
        <f t="shared" si="7"/>
        <v>1231105.367883106</v>
      </c>
      <c r="BU63" s="174">
        <f t="shared" si="8"/>
        <v>112000</v>
      </c>
      <c r="BV63" s="173">
        <v>0</v>
      </c>
    </row>
    <row r="64" spans="1:81">
      <c r="A64" s="11">
        <v>58</v>
      </c>
      <c r="C64" s="27">
        <v>0.92143102239490415</v>
      </c>
      <c r="D64" s="27">
        <v>7.8568977605095847E-2</v>
      </c>
      <c r="E64" s="27">
        <v>0</v>
      </c>
      <c r="F64" s="27">
        <v>0.86202599371261845</v>
      </c>
      <c r="G64" s="27">
        <v>0.13797400628738149</v>
      </c>
      <c r="H64" s="27">
        <v>0</v>
      </c>
      <c r="I64" s="27">
        <v>0.75485217328135035</v>
      </c>
      <c r="J64" s="27">
        <v>0.24514782671864968</v>
      </c>
      <c r="K64" s="27">
        <v>0</v>
      </c>
      <c r="L64" s="27">
        <v>0.13718426485771601</v>
      </c>
      <c r="M64" s="27">
        <v>0.52266578098489203</v>
      </c>
      <c r="N64" s="27">
        <v>0.34014995415739196</v>
      </c>
      <c r="O64" s="27">
        <v>-11.311227359894689</v>
      </c>
      <c r="P64" s="27">
        <v>3.7914112253879549E-2</v>
      </c>
      <c r="Q64" s="27">
        <v>6.0140044213268927E-5</v>
      </c>
      <c r="R64" s="27">
        <v>1.0680719981962101</v>
      </c>
      <c r="S64" s="154"/>
      <c r="T64">
        <v>1.1105113855041984</v>
      </c>
      <c r="U64">
        <v>2.3247699218259155</v>
      </c>
      <c r="V64">
        <v>3.0480856659414073</v>
      </c>
      <c r="W64">
        <v>1</v>
      </c>
      <c r="Y64" s="2">
        <v>435.28561425922527</v>
      </c>
      <c r="Z64" s="2">
        <v>6742.403821335015</v>
      </c>
      <c r="AA64" s="2">
        <v>624.01750881916678</v>
      </c>
      <c r="AB64" s="2">
        <v>5451.0797512592371</v>
      </c>
      <c r="AC64" s="2">
        <v>9.4992912720574232</v>
      </c>
      <c r="AD64" s="2">
        <v>170.41571869160038</v>
      </c>
      <c r="AE64" s="2">
        <v>563.90347863149282</v>
      </c>
      <c r="AF64" s="2">
        <v>874.74568956055555</v>
      </c>
      <c r="AG64" s="2">
        <v>173.8777627952575</v>
      </c>
      <c r="AH64" s="2">
        <v>293.19073586280678</v>
      </c>
      <c r="AI64" s="2">
        <v>816164.3600924419</v>
      </c>
      <c r="AJ64" s="2">
        <v>783547.22211450699</v>
      </c>
      <c r="AL64" s="27">
        <v>0.91183965150622748</v>
      </c>
      <c r="AM64" s="27">
        <v>0.9144513414047224</v>
      </c>
      <c r="AN64" s="27">
        <v>0.90679048208166246</v>
      </c>
      <c r="AO64" s="27">
        <v>0.85058770072682865</v>
      </c>
      <c r="AP64" s="27">
        <v>0.8103250479709645</v>
      </c>
      <c r="AQ64" s="27">
        <v>0.91183965150622748</v>
      </c>
      <c r="AR64" s="27">
        <v>0.9144513414047224</v>
      </c>
      <c r="AS64" s="27">
        <v>0.90679048208166246</v>
      </c>
      <c r="AT64" s="27">
        <v>0.85058770072682865</v>
      </c>
      <c r="AU64" s="27">
        <v>0.8103250479709645</v>
      </c>
      <c r="AW64" s="1">
        <v>13.728246034376889</v>
      </c>
      <c r="AX64" s="1">
        <v>15.510236709607435</v>
      </c>
      <c r="AY64" s="2">
        <v>3652137.1912449123</v>
      </c>
      <c r="AZ64" s="1">
        <v>15.74485944542206</v>
      </c>
      <c r="BA64" s="1">
        <v>17.571760531884912</v>
      </c>
      <c r="BB64" s="2">
        <v>2453503.5771732959</v>
      </c>
      <c r="BC64" s="2">
        <f t="shared" si="5"/>
        <v>-1198633.6140716164</v>
      </c>
      <c r="BD64" s="292">
        <f t="shared" si="6"/>
        <v>2.0166134110451708</v>
      </c>
      <c r="BF64" s="170">
        <f t="shared" si="1"/>
        <v>-1455617.8257446103</v>
      </c>
      <c r="BG64" s="2">
        <f t="shared" si="2"/>
        <v>65673.934094233904</v>
      </c>
      <c r="BI64">
        <f t="shared" si="3"/>
        <v>0</v>
      </c>
      <c r="BJ64" s="95">
        <f t="shared" si="4"/>
        <v>1</v>
      </c>
      <c r="BL64" s="174">
        <v>114000</v>
      </c>
      <c r="BM64">
        <v>0</v>
      </c>
      <c r="BN64" s="95">
        <v>1</v>
      </c>
      <c r="BP64" s="217">
        <f t="shared" si="7"/>
        <v>65673.934094233904</v>
      </c>
      <c r="BU64" s="174">
        <f t="shared" si="8"/>
        <v>114000</v>
      </c>
      <c r="BV64" s="173">
        <v>0</v>
      </c>
    </row>
    <row r="65" spans="1:74">
      <c r="A65" s="11">
        <v>59</v>
      </c>
      <c r="C65" s="27">
        <v>0.92367719742250143</v>
      </c>
      <c r="D65" s="27">
        <v>7.6322802577498586E-2</v>
      </c>
      <c r="E65" s="27">
        <v>0</v>
      </c>
      <c r="F65" s="27">
        <v>0.85648604057220101</v>
      </c>
      <c r="G65" s="27">
        <v>0.14351395942779899</v>
      </c>
      <c r="H65" s="27">
        <v>0</v>
      </c>
      <c r="I65" s="27">
        <v>0.74888612125207066</v>
      </c>
      <c r="J65" s="27">
        <v>0.25111387874792934</v>
      </c>
      <c r="K65" s="27">
        <v>0</v>
      </c>
      <c r="L65" s="27">
        <v>0.16479799573308995</v>
      </c>
      <c r="M65" s="27">
        <v>0.50045194579891605</v>
      </c>
      <c r="N65" s="27">
        <v>0.33475005846799399</v>
      </c>
      <c r="O65" s="27">
        <v>-11.075524699965332</v>
      </c>
      <c r="P65" s="27">
        <v>3.0783420669672872E-2</v>
      </c>
      <c r="Q65" s="27">
        <v>5.6423713717725476E-5</v>
      </c>
      <c r="R65" s="27">
        <v>1.0896036403455966</v>
      </c>
      <c r="S65" s="154"/>
      <c r="T65">
        <v>1.079975268691721</v>
      </c>
      <c r="U65">
        <v>2.2753995231036646</v>
      </c>
      <c r="V65">
        <v>2.9349690565602016</v>
      </c>
      <c r="W65">
        <v>1</v>
      </c>
      <c r="Y65" s="2">
        <v>129.4060431155778</v>
      </c>
      <c r="Z65" s="2">
        <v>2900.7722529443131</v>
      </c>
      <c r="AA65" s="2">
        <v>371.2440825264456</v>
      </c>
      <c r="AB65" s="2">
        <v>3044.8756081287024</v>
      </c>
      <c r="AC65" s="2">
        <v>699.94791887548308</v>
      </c>
      <c r="AD65" s="2">
        <v>784.1123560455294</v>
      </c>
      <c r="AE65" s="2">
        <v>649.54748985977176</v>
      </c>
      <c r="AF65" s="2">
        <v>1157.3016991449044</v>
      </c>
      <c r="AG65" s="2">
        <v>149.31413778926424</v>
      </c>
      <c r="AH65" s="2">
        <v>493.4684845354123</v>
      </c>
      <c r="AI65" s="2">
        <v>632769.4795580341</v>
      </c>
      <c r="AJ65" s="2">
        <v>603145.64691470051</v>
      </c>
      <c r="AL65" s="27">
        <v>0.91317225199439955</v>
      </c>
      <c r="AM65" s="27">
        <v>0.91468688365597084</v>
      </c>
      <c r="AN65" s="27">
        <v>0.90501735367573677</v>
      </c>
      <c r="AO65" s="27">
        <v>0.83426516835749864</v>
      </c>
      <c r="AP65" s="27">
        <v>0.68542684546714439</v>
      </c>
      <c r="AQ65" s="27">
        <v>0.91317225199439955</v>
      </c>
      <c r="AR65" s="27">
        <v>0.91468688365597084</v>
      </c>
      <c r="AS65" s="27">
        <v>0.90501735367573677</v>
      </c>
      <c r="AT65" s="27">
        <v>0.83426516835749864</v>
      </c>
      <c r="AU65" s="27">
        <v>0.68542684546714439</v>
      </c>
      <c r="AW65" s="1">
        <v>13.276936672390626</v>
      </c>
      <c r="AX65" s="1">
        <v>15.443034781247299</v>
      </c>
      <c r="AY65" s="2">
        <v>2543224.8691227715</v>
      </c>
      <c r="AZ65" s="1">
        <v>15.33115912104776</v>
      </c>
      <c r="BA65" s="1">
        <v>17.418171049359199</v>
      </c>
      <c r="BB65" s="2">
        <v>1779773.5900773138</v>
      </c>
      <c r="BC65" s="2">
        <f t="shared" si="5"/>
        <v>-763451.27904545772</v>
      </c>
      <c r="BD65" s="292">
        <f t="shared" si="6"/>
        <v>2.0542224486571339</v>
      </c>
      <c r="BF65" s="170">
        <f t="shared" si="1"/>
        <v>-418915.00154027157</v>
      </c>
      <c r="BG65" s="2">
        <f t="shared" si="2"/>
        <v>673211.86929032789</v>
      </c>
      <c r="BI65">
        <f t="shared" si="3"/>
        <v>0</v>
      </c>
      <c r="BJ65" s="95">
        <f t="shared" si="4"/>
        <v>1</v>
      </c>
      <c r="BL65" s="174">
        <v>116000</v>
      </c>
      <c r="BM65">
        <v>0</v>
      </c>
      <c r="BN65" s="95">
        <v>1</v>
      </c>
      <c r="BP65" s="217">
        <f t="shared" si="7"/>
        <v>673211.86929032789</v>
      </c>
      <c r="BU65" s="174">
        <f t="shared" si="8"/>
        <v>116000</v>
      </c>
      <c r="BV65" s="173">
        <v>0</v>
      </c>
    </row>
    <row r="66" spans="1:74">
      <c r="A66" s="11">
        <v>60</v>
      </c>
      <c r="C66" s="27">
        <v>0.92379363783417723</v>
      </c>
      <c r="D66" s="27">
        <v>7.6206362165822744E-2</v>
      </c>
      <c r="E66" s="27">
        <v>0</v>
      </c>
      <c r="F66" s="27">
        <v>0.85943213593161416</v>
      </c>
      <c r="G66" s="27">
        <v>0.14056786406838584</v>
      </c>
      <c r="H66" s="27">
        <v>0</v>
      </c>
      <c r="I66" s="27">
        <v>0.75303729513917927</v>
      </c>
      <c r="J66" s="27">
        <v>0.24696270486082067</v>
      </c>
      <c r="K66" s="27">
        <v>0</v>
      </c>
      <c r="L66" s="27">
        <v>0.15656886351635274</v>
      </c>
      <c r="M66" s="27">
        <v>0.48106663946039974</v>
      </c>
      <c r="N66" s="27">
        <v>0.36236449702324752</v>
      </c>
      <c r="O66" s="27">
        <v>-11.090034744789682</v>
      </c>
      <c r="P66" s="27">
        <v>3.5450257416163124E-2</v>
      </c>
      <c r="Q66" s="27">
        <v>6.7652656670142547E-5</v>
      </c>
      <c r="R66" s="27">
        <v>1.0594609316481067</v>
      </c>
      <c r="S66" s="154"/>
      <c r="T66">
        <v>1.0288040084233818</v>
      </c>
      <c r="U66">
        <v>2.2344011837471038</v>
      </c>
      <c r="V66">
        <v>2.8392830352350202</v>
      </c>
      <c r="W66">
        <v>1</v>
      </c>
      <c r="Y66" s="2">
        <v>690.37184761396065</v>
      </c>
      <c r="Z66" s="2">
        <v>2255.1280854667866</v>
      </c>
      <c r="AA66" s="2">
        <v>170.26940123321282</v>
      </c>
      <c r="AB66" s="2">
        <v>2509.5820704134553</v>
      </c>
      <c r="AC66" s="2">
        <v>1344.2364724726456</v>
      </c>
      <c r="AD66" s="2">
        <v>151.18934887450411</v>
      </c>
      <c r="AE66" s="2">
        <v>636.25202881672294</v>
      </c>
      <c r="AF66" s="2">
        <v>1286.6399623902425</v>
      </c>
      <c r="AG66" s="2">
        <v>105.13821820209959</v>
      </c>
      <c r="AH66" s="2">
        <v>436.49905698940194</v>
      </c>
      <c r="AI66" s="2">
        <v>361872.10778724664</v>
      </c>
      <c r="AJ66" s="2">
        <v>310351.53058420721</v>
      </c>
      <c r="AL66" s="27">
        <v>0.91734198407024514</v>
      </c>
      <c r="AM66" s="27">
        <v>0.91470668453593007</v>
      </c>
      <c r="AN66" s="27">
        <v>0.90015273709616317</v>
      </c>
      <c r="AO66" s="27">
        <v>0.82571282160351034</v>
      </c>
      <c r="AP66" s="27">
        <v>0.63136370467041925</v>
      </c>
      <c r="AQ66" s="27">
        <v>0.91734198407024514</v>
      </c>
      <c r="AR66" s="27">
        <v>0.91470668453593007</v>
      </c>
      <c r="AS66" s="27">
        <v>0.90015273709616317</v>
      </c>
      <c r="AT66" s="27">
        <v>0.82571282160351034</v>
      </c>
      <c r="AU66" s="27">
        <v>0.63136370467041925</v>
      </c>
      <c r="AW66" s="1">
        <v>13.319597608684887</v>
      </c>
      <c r="AX66" s="1">
        <v>15.615076253158241</v>
      </c>
      <c r="AY66" s="2">
        <v>1303105.956646166</v>
      </c>
      <c r="AZ66" s="1">
        <v>15.264360762055562</v>
      </c>
      <c r="BA66" s="1">
        <v>17.438607188544385</v>
      </c>
      <c r="BB66" s="2">
        <v>930002.44989494246</v>
      </c>
      <c r="BC66" s="2">
        <f t="shared" si="5"/>
        <v>-373103.50675122358</v>
      </c>
      <c r="BD66" s="292">
        <f t="shared" si="6"/>
        <v>1.9447631533706744</v>
      </c>
      <c r="BF66" s="170">
        <f t="shared" si="1"/>
        <v>828029.66074341605</v>
      </c>
      <c r="BG66" s="2">
        <f t="shared" si="2"/>
        <v>1512295.2720339475</v>
      </c>
      <c r="BI66">
        <f t="shared" si="3"/>
        <v>0</v>
      </c>
      <c r="BJ66" s="95">
        <f t="shared" si="4"/>
        <v>1</v>
      </c>
      <c r="BL66" s="174">
        <v>150000</v>
      </c>
      <c r="BM66">
        <v>0</v>
      </c>
      <c r="BN66" s="95">
        <v>1</v>
      </c>
      <c r="BP66" s="217">
        <f t="shared" si="7"/>
        <v>1512295.2720339475</v>
      </c>
      <c r="BU66" s="174">
        <f t="shared" si="8"/>
        <v>150000</v>
      </c>
      <c r="BV66" s="173">
        <v>0</v>
      </c>
    </row>
    <row r="67" spans="1:74">
      <c r="A67" s="11">
        <v>61</v>
      </c>
      <c r="C67" s="27">
        <v>0.92181532476310213</v>
      </c>
      <c r="D67" s="27">
        <v>7.8184675236897871E-2</v>
      </c>
      <c r="E67" s="27">
        <v>0</v>
      </c>
      <c r="F67" s="27">
        <v>0.85882513495276847</v>
      </c>
      <c r="G67" s="27">
        <v>0.14117486504723148</v>
      </c>
      <c r="H67" s="27">
        <v>0</v>
      </c>
      <c r="I67" s="27">
        <v>0.75342761409973869</v>
      </c>
      <c r="J67" s="27">
        <v>0.24657238590026134</v>
      </c>
      <c r="K67" s="27">
        <v>0</v>
      </c>
      <c r="L67" s="27">
        <v>0.20020045013429688</v>
      </c>
      <c r="M67" s="27">
        <v>0.40276326597239875</v>
      </c>
      <c r="N67" s="27">
        <v>0.39703628389330436</v>
      </c>
      <c r="O67" s="27">
        <v>-11.427721859542292</v>
      </c>
      <c r="P67" s="27">
        <v>3.5647813227416059E-2</v>
      </c>
      <c r="Q67" s="27">
        <v>4.8666789352238512E-5</v>
      </c>
      <c r="R67" s="27">
        <v>1.0952802339415082</v>
      </c>
      <c r="S67" s="154"/>
      <c r="T67">
        <v>0.99074948035958044</v>
      </c>
      <c r="U67">
        <v>2.2472882507960388</v>
      </c>
      <c r="V67">
        <v>2.8694573884322954</v>
      </c>
      <c r="W67">
        <v>1</v>
      </c>
      <c r="Y67" s="2">
        <v>322.22001503224402</v>
      </c>
      <c r="Z67" s="2">
        <v>6448.182280901211</v>
      </c>
      <c r="AA67" s="2">
        <v>61.629139097767016</v>
      </c>
      <c r="AB67" s="2">
        <v>7943.8462078205066</v>
      </c>
      <c r="AC67" s="2">
        <v>197.02035253844971</v>
      </c>
      <c r="AD67" s="2">
        <v>164.18829965829181</v>
      </c>
      <c r="AE67" s="2">
        <v>501.71601934678154</v>
      </c>
      <c r="AF67" s="2">
        <v>838.64295616743209</v>
      </c>
      <c r="AG67" s="2">
        <v>121.67441218072167</v>
      </c>
      <c r="AH67" s="2">
        <v>390.75333967598471</v>
      </c>
      <c r="AI67" s="2">
        <v>577501.36499076663</v>
      </c>
      <c r="AJ67" s="2">
        <v>537888.05739284377</v>
      </c>
      <c r="AL67" s="27">
        <v>0.9180889506876978</v>
      </c>
      <c r="AM67" s="27">
        <v>0.91652002697975232</v>
      </c>
      <c r="AN67" s="27">
        <v>0.91152634127327692</v>
      </c>
      <c r="AO67" s="27">
        <v>0.86597311392875309</v>
      </c>
      <c r="AP67" s="27">
        <v>0.6950160656809572</v>
      </c>
      <c r="AQ67" s="27">
        <v>0.9180889506876978</v>
      </c>
      <c r="AR67" s="27">
        <v>0.91652002697975232</v>
      </c>
      <c r="AS67" s="27">
        <v>0.91152634127327692</v>
      </c>
      <c r="AT67" s="27">
        <v>0.86597311392875309</v>
      </c>
      <c r="AU67" s="27">
        <v>0.6950160656809572</v>
      </c>
      <c r="AW67" s="1">
        <v>13.339970455212711</v>
      </c>
      <c r="AX67" s="1">
        <v>15.26317554008252</v>
      </c>
      <c r="AY67" s="2">
        <v>1961913.2650278735</v>
      </c>
      <c r="AZ67" s="1">
        <v>15.224864194578192</v>
      </c>
      <c r="BA67" s="1">
        <v>17.118832616430868</v>
      </c>
      <c r="BB67" s="2">
        <v>1462443.3723002975</v>
      </c>
      <c r="BC67" s="2">
        <f t="shared" si="5"/>
        <v>-499469.89272757596</v>
      </c>
      <c r="BD67" s="292">
        <f t="shared" si="6"/>
        <v>1.8848937393654808</v>
      </c>
      <c r="BF67" s="170">
        <f t="shared" si="1"/>
        <v>172482.00780616025</v>
      </c>
      <c r="BG67" s="2">
        <f t="shared" si="2"/>
        <v>973534.89883221313</v>
      </c>
      <c r="BI67">
        <f t="shared" si="3"/>
        <v>0</v>
      </c>
      <c r="BJ67" s="95">
        <f t="shared" si="4"/>
        <v>1</v>
      </c>
      <c r="BL67" s="174">
        <v>200000</v>
      </c>
      <c r="BM67">
        <v>0</v>
      </c>
      <c r="BN67" s="95">
        <v>1</v>
      </c>
      <c r="BP67" s="217">
        <f t="shared" si="7"/>
        <v>973534.89883221313</v>
      </c>
      <c r="BU67" s="174">
        <f t="shared" si="8"/>
        <v>200000</v>
      </c>
      <c r="BV67" s="173">
        <v>0</v>
      </c>
    </row>
    <row r="68" spans="1:74">
      <c r="A68" s="11">
        <v>62</v>
      </c>
      <c r="C68" s="27">
        <v>0.92595299724420776</v>
      </c>
      <c r="D68" s="27">
        <v>7.4047002755792249E-2</v>
      </c>
      <c r="E68" s="27">
        <v>0</v>
      </c>
      <c r="F68" s="27">
        <v>0.85443824540972524</v>
      </c>
      <c r="G68" s="27">
        <v>0.14556175459027476</v>
      </c>
      <c r="H68" s="27">
        <v>0</v>
      </c>
      <c r="I68" s="27">
        <v>0.74275159346937247</v>
      </c>
      <c r="J68" s="27">
        <v>0.25724840653062753</v>
      </c>
      <c r="K68" s="27">
        <v>0</v>
      </c>
      <c r="L68" s="27">
        <v>0.14854790778766119</v>
      </c>
      <c r="M68" s="27">
        <v>0.52566675000179641</v>
      </c>
      <c r="N68" s="27">
        <v>0.32578534221054239</v>
      </c>
      <c r="O68" s="27">
        <v>-11.393851715582562</v>
      </c>
      <c r="P68" s="27">
        <v>3.6172418540235618E-2</v>
      </c>
      <c r="Q68" s="27">
        <v>5.1464920542891941E-5</v>
      </c>
      <c r="R68" s="27">
        <v>1.0947547423955655</v>
      </c>
      <c r="S68" s="154"/>
      <c r="T68">
        <v>1.0342861318395455</v>
      </c>
      <c r="U68">
        <v>2.2653659302325537</v>
      </c>
      <c r="V68">
        <v>3.1118384886450317</v>
      </c>
      <c r="W68">
        <v>1</v>
      </c>
      <c r="Y68" s="2">
        <v>2810.7338081676926</v>
      </c>
      <c r="Z68" s="2">
        <v>7996.7706335127841</v>
      </c>
      <c r="AA68" s="2">
        <v>118.18301923458468</v>
      </c>
      <c r="AB68" s="2">
        <v>1497.7974393823511</v>
      </c>
      <c r="AC68" s="2">
        <v>370.67130484528559</v>
      </c>
      <c r="AD68" s="2">
        <v>1684.9819628011985</v>
      </c>
      <c r="AE68" s="2">
        <v>477.53672835752525</v>
      </c>
      <c r="AF68" s="2">
        <v>866.97260241741265</v>
      </c>
      <c r="AG68" s="2">
        <v>74.666797848603338</v>
      </c>
      <c r="AH68" s="2">
        <v>321.78772338338342</v>
      </c>
      <c r="AI68" s="2">
        <v>513679.44221424527</v>
      </c>
      <c r="AJ68" s="2">
        <v>489265.01849054877</v>
      </c>
      <c r="AL68" s="27">
        <v>0.9176790420805544</v>
      </c>
      <c r="AM68" s="27">
        <v>0.91677665315857182</v>
      </c>
      <c r="AN68" s="27">
        <v>0.91248944048485137</v>
      </c>
      <c r="AO68" s="27">
        <v>0.89249657302435281</v>
      </c>
      <c r="AP68" s="27">
        <v>0.62957184294233492</v>
      </c>
      <c r="AQ68" s="27">
        <v>0.9176790420805544</v>
      </c>
      <c r="AR68" s="27">
        <v>0.91677665315857182</v>
      </c>
      <c r="AS68" s="27">
        <v>0.91248944048485137</v>
      </c>
      <c r="AT68" s="27">
        <v>0.89249657302435281</v>
      </c>
      <c r="AU68" s="27">
        <v>0.62957184294233492</v>
      </c>
      <c r="AW68" s="1">
        <v>13.438302348485607</v>
      </c>
      <c r="AX68" s="1">
        <v>15.746793515141256</v>
      </c>
      <c r="AY68" s="2">
        <v>2216545.3550993558</v>
      </c>
      <c r="AZ68" s="1">
        <v>15.375326456142645</v>
      </c>
      <c r="BA68" s="1">
        <v>17.535099255404131</v>
      </c>
      <c r="BB68" s="2">
        <v>1497995.1979439089</v>
      </c>
      <c r="BC68" s="2">
        <f t="shared" si="5"/>
        <v>-718550.15715544694</v>
      </c>
      <c r="BD68" s="292">
        <f t="shared" si="6"/>
        <v>1.937024107657038</v>
      </c>
      <c r="BF68" s="170">
        <f t="shared" si="1"/>
        <v>-66416.979341658764</v>
      </c>
      <c r="BG68" s="2">
        <f t="shared" si="2"/>
        <v>962057.0350389143</v>
      </c>
      <c r="BI68">
        <f t="shared" si="3"/>
        <v>0</v>
      </c>
      <c r="BJ68" s="95">
        <f t="shared" si="4"/>
        <v>1</v>
      </c>
      <c r="BP68" s="217">
        <f t="shared" si="7"/>
        <v>962057.0350389143</v>
      </c>
    </row>
    <row r="69" spans="1:74">
      <c r="A69" s="11">
        <v>63</v>
      </c>
      <c r="C69" s="27">
        <v>0.91965941879110835</v>
      </c>
      <c r="D69" s="27">
        <v>8.0340581208891648E-2</v>
      </c>
      <c r="E69" s="27">
        <v>0</v>
      </c>
      <c r="F69" s="27">
        <v>0.85865935557893336</v>
      </c>
      <c r="G69" s="27">
        <v>0.14134064442106661</v>
      </c>
      <c r="H69" s="27">
        <v>0</v>
      </c>
      <c r="I69" s="27">
        <v>0.74936469204455447</v>
      </c>
      <c r="J69" s="27">
        <v>0.25063530795544553</v>
      </c>
      <c r="K69" s="27">
        <v>0</v>
      </c>
      <c r="L69" s="27">
        <v>0.14867240080933131</v>
      </c>
      <c r="M69" s="27">
        <v>0.4556295400146893</v>
      </c>
      <c r="N69" s="27">
        <v>0.39569805917597944</v>
      </c>
      <c r="O69" s="27">
        <v>-11.400785511257293</v>
      </c>
      <c r="P69" s="27">
        <v>3.6376229160803936E-2</v>
      </c>
      <c r="Q69" s="27">
        <v>5.1548683481246773E-5</v>
      </c>
      <c r="R69" s="27">
        <v>1.0950340060414199</v>
      </c>
      <c r="S69" s="154"/>
      <c r="T69">
        <v>0.9253906502573066</v>
      </c>
      <c r="U69">
        <v>2.2735329170989846</v>
      </c>
      <c r="V69">
        <v>3.2043726980300455</v>
      </c>
      <c r="W69">
        <v>1</v>
      </c>
      <c r="Y69" s="2">
        <v>74.888624956524723</v>
      </c>
      <c r="Z69" s="2">
        <v>2659.5050809345453</v>
      </c>
      <c r="AA69" s="2">
        <v>705.26964112116468</v>
      </c>
      <c r="AB69" s="2">
        <v>5839.9081370409631</v>
      </c>
      <c r="AC69" s="2">
        <v>1431.8964398851833</v>
      </c>
      <c r="AD69" s="2">
        <v>2599.8986775496669</v>
      </c>
      <c r="AE69" s="2">
        <v>542.13674445368031</v>
      </c>
      <c r="AF69" s="2">
        <v>1182.0125023872915</v>
      </c>
      <c r="AG69" s="2">
        <v>202.096127900217</v>
      </c>
      <c r="AH69" s="2">
        <v>175.25855338254962</v>
      </c>
      <c r="AI69" s="2">
        <v>493383.96555369516</v>
      </c>
      <c r="AJ69" s="2">
        <v>458283.07161914592</v>
      </c>
      <c r="AL69" s="27">
        <v>0.9098695078078507</v>
      </c>
      <c r="AM69" s="27">
        <v>0.91054784765362429</v>
      </c>
      <c r="AN69" s="27">
        <v>0.89944890256117116</v>
      </c>
      <c r="AO69" s="27">
        <v>0.86388501175122168</v>
      </c>
      <c r="AP69" s="27">
        <v>0.59737171561503044</v>
      </c>
      <c r="AQ69" s="27">
        <v>0.9098695078078507</v>
      </c>
      <c r="AR69" s="27">
        <v>0.91054784765362429</v>
      </c>
      <c r="AS69" s="27">
        <v>0.89944890256117116</v>
      </c>
      <c r="AT69" s="27">
        <v>0.86388501175122168</v>
      </c>
      <c r="AU69" s="27">
        <v>0.59737171561503044</v>
      </c>
      <c r="AW69" s="1">
        <v>13.061665758842782</v>
      </c>
      <c r="AX69" s="1">
        <v>15.398269086856374</v>
      </c>
      <c r="AY69" s="2">
        <v>1705668.199302651</v>
      </c>
      <c r="AZ69" s="1">
        <v>14.86139910644814</v>
      </c>
      <c r="BA69" s="1">
        <v>17.109862617394363</v>
      </c>
      <c r="BB69" s="2">
        <v>1358587.361241783</v>
      </c>
      <c r="BC69" s="2">
        <f t="shared" si="5"/>
        <v>-347080.83806086797</v>
      </c>
      <c r="BD69" s="292">
        <f t="shared" si="6"/>
        <v>1.7997333476053576</v>
      </c>
      <c r="BF69" s="170">
        <f t="shared" si="1"/>
        <v>384198.32211219403</v>
      </c>
      <c r="BG69" s="2">
        <f t="shared" si="2"/>
        <v>1019236.4957899195</v>
      </c>
      <c r="BI69">
        <f t="shared" si="3"/>
        <v>0</v>
      </c>
      <c r="BJ69" s="95">
        <f t="shared" si="4"/>
        <v>1</v>
      </c>
      <c r="BP69" s="217">
        <f t="shared" si="7"/>
        <v>1019236.4957899195</v>
      </c>
    </row>
    <row r="70" spans="1:74">
      <c r="A70" s="11">
        <v>64</v>
      </c>
      <c r="C70" s="27">
        <v>0.9226092159004764</v>
      </c>
      <c r="D70" s="27">
        <v>7.7390784099523602E-2</v>
      </c>
      <c r="E70" s="27">
        <v>0</v>
      </c>
      <c r="F70" s="27">
        <v>0.85982210979673757</v>
      </c>
      <c r="G70" s="27">
        <v>0.14017789020326238</v>
      </c>
      <c r="H70" s="27">
        <v>0</v>
      </c>
      <c r="I70" s="27">
        <v>0.74764679828228731</v>
      </c>
      <c r="J70" s="27">
        <v>0.25235320171771269</v>
      </c>
      <c r="K70" s="27">
        <v>0</v>
      </c>
      <c r="L70" s="27">
        <v>5.8131848961219701E-2</v>
      </c>
      <c r="M70" s="27">
        <v>0.55959653345191906</v>
      </c>
      <c r="N70" s="27">
        <v>0.38227161758686123</v>
      </c>
      <c r="O70" s="27">
        <v>-11.198946804598407</v>
      </c>
      <c r="P70" s="27">
        <v>3.8412227250668889E-2</v>
      </c>
      <c r="Q70" s="27">
        <v>6.8708800942013078E-5</v>
      </c>
      <c r="R70" s="27">
        <v>1.04660944295408</v>
      </c>
      <c r="S70" s="154"/>
      <c r="T70">
        <v>0.8950323404519841</v>
      </c>
      <c r="U70">
        <v>2.2194919070852879</v>
      </c>
      <c r="V70">
        <v>2.9669856796185248</v>
      </c>
      <c r="W70">
        <v>1</v>
      </c>
      <c r="Y70" s="2">
        <v>230.93580476741724</v>
      </c>
      <c r="Z70" s="2">
        <v>8933.5257942558874</v>
      </c>
      <c r="AA70" s="2">
        <v>2404.4510323902427</v>
      </c>
      <c r="AB70" s="2">
        <v>6909.9589443058512</v>
      </c>
      <c r="AC70" s="2">
        <v>707.69149718225731</v>
      </c>
      <c r="AD70" s="2">
        <v>23.144368276951603</v>
      </c>
      <c r="AE70" s="2">
        <v>547.14177903550376</v>
      </c>
      <c r="AF70" s="2">
        <v>1061.2860019730542</v>
      </c>
      <c r="AG70" s="2">
        <v>117.34957780814011</v>
      </c>
      <c r="AH70" s="2">
        <v>487.18046156732134</v>
      </c>
      <c r="AI70" s="2">
        <v>354820.08735967427</v>
      </c>
      <c r="AJ70" s="2">
        <v>334452.02903787867</v>
      </c>
      <c r="AL70" s="27">
        <v>0.91522597434053832</v>
      </c>
      <c r="AM70" s="27">
        <v>0.91489160607393638</v>
      </c>
      <c r="AN70" s="27">
        <v>0.90066312188467801</v>
      </c>
      <c r="AO70" s="27">
        <v>0.80476226177191545</v>
      </c>
      <c r="AP70" s="27">
        <v>0.7578441003986629</v>
      </c>
      <c r="AQ70" s="27">
        <v>0.91522597434053832</v>
      </c>
      <c r="AR70" s="27">
        <v>0.91489160607393638</v>
      </c>
      <c r="AS70" s="27">
        <v>0.90066312188467801</v>
      </c>
      <c r="AT70" s="27">
        <v>0.80476226177191545</v>
      </c>
      <c r="AU70" s="27">
        <v>0.7578441003986629</v>
      </c>
      <c r="AW70" s="1">
        <v>14.180185846677608</v>
      </c>
      <c r="AX70" s="1">
        <v>16.145781415319703</v>
      </c>
      <c r="AY70" s="2">
        <v>1515480.2900944955</v>
      </c>
      <c r="AZ70" s="1">
        <v>15.584301674020463</v>
      </c>
      <c r="BA70" s="1">
        <v>17.540057413345121</v>
      </c>
      <c r="BB70" s="2">
        <v>1194044.7149662825</v>
      </c>
      <c r="BC70" s="2">
        <f t="shared" si="5"/>
        <v>-321435.57512821304</v>
      </c>
      <c r="BD70" s="292">
        <f t="shared" si="6"/>
        <v>1.4041158273428547</v>
      </c>
      <c r="BF70" s="170">
        <f t="shared" si="1"/>
        <v>753349.44537392189</v>
      </c>
      <c r="BG70" s="2">
        <f t="shared" si="2"/>
        <v>1299443.5528769915</v>
      </c>
      <c r="BI70">
        <f t="shared" si="3"/>
        <v>0</v>
      </c>
      <c r="BJ70" s="95">
        <f t="shared" si="4"/>
        <v>1</v>
      </c>
      <c r="BP70" s="217">
        <f t="shared" si="7"/>
        <v>1299443.5528769915</v>
      </c>
    </row>
    <row r="71" spans="1:74">
      <c r="A71" s="11">
        <v>65</v>
      </c>
      <c r="C71" s="27">
        <v>0.92757863516159889</v>
      </c>
      <c r="D71" s="27">
        <v>7.2421364838401101E-2</v>
      </c>
      <c r="E71" s="27">
        <v>0</v>
      </c>
      <c r="F71" s="27">
        <v>0.85903643211211522</v>
      </c>
      <c r="G71" s="27">
        <v>0.14096356788788475</v>
      </c>
      <c r="H71" s="27">
        <v>0</v>
      </c>
      <c r="I71" s="27">
        <v>0.74913593768371733</v>
      </c>
      <c r="J71" s="27">
        <v>0.25086406231628267</v>
      </c>
      <c r="K71" s="27">
        <v>0</v>
      </c>
      <c r="L71" s="27">
        <v>0.1396321694106758</v>
      </c>
      <c r="M71" s="27">
        <v>0.48436005886952882</v>
      </c>
      <c r="N71" s="27">
        <v>0.37600777171979538</v>
      </c>
      <c r="O71" s="27">
        <v>-10.972899632337217</v>
      </c>
      <c r="P71" s="27">
        <v>3.2890260040406814E-2</v>
      </c>
      <c r="Q71" s="27">
        <v>6.8306289404609441E-5</v>
      </c>
      <c r="R71" s="27">
        <v>1.0660306194673643</v>
      </c>
      <c r="S71" s="154"/>
      <c r="T71">
        <v>1.0705558031641549</v>
      </c>
      <c r="U71">
        <v>2.2529533812975067</v>
      </c>
      <c r="V71">
        <v>2.9268565204739732</v>
      </c>
      <c r="W71">
        <v>1</v>
      </c>
      <c r="Y71" s="2">
        <v>19.968689620122888</v>
      </c>
      <c r="Z71" s="2">
        <v>1687.4160434676417</v>
      </c>
      <c r="AA71" s="2">
        <v>1499.1419317677946</v>
      </c>
      <c r="AB71" s="2">
        <v>3900.3646385141774</v>
      </c>
      <c r="AC71" s="2">
        <v>2907.7675124845791</v>
      </c>
      <c r="AD71" s="2">
        <v>515.418303042405</v>
      </c>
      <c r="AE71" s="2">
        <v>578.13826128342919</v>
      </c>
      <c r="AF71" s="2">
        <v>1276.9477186189579</v>
      </c>
      <c r="AG71" s="2">
        <v>218.15087100972985</v>
      </c>
      <c r="AH71" s="2">
        <v>407.5961229308142</v>
      </c>
      <c r="AI71" s="2">
        <v>554690.54383778665</v>
      </c>
      <c r="AJ71" s="2">
        <v>522656.61108817084</v>
      </c>
      <c r="AL71" s="27">
        <v>0.91631655718235638</v>
      </c>
      <c r="AM71" s="27">
        <v>0.91623886354918027</v>
      </c>
      <c r="AN71" s="27">
        <v>0.90958460793695683</v>
      </c>
      <c r="AO71" s="27">
        <v>0.86778795184240853</v>
      </c>
      <c r="AP71" s="27">
        <v>0.64597311003500368</v>
      </c>
      <c r="AQ71" s="27">
        <v>0.91631655718235638</v>
      </c>
      <c r="AR71" s="27">
        <v>0.91623886354918027</v>
      </c>
      <c r="AS71" s="27">
        <v>0.90958460793695683</v>
      </c>
      <c r="AT71" s="27">
        <v>0.86778795184240853</v>
      </c>
      <c r="AU71" s="27">
        <v>0.64597311003500368</v>
      </c>
      <c r="AW71" s="1">
        <v>13.304621831743948</v>
      </c>
      <c r="AX71" s="1">
        <v>15.477811325740296</v>
      </c>
      <c r="AY71" s="2">
        <v>2062843.9215802965</v>
      </c>
      <c r="AZ71" s="1">
        <v>15.362930117230478</v>
      </c>
      <c r="BA71" s="1">
        <v>17.432598892572397</v>
      </c>
      <c r="BB71" s="2">
        <v>1475723.0724770196</v>
      </c>
      <c r="BC71" s="2">
        <f t="shared" si="5"/>
        <v>-587120.84910327685</v>
      </c>
      <c r="BD71" s="292">
        <f t="shared" si="6"/>
        <v>2.0583082854865307</v>
      </c>
      <c r="BF71" s="170">
        <f t="shared" ref="BF71:BF134" si="10">AW71*Threshold-AY71</f>
        <v>65895.571498735342</v>
      </c>
      <c r="BG71" s="2">
        <f t="shared" ref="BG71:BG134" si="11">AZ71*Threshold-BB71</f>
        <v>982345.74627985689</v>
      </c>
      <c r="BI71">
        <f t="shared" ref="BI71:BI134" si="12">IF(MAX($BF71:$BG71)=$BF71,1,0)</f>
        <v>0</v>
      </c>
      <c r="BJ71" s="95">
        <f t="shared" ref="BJ71:BJ134" si="13">IF(MAX($BF71:$BG71)=$BF71,0,1)</f>
        <v>1</v>
      </c>
      <c r="BP71" s="217">
        <f t="shared" si="7"/>
        <v>982345.74627985689</v>
      </c>
    </row>
    <row r="72" spans="1:74">
      <c r="A72" s="11">
        <v>66</v>
      </c>
      <c r="C72" s="27">
        <v>0.92210583728004303</v>
      </c>
      <c r="D72" s="27">
        <v>7.7894162719956972E-2</v>
      </c>
      <c r="E72" s="27">
        <v>0</v>
      </c>
      <c r="F72" s="27">
        <v>0.85895778512066956</v>
      </c>
      <c r="G72" s="27">
        <v>0.14104221487933039</v>
      </c>
      <c r="H72" s="27">
        <v>0</v>
      </c>
      <c r="I72" s="27">
        <v>0.74940578588202666</v>
      </c>
      <c r="J72" s="27">
        <v>0.25059421411797334</v>
      </c>
      <c r="K72" s="27">
        <v>0</v>
      </c>
      <c r="L72" s="27">
        <v>5.7297376011668288E-2</v>
      </c>
      <c r="M72" s="27">
        <v>0.52285221287300332</v>
      </c>
      <c r="N72" s="27">
        <v>0.41985041111532839</v>
      </c>
      <c r="O72" s="27">
        <v>-11.301955245380549</v>
      </c>
      <c r="P72" s="27">
        <v>3.6892148346759662E-2</v>
      </c>
      <c r="Q72" s="27">
        <v>5.8149980472242209E-5</v>
      </c>
      <c r="R72" s="27">
        <v>1.0826278462050474</v>
      </c>
      <c r="S72" s="154"/>
      <c r="T72">
        <v>0.8967714933965969</v>
      </c>
      <c r="U72">
        <v>2.3081021353347664</v>
      </c>
      <c r="V72">
        <v>3.0640140495779016</v>
      </c>
      <c r="W72">
        <v>1</v>
      </c>
      <c r="Y72" s="2">
        <v>1139.6872305105883</v>
      </c>
      <c r="Z72" s="2">
        <v>12292.431630072691</v>
      </c>
      <c r="AA72" s="2">
        <v>1605.6343285041874</v>
      </c>
      <c r="AB72" s="2">
        <v>4480.9350173942876</v>
      </c>
      <c r="AC72" s="2">
        <v>1002.0159368998228</v>
      </c>
      <c r="AD72" s="2">
        <v>161.03488884825722</v>
      </c>
      <c r="AE72" s="2">
        <v>546.50728751733266</v>
      </c>
      <c r="AF72" s="2">
        <v>866.70985075374585</v>
      </c>
      <c r="AG72" s="2">
        <v>163.41372425269759</v>
      </c>
      <c r="AH72" s="2">
        <v>534.42867082858959</v>
      </c>
      <c r="AI72" s="2">
        <v>552194.04936915473</v>
      </c>
      <c r="AJ72" s="2">
        <v>510823.68735312246</v>
      </c>
      <c r="AL72" s="27">
        <v>0.90780818849826639</v>
      </c>
      <c r="AM72" s="27">
        <v>0.907026856746313</v>
      </c>
      <c r="AN72" s="27">
        <v>0.90811202302890015</v>
      </c>
      <c r="AO72" s="27">
        <v>0.8764712950678486</v>
      </c>
      <c r="AP72" s="27">
        <v>0.68750274200252781</v>
      </c>
      <c r="AQ72" s="27">
        <v>0.90780818849826639</v>
      </c>
      <c r="AR72" s="27">
        <v>0.907026856746313</v>
      </c>
      <c r="AS72" s="27">
        <v>0.90811202302890015</v>
      </c>
      <c r="AT72" s="27">
        <v>0.8764712950678486</v>
      </c>
      <c r="AU72" s="27">
        <v>0.68750274200252781</v>
      </c>
      <c r="AW72" s="1">
        <v>13.540440906494146</v>
      </c>
      <c r="AX72" s="1">
        <v>15.652168208765275</v>
      </c>
      <c r="AY72" s="2">
        <v>2054833.7663986243</v>
      </c>
      <c r="AZ72" s="1">
        <v>15.136181440602837</v>
      </c>
      <c r="BA72" s="1">
        <v>17.223167075105462</v>
      </c>
      <c r="BB72" s="2">
        <v>1483813.8863971052</v>
      </c>
      <c r="BC72" s="2">
        <f t="shared" ref="BC72:BC135" si="14">BB72-AY72</f>
        <v>-571019.88000151911</v>
      </c>
      <c r="BD72" s="292">
        <f t="shared" ref="BD72:BD135" si="15">AZ72-AW72</f>
        <v>1.5957405341086908</v>
      </c>
      <c r="BF72" s="170">
        <f t="shared" si="10"/>
        <v>111636.77864043904</v>
      </c>
      <c r="BG72" s="2">
        <f t="shared" si="11"/>
        <v>937975.14409934869</v>
      </c>
      <c r="BI72">
        <f t="shared" si="12"/>
        <v>0</v>
      </c>
      <c r="BJ72" s="95">
        <f t="shared" si="13"/>
        <v>1</v>
      </c>
      <c r="BP72" s="217">
        <f t="shared" ref="BP72:BP135" si="16">MAX(BF72,BG72)</f>
        <v>937975.14409934869</v>
      </c>
    </row>
    <row r="73" spans="1:74">
      <c r="A73" s="11">
        <v>67</v>
      </c>
      <c r="C73" s="27">
        <v>0.92151681815722142</v>
      </c>
      <c r="D73" s="27">
        <v>7.8483181842778582E-2</v>
      </c>
      <c r="E73" s="27">
        <v>0</v>
      </c>
      <c r="F73" s="27">
        <v>0.85065300779726016</v>
      </c>
      <c r="G73" s="27">
        <v>0.14934699220273984</v>
      </c>
      <c r="H73" s="27">
        <v>0</v>
      </c>
      <c r="I73" s="27">
        <v>0.74479525557069703</v>
      </c>
      <c r="J73" s="27">
        <v>0.25520474442930297</v>
      </c>
      <c r="K73" s="27">
        <v>0</v>
      </c>
      <c r="L73" s="27">
        <v>0.18984738456575312</v>
      </c>
      <c r="M73" s="27">
        <v>0.46969392879815447</v>
      </c>
      <c r="N73" s="27">
        <v>0.34045868663609236</v>
      </c>
      <c r="O73" s="27">
        <v>-11.247089926518722</v>
      </c>
      <c r="P73" s="27">
        <v>3.1698943119900853E-2</v>
      </c>
      <c r="Q73" s="27">
        <v>4.9391396172739466E-5</v>
      </c>
      <c r="R73" s="27">
        <v>1.110005771582985</v>
      </c>
      <c r="S73" s="154"/>
      <c r="T73">
        <v>1.1998178153331969</v>
      </c>
      <c r="U73">
        <v>2.2399365204848234</v>
      </c>
      <c r="V73">
        <v>2.7538704643412473</v>
      </c>
      <c r="W73">
        <v>1</v>
      </c>
      <c r="Y73" s="2">
        <v>211.85260065728002</v>
      </c>
      <c r="Z73" s="2">
        <v>2588.0738149290232</v>
      </c>
      <c r="AA73" s="2">
        <v>573.94856068971717</v>
      </c>
      <c r="AB73" s="2">
        <v>1894.4371781323323</v>
      </c>
      <c r="AC73" s="2">
        <v>476.40116442805117</v>
      </c>
      <c r="AD73" s="2">
        <v>1082.3233365612291</v>
      </c>
      <c r="AE73" s="2">
        <v>581.23213993426782</v>
      </c>
      <c r="AF73" s="2">
        <v>966.91056377937866</v>
      </c>
      <c r="AG73" s="2">
        <v>184.76301939037052</v>
      </c>
      <c r="AH73" s="2">
        <v>372.02174829194718</v>
      </c>
      <c r="AI73" s="2">
        <v>447097.6331198978</v>
      </c>
      <c r="AJ73" s="2">
        <v>418786.62283008575</v>
      </c>
      <c r="AL73" s="27">
        <v>0.91405645107867917</v>
      </c>
      <c r="AM73" s="27">
        <v>0.91634543149320002</v>
      </c>
      <c r="AN73" s="27">
        <v>0.90378900989567068</v>
      </c>
      <c r="AO73" s="27">
        <v>0.8566582407875627</v>
      </c>
      <c r="AP73" s="27">
        <v>0.71099309722238035</v>
      </c>
      <c r="AQ73" s="27">
        <v>0.91405645107867917</v>
      </c>
      <c r="AR73" s="27">
        <v>0.91634543149320002</v>
      </c>
      <c r="AS73" s="27">
        <v>0.90378900989567068</v>
      </c>
      <c r="AT73" s="27">
        <v>0.8566582407875627</v>
      </c>
      <c r="AU73" s="27">
        <v>0.71099309722238035</v>
      </c>
      <c r="AW73" s="1">
        <v>12.876382542946855</v>
      </c>
      <c r="AX73" s="1">
        <v>14.886014456351022</v>
      </c>
      <c r="AY73" s="2">
        <v>1770522.8981289277</v>
      </c>
      <c r="AZ73" s="1">
        <v>15.198169810914697</v>
      </c>
      <c r="BA73" s="1">
        <v>17.170424138960286</v>
      </c>
      <c r="BB73" s="2">
        <v>1214010.5372679341</v>
      </c>
      <c r="BC73" s="2">
        <f t="shared" si="14"/>
        <v>-556512.36086099362</v>
      </c>
      <c r="BD73" s="292">
        <f t="shared" si="15"/>
        <v>2.3217872679678422</v>
      </c>
      <c r="BF73" s="170">
        <f t="shared" si="10"/>
        <v>289698.30874256906</v>
      </c>
      <c r="BG73" s="2">
        <f t="shared" si="11"/>
        <v>1217696.6324784174</v>
      </c>
      <c r="BI73">
        <f t="shared" si="12"/>
        <v>0</v>
      </c>
      <c r="BJ73" s="95">
        <f t="shared" si="13"/>
        <v>1</v>
      </c>
      <c r="BP73" s="217">
        <f t="shared" si="16"/>
        <v>1217696.6324784174</v>
      </c>
    </row>
    <row r="74" spans="1:74">
      <c r="A74" s="11">
        <v>68</v>
      </c>
      <c r="C74" s="27">
        <v>0.92242645961178826</v>
      </c>
      <c r="D74" s="27">
        <v>7.7573540388211737E-2</v>
      </c>
      <c r="E74" s="27">
        <v>0</v>
      </c>
      <c r="F74" s="27">
        <v>0.85726584609653889</v>
      </c>
      <c r="G74" s="27">
        <v>0.14273415390346111</v>
      </c>
      <c r="H74" s="27">
        <v>0</v>
      </c>
      <c r="I74" s="27">
        <v>0.75257071850379365</v>
      </c>
      <c r="J74" s="27">
        <v>0.24742928149620633</v>
      </c>
      <c r="K74" s="27">
        <v>0</v>
      </c>
      <c r="L74" s="27">
        <v>0.11063046180894054</v>
      </c>
      <c r="M74" s="27">
        <v>0.44926075617623612</v>
      </c>
      <c r="N74" s="27">
        <v>0.4401087820148234</v>
      </c>
      <c r="O74" s="27">
        <v>-11.002740138279696</v>
      </c>
      <c r="P74" s="27">
        <v>3.2095849357332978E-2</v>
      </c>
      <c r="Q74" s="27">
        <v>6.4122549779367221E-5</v>
      </c>
      <c r="R74" s="27">
        <v>1.0686982380617474</v>
      </c>
      <c r="S74" s="154"/>
      <c r="T74">
        <v>1.06513583635009</v>
      </c>
      <c r="U74">
        <v>2.2736361480691367</v>
      </c>
      <c r="V74">
        <v>3.3012806885858281</v>
      </c>
      <c r="W74">
        <v>1</v>
      </c>
      <c r="Y74" s="2">
        <v>1320.1486499209116</v>
      </c>
      <c r="Z74" s="2">
        <v>4349.7817828513271</v>
      </c>
      <c r="AA74" s="2">
        <v>382.37406518024778</v>
      </c>
      <c r="AB74" s="2">
        <v>9313.4647969417911</v>
      </c>
      <c r="AC74" s="2">
        <v>162.93927041018648</v>
      </c>
      <c r="AD74" s="2">
        <v>1320.6380667370543</v>
      </c>
      <c r="AE74" s="2">
        <v>517.32314872711197</v>
      </c>
      <c r="AF74" s="2">
        <v>929.37496101392856</v>
      </c>
      <c r="AG74" s="2">
        <v>128.29254514467445</v>
      </c>
      <c r="AH74" s="2">
        <v>279.11679298337725</v>
      </c>
      <c r="AI74" s="2">
        <v>484402.16559431283</v>
      </c>
      <c r="AJ74" s="2">
        <v>453375.83607370895</v>
      </c>
      <c r="AL74" s="27">
        <v>0.91821604517866828</v>
      </c>
      <c r="AM74" s="27">
        <v>0.91541973691433542</v>
      </c>
      <c r="AN74" s="27">
        <v>0.90205820532918979</v>
      </c>
      <c r="AO74" s="27">
        <v>0.89408370819655669</v>
      </c>
      <c r="AP74" s="27">
        <v>0.67028675726158693</v>
      </c>
      <c r="AQ74" s="27">
        <v>0.91821604517866828</v>
      </c>
      <c r="AR74" s="27">
        <v>0.91541973691433542</v>
      </c>
      <c r="AS74" s="27">
        <v>0.90205820532918979</v>
      </c>
      <c r="AT74" s="27">
        <v>0.89408370819655669</v>
      </c>
      <c r="AU74" s="27">
        <v>0.67028675726158693</v>
      </c>
      <c r="AW74" s="1">
        <v>12.928697772850327</v>
      </c>
      <c r="AX74" s="1">
        <v>14.913689959898287</v>
      </c>
      <c r="AY74" s="2">
        <v>1727654.1714559076</v>
      </c>
      <c r="AZ74" s="1">
        <v>15.129148008046515</v>
      </c>
      <c r="BA74" s="1">
        <v>17.076343540250747</v>
      </c>
      <c r="BB74" s="2">
        <v>1310503.9423845464</v>
      </c>
      <c r="BC74" s="2">
        <f t="shared" si="14"/>
        <v>-417150.22907136125</v>
      </c>
      <c r="BD74" s="292">
        <f t="shared" si="15"/>
        <v>2.2004502351961879</v>
      </c>
      <c r="BF74" s="170">
        <f t="shared" si="10"/>
        <v>340937.47220014478</v>
      </c>
      <c r="BG74" s="2">
        <f t="shared" si="11"/>
        <v>1110159.7389028959</v>
      </c>
      <c r="BI74">
        <f t="shared" si="12"/>
        <v>0</v>
      </c>
      <c r="BJ74" s="95">
        <f t="shared" si="13"/>
        <v>1</v>
      </c>
      <c r="BP74" s="217">
        <f t="shared" si="16"/>
        <v>1110159.7389028959</v>
      </c>
    </row>
    <row r="75" spans="1:74">
      <c r="A75" s="11">
        <v>69</v>
      </c>
      <c r="C75" s="27">
        <v>0.92274207195553248</v>
      </c>
      <c r="D75" s="27">
        <v>7.7257928044467516E-2</v>
      </c>
      <c r="E75" s="27">
        <v>0</v>
      </c>
      <c r="F75" s="27">
        <v>0.86104274836909855</v>
      </c>
      <c r="G75" s="27">
        <v>0.13895725163090147</v>
      </c>
      <c r="H75" s="27">
        <v>0</v>
      </c>
      <c r="I75" s="27">
        <v>0.74094789420049201</v>
      </c>
      <c r="J75" s="27">
        <v>0.25905210579950799</v>
      </c>
      <c r="K75" s="27">
        <v>0</v>
      </c>
      <c r="L75" s="27">
        <v>0.14239545069905707</v>
      </c>
      <c r="M75" s="27">
        <v>0.4962465353632648</v>
      </c>
      <c r="N75" s="27">
        <v>0.36135801393767814</v>
      </c>
      <c r="O75" s="27">
        <v>-11.046816083566975</v>
      </c>
      <c r="P75" s="27">
        <v>3.4809371476960074E-2</v>
      </c>
      <c r="Q75" s="27">
        <v>6.8764531152404212E-5</v>
      </c>
      <c r="R75" s="27">
        <v>1.0554828574115727</v>
      </c>
      <c r="S75" s="154"/>
      <c r="T75">
        <v>0.96601003669075414</v>
      </c>
      <c r="U75">
        <v>2.2841602647958013</v>
      </c>
      <c r="V75">
        <v>3.1320864875045933</v>
      </c>
      <c r="W75">
        <v>1</v>
      </c>
      <c r="Y75" s="2">
        <v>368.91300542351291</v>
      </c>
      <c r="Z75" s="2">
        <v>5902.2245955704966</v>
      </c>
      <c r="AA75" s="2">
        <v>2162.0790647322369</v>
      </c>
      <c r="AB75" s="2">
        <v>8700.8814135794182</v>
      </c>
      <c r="AC75" s="2">
        <v>495.84792853880788</v>
      </c>
      <c r="AD75" s="2">
        <v>64.086173833066141</v>
      </c>
      <c r="AE75" s="2">
        <v>569.26848136702347</v>
      </c>
      <c r="AF75" s="2">
        <v>806.6036796554115</v>
      </c>
      <c r="AG75" s="2">
        <v>105.17065304548301</v>
      </c>
      <c r="AH75" s="2">
        <v>353.20443638511694</v>
      </c>
      <c r="AI75" s="2">
        <v>490330.8531931286</v>
      </c>
      <c r="AJ75" s="2">
        <v>455198.12867090595</v>
      </c>
      <c r="AL75" s="27">
        <v>0.91780929973472924</v>
      </c>
      <c r="AM75" s="27">
        <v>0.91593225241841292</v>
      </c>
      <c r="AN75" s="27">
        <v>0.91392797760051758</v>
      </c>
      <c r="AO75" s="27">
        <v>0.89792069165303279</v>
      </c>
      <c r="AP75" s="27">
        <v>0.73677808125658539</v>
      </c>
      <c r="AQ75" s="27">
        <v>0.91780929973472924</v>
      </c>
      <c r="AR75" s="27">
        <v>0.91593225241841292</v>
      </c>
      <c r="AS75" s="27">
        <v>0.91392797760051758</v>
      </c>
      <c r="AT75" s="27">
        <v>0.89792069165303279</v>
      </c>
      <c r="AU75" s="27">
        <v>0.73677808125658539</v>
      </c>
      <c r="AW75" s="1">
        <v>13.834305962948502</v>
      </c>
      <c r="AX75" s="1">
        <v>15.739221182359849</v>
      </c>
      <c r="AY75" s="2">
        <v>1931086.7759233464</v>
      </c>
      <c r="AZ75" s="1">
        <v>15.549407764225609</v>
      </c>
      <c r="BA75" s="1">
        <v>17.429645492548527</v>
      </c>
      <c r="BB75" s="2">
        <v>1498239.749706897</v>
      </c>
      <c r="BC75" s="2">
        <f t="shared" si="14"/>
        <v>-432847.02621644945</v>
      </c>
      <c r="BD75" s="292">
        <f t="shared" si="15"/>
        <v>1.7151018012771075</v>
      </c>
      <c r="BF75" s="170">
        <f t="shared" si="10"/>
        <v>282402.17814841378</v>
      </c>
      <c r="BG75" s="2">
        <f t="shared" si="11"/>
        <v>989665.49256920069</v>
      </c>
      <c r="BI75">
        <f t="shared" si="12"/>
        <v>0</v>
      </c>
      <c r="BJ75" s="95">
        <f t="shared" si="13"/>
        <v>1</v>
      </c>
      <c r="BP75" s="217">
        <f t="shared" si="16"/>
        <v>989665.49256920069</v>
      </c>
    </row>
    <row r="76" spans="1:74">
      <c r="A76" s="11">
        <v>70</v>
      </c>
      <c r="C76" s="27">
        <v>0.92574179762685294</v>
      </c>
      <c r="D76" s="27">
        <v>7.4258202373147009E-2</v>
      </c>
      <c r="E76" s="27">
        <v>0</v>
      </c>
      <c r="F76" s="27">
        <v>0.85628983275390147</v>
      </c>
      <c r="G76" s="27">
        <v>0.14371016724609853</v>
      </c>
      <c r="H76" s="27">
        <v>0</v>
      </c>
      <c r="I76" s="27">
        <v>0.75105217313504025</v>
      </c>
      <c r="J76" s="27">
        <v>0.24894782686495975</v>
      </c>
      <c r="K76" s="27">
        <v>0</v>
      </c>
      <c r="L76" s="27">
        <v>0.12972745334959745</v>
      </c>
      <c r="M76" s="27">
        <v>0.5541670395341658</v>
      </c>
      <c r="N76" s="27">
        <v>0.31610550711623675</v>
      </c>
      <c r="O76" s="27">
        <v>-11.368477422873584</v>
      </c>
      <c r="P76" s="27">
        <v>3.554390840084478E-2</v>
      </c>
      <c r="Q76" s="27">
        <v>5.1412292004449288E-5</v>
      </c>
      <c r="R76" s="27">
        <v>1.0987590185233596</v>
      </c>
      <c r="S76" s="154"/>
      <c r="T76">
        <v>0.95973140976828641</v>
      </c>
      <c r="U76">
        <v>2.3402428763987571</v>
      </c>
      <c r="V76">
        <v>2.9083855928173774</v>
      </c>
      <c r="W76">
        <v>1</v>
      </c>
      <c r="Y76" s="2">
        <v>467.24640341081619</v>
      </c>
      <c r="Z76" s="2">
        <v>464.84585643673046</v>
      </c>
      <c r="AA76" s="2">
        <v>954.53399282429928</v>
      </c>
      <c r="AB76" s="2">
        <v>1801.7311133488452</v>
      </c>
      <c r="AC76" s="2">
        <v>351.53518414903135</v>
      </c>
      <c r="AD76" s="2">
        <v>606.31844788422165</v>
      </c>
      <c r="AE76" s="2">
        <v>565.88270367555151</v>
      </c>
      <c r="AF76" s="2">
        <v>1102.5802241636172</v>
      </c>
      <c r="AG76" s="2">
        <v>133.81177464839644</v>
      </c>
      <c r="AH76" s="2">
        <v>148.36455575661066</v>
      </c>
      <c r="AI76" s="2">
        <v>431930.73185763985</v>
      </c>
      <c r="AJ76" s="2">
        <v>403193.3158238334</v>
      </c>
      <c r="AL76" s="27">
        <v>0.91805014999132672</v>
      </c>
      <c r="AM76" s="27">
        <v>0.91057081535253948</v>
      </c>
      <c r="AN76" s="27">
        <v>0.904077421314331</v>
      </c>
      <c r="AO76" s="27">
        <v>0.85165733148190448</v>
      </c>
      <c r="AP76" s="27">
        <v>0.77935904431231307</v>
      </c>
      <c r="AQ76" s="27">
        <v>0.91805014999132672</v>
      </c>
      <c r="AR76" s="27">
        <v>0.91057081535253948</v>
      </c>
      <c r="AS76" s="27">
        <v>0.904077421314331</v>
      </c>
      <c r="AT76" s="27">
        <v>0.85165733148190448</v>
      </c>
      <c r="AU76" s="27">
        <v>0.77935904431231307</v>
      </c>
      <c r="AW76" s="1">
        <v>14.172945371126822</v>
      </c>
      <c r="AX76" s="1">
        <v>16.018080869143439</v>
      </c>
      <c r="AY76" s="2">
        <v>1684686.2945292143</v>
      </c>
      <c r="AZ76" s="1">
        <v>15.746874997926819</v>
      </c>
      <c r="BA76" s="1">
        <v>17.611029215564603</v>
      </c>
      <c r="BB76" s="2">
        <v>1259154.2693662953</v>
      </c>
      <c r="BC76" s="2">
        <f t="shared" si="14"/>
        <v>-425532.02516291896</v>
      </c>
      <c r="BD76" s="292">
        <f t="shared" si="15"/>
        <v>1.5739296267999965</v>
      </c>
      <c r="BF76" s="170">
        <f t="shared" si="10"/>
        <v>582984.96485107741</v>
      </c>
      <c r="BG76" s="2">
        <f t="shared" si="11"/>
        <v>1260345.7303019955</v>
      </c>
      <c r="BI76">
        <f t="shared" si="12"/>
        <v>0</v>
      </c>
      <c r="BJ76" s="95">
        <f t="shared" si="13"/>
        <v>1</v>
      </c>
      <c r="BP76" s="217">
        <f t="shared" si="16"/>
        <v>1260345.7303019955</v>
      </c>
    </row>
    <row r="77" spans="1:74">
      <c r="A77" s="11">
        <v>71</v>
      </c>
      <c r="C77" s="27">
        <v>0.92181832121704521</v>
      </c>
      <c r="D77" s="27">
        <v>7.8181678782954789E-2</v>
      </c>
      <c r="E77" s="27">
        <v>0</v>
      </c>
      <c r="F77" s="27">
        <v>0.85789975409321451</v>
      </c>
      <c r="G77" s="27">
        <v>0.14210024590678555</v>
      </c>
      <c r="H77" s="27">
        <v>0</v>
      </c>
      <c r="I77" s="27">
        <v>0.747783276052988</v>
      </c>
      <c r="J77" s="27">
        <v>0.252216723947012</v>
      </c>
      <c r="K77" s="27">
        <v>0</v>
      </c>
      <c r="L77" s="27">
        <v>0.14531180528273679</v>
      </c>
      <c r="M77" s="27">
        <v>0.51599565800348934</v>
      </c>
      <c r="N77" s="27">
        <v>0.33869253671377386</v>
      </c>
      <c r="O77" s="27">
        <v>-10.954111056436265</v>
      </c>
      <c r="P77" s="27">
        <v>2.9016228101529901E-2</v>
      </c>
      <c r="Q77" s="27">
        <v>5.9150265665006108E-5</v>
      </c>
      <c r="R77" s="27">
        <v>1.0884902230574549</v>
      </c>
      <c r="S77" s="154"/>
      <c r="T77">
        <v>0.97035935146068553</v>
      </c>
      <c r="U77">
        <v>2.2243222520383727</v>
      </c>
      <c r="V77">
        <v>3.0652429906771586</v>
      </c>
      <c r="W77">
        <v>1</v>
      </c>
      <c r="Y77" s="2">
        <v>138.12930855584668</v>
      </c>
      <c r="Z77" s="2">
        <v>1719.9594795875917</v>
      </c>
      <c r="AA77" s="2">
        <v>253.49249503190245</v>
      </c>
      <c r="AB77" s="2">
        <v>2979.6562458674248</v>
      </c>
      <c r="AC77" s="2">
        <v>202.75050412131515</v>
      </c>
      <c r="AD77" s="2">
        <v>164.26877707551682</v>
      </c>
      <c r="AE77" s="2">
        <v>512.48427161712561</v>
      </c>
      <c r="AF77" s="2">
        <v>804.06682926380358</v>
      </c>
      <c r="AG77" s="2">
        <v>153.45077749833948</v>
      </c>
      <c r="AH77" s="2">
        <v>203.50131545413404</v>
      </c>
      <c r="AI77" s="2">
        <v>864437.91791796987</v>
      </c>
      <c r="AJ77" s="2">
        <v>843908.24385728885</v>
      </c>
      <c r="AL77" s="27">
        <v>0.91745763060737229</v>
      </c>
      <c r="AM77" s="27">
        <v>0.9073362928501989</v>
      </c>
      <c r="AN77" s="27">
        <v>0.91140928002428157</v>
      </c>
      <c r="AO77" s="27">
        <v>0.83597382507753626</v>
      </c>
      <c r="AP77" s="27">
        <v>0.69393639980303989</v>
      </c>
      <c r="AQ77" s="27">
        <v>0.91745763060737229</v>
      </c>
      <c r="AR77" s="27">
        <v>0.9073362928501989</v>
      </c>
      <c r="AS77" s="27">
        <v>0.91140928002428157</v>
      </c>
      <c r="AT77" s="27">
        <v>0.83597382507753626</v>
      </c>
      <c r="AU77" s="27">
        <v>0.69393639980303989</v>
      </c>
      <c r="AW77" s="1">
        <v>13.566580547447078</v>
      </c>
      <c r="AX77" s="1">
        <v>15.655200301425435</v>
      </c>
      <c r="AY77" s="2">
        <v>3345916.5209969203</v>
      </c>
      <c r="AZ77" s="1">
        <v>15.318259918804983</v>
      </c>
      <c r="BA77" s="1">
        <v>17.360341546651608</v>
      </c>
      <c r="BB77" s="2">
        <v>2436479.3525867402</v>
      </c>
      <c r="BC77" s="2">
        <f t="shared" si="14"/>
        <v>-909437.16841018014</v>
      </c>
      <c r="BD77" s="292">
        <f t="shared" si="15"/>
        <v>1.7516793713579055</v>
      </c>
      <c r="BF77" s="170">
        <f t="shared" si="10"/>
        <v>-1175263.6334053879</v>
      </c>
      <c r="BG77" s="2">
        <f t="shared" si="11"/>
        <v>14442.234422057401</v>
      </c>
      <c r="BI77">
        <f t="shared" si="12"/>
        <v>0</v>
      </c>
      <c r="BJ77" s="95">
        <f t="shared" si="13"/>
        <v>1</v>
      </c>
      <c r="BP77" s="217">
        <f t="shared" si="16"/>
        <v>14442.234422057401</v>
      </c>
    </row>
    <row r="78" spans="1:74">
      <c r="A78" s="11">
        <v>72</v>
      </c>
      <c r="C78" s="27">
        <v>0.92221064580517043</v>
      </c>
      <c r="D78" s="27">
        <v>7.7789354194829574E-2</v>
      </c>
      <c r="E78" s="27">
        <v>0</v>
      </c>
      <c r="F78" s="27">
        <v>0.86260587206681094</v>
      </c>
      <c r="G78" s="27">
        <v>0.13739412793318903</v>
      </c>
      <c r="H78" s="27">
        <v>0</v>
      </c>
      <c r="I78" s="27">
        <v>0.73569428413615001</v>
      </c>
      <c r="J78" s="27">
        <v>0.26430571586384999</v>
      </c>
      <c r="K78" s="27">
        <v>0</v>
      </c>
      <c r="L78" s="27">
        <v>0.14212051576690515</v>
      </c>
      <c r="M78" s="27">
        <v>0.49755798530895146</v>
      </c>
      <c r="N78" s="27">
        <v>0.36032149892414339</v>
      </c>
      <c r="O78" s="27">
        <v>-10.730075529168735</v>
      </c>
      <c r="P78" s="27">
        <v>3.2364688783119697E-2</v>
      </c>
      <c r="Q78" s="27">
        <v>8.5178747283263701E-5</v>
      </c>
      <c r="R78" s="27">
        <v>1.0330761616430291</v>
      </c>
      <c r="S78" s="154"/>
      <c r="T78">
        <v>0.9828812931786346</v>
      </c>
      <c r="U78">
        <v>2.3167666397205569</v>
      </c>
      <c r="V78">
        <v>2.9074536890350813</v>
      </c>
      <c r="W78">
        <v>1</v>
      </c>
      <c r="Y78" s="2">
        <v>1795.5350569073707</v>
      </c>
      <c r="Z78" s="2">
        <v>478.31550189568998</v>
      </c>
      <c r="AA78" s="2">
        <v>1358.0563075937021</v>
      </c>
      <c r="AB78" s="2">
        <v>6258.5437125561994</v>
      </c>
      <c r="AC78" s="2">
        <v>3553.3723951342686</v>
      </c>
      <c r="AD78" s="2">
        <v>271.93185280487523</v>
      </c>
      <c r="AE78" s="2">
        <v>531.00281612905508</v>
      </c>
      <c r="AF78" s="2">
        <v>1208.9642027700156</v>
      </c>
      <c r="AG78" s="2">
        <v>137.70308279760573</v>
      </c>
      <c r="AH78" s="2">
        <v>438.43859481020087</v>
      </c>
      <c r="AI78" s="2">
        <v>719450.26147937845</v>
      </c>
      <c r="AJ78" s="2">
        <v>686963.42444023944</v>
      </c>
      <c r="AL78" s="27">
        <v>0.91669538820304142</v>
      </c>
      <c r="AM78" s="27">
        <v>0.91619763963314149</v>
      </c>
      <c r="AN78" s="27">
        <v>0.89857160660617663</v>
      </c>
      <c r="AO78" s="27">
        <v>0.83005261658034613</v>
      </c>
      <c r="AP78" s="27">
        <v>0.75325299314857597</v>
      </c>
      <c r="AQ78" s="27">
        <v>0.91669538820304142</v>
      </c>
      <c r="AR78" s="27">
        <v>0.91619763963314149</v>
      </c>
      <c r="AS78" s="27">
        <v>0.89857160660617663</v>
      </c>
      <c r="AT78" s="27">
        <v>0.83005261658034613</v>
      </c>
      <c r="AU78" s="27">
        <v>0.75325299314857597</v>
      </c>
      <c r="AW78" s="1">
        <v>13.784157366701264</v>
      </c>
      <c r="AX78" s="1">
        <v>15.704554156979384</v>
      </c>
      <c r="AY78" s="2">
        <v>2880404.217043255</v>
      </c>
      <c r="AZ78" s="1">
        <v>15.5108090353501</v>
      </c>
      <c r="BA78" s="1">
        <v>17.425009951970797</v>
      </c>
      <c r="BB78" s="2">
        <v>2131577.9263084116</v>
      </c>
      <c r="BC78" s="2">
        <f t="shared" si="14"/>
        <v>-748826.29073484335</v>
      </c>
      <c r="BD78" s="292">
        <f t="shared" si="15"/>
        <v>1.7266516686488362</v>
      </c>
      <c r="BF78" s="170">
        <f t="shared" si="10"/>
        <v>-674939.03837105259</v>
      </c>
      <c r="BG78" s="2">
        <f t="shared" si="11"/>
        <v>350151.51934760436</v>
      </c>
      <c r="BI78">
        <f t="shared" si="12"/>
        <v>0</v>
      </c>
      <c r="BJ78" s="95">
        <f t="shared" si="13"/>
        <v>1</v>
      </c>
      <c r="BP78" s="217">
        <f t="shared" si="16"/>
        <v>350151.51934760436</v>
      </c>
    </row>
    <row r="79" spans="1:74">
      <c r="A79" s="11">
        <v>73</v>
      </c>
      <c r="C79" s="27">
        <v>0.92239196194734729</v>
      </c>
      <c r="D79" s="27">
        <v>7.7608038052652706E-2</v>
      </c>
      <c r="E79" s="27">
        <v>0</v>
      </c>
      <c r="F79" s="27">
        <v>0.85622846666589425</v>
      </c>
      <c r="G79" s="27">
        <v>0.14377153333410575</v>
      </c>
      <c r="H79" s="27">
        <v>0</v>
      </c>
      <c r="I79" s="27">
        <v>0.75718145370519685</v>
      </c>
      <c r="J79" s="27">
        <v>0.24281854629480309</v>
      </c>
      <c r="K79" s="27">
        <v>0</v>
      </c>
      <c r="L79" s="27">
        <v>0.12387888239539346</v>
      </c>
      <c r="M79" s="27">
        <v>0.52709711058531206</v>
      </c>
      <c r="N79" s="27">
        <v>0.34902400701929448</v>
      </c>
      <c r="O79" s="27">
        <v>-11.819155990197334</v>
      </c>
      <c r="P79" s="27">
        <v>3.6804380966872441E-2</v>
      </c>
      <c r="Q79" s="27">
        <v>3.4540707927249216E-5</v>
      </c>
      <c r="R79" s="27">
        <v>1.1457693908723052</v>
      </c>
      <c r="S79" s="154"/>
      <c r="T79">
        <v>0.99032625667221785</v>
      </c>
      <c r="U79">
        <v>2.2850936067130219</v>
      </c>
      <c r="V79">
        <v>3.1756121613982717</v>
      </c>
      <c r="W79">
        <v>1</v>
      </c>
      <c r="Y79" s="2">
        <v>1753.8096992932665</v>
      </c>
      <c r="Z79" s="2">
        <v>2837.8982058393531</v>
      </c>
      <c r="AA79" s="2">
        <v>669.05224430783028</v>
      </c>
      <c r="AB79" s="2">
        <v>8706.0218265464482</v>
      </c>
      <c r="AC79" s="2">
        <v>1955.2327654229885</v>
      </c>
      <c r="AD79" s="2">
        <v>836.71496273565674</v>
      </c>
      <c r="AE79" s="2">
        <v>448.53628563529924</v>
      </c>
      <c r="AF79" s="2">
        <v>939.71325050566793</v>
      </c>
      <c r="AG79" s="2">
        <v>133.27674541793445</v>
      </c>
      <c r="AH79" s="2">
        <v>293.22800872877667</v>
      </c>
      <c r="AI79" s="2">
        <v>675603.6929575681</v>
      </c>
      <c r="AJ79" s="2">
        <v>632676.70759262261</v>
      </c>
      <c r="AL79" s="27">
        <v>0.91646887910763686</v>
      </c>
      <c r="AM79" s="27">
        <v>0.91954923831735791</v>
      </c>
      <c r="AN79" s="27">
        <v>0.91236526753459946</v>
      </c>
      <c r="AO79" s="27">
        <v>0.86797142119956483</v>
      </c>
      <c r="AP79" s="27">
        <v>0.68753616611096491</v>
      </c>
      <c r="AQ79" s="27">
        <v>0.91646887910763686</v>
      </c>
      <c r="AR79" s="27">
        <v>0.91954923831735791</v>
      </c>
      <c r="AS79" s="27">
        <v>0.91236526753459946</v>
      </c>
      <c r="AT79" s="27">
        <v>0.86797142119956483</v>
      </c>
      <c r="AU79" s="27">
        <v>0.68753616611096491</v>
      </c>
      <c r="AW79" s="1">
        <v>13.473989835423536</v>
      </c>
      <c r="AX79" s="1">
        <v>15.540591993477673</v>
      </c>
      <c r="AY79" s="2">
        <v>2590868.7729166835</v>
      </c>
      <c r="AZ79" s="1">
        <v>15.367711180343564</v>
      </c>
      <c r="BA79" s="1">
        <v>17.358917912381347</v>
      </c>
      <c r="BB79" s="2">
        <v>1929636.4757525059</v>
      </c>
      <c r="BC79" s="2">
        <f t="shared" si="14"/>
        <v>-661232.29716417752</v>
      </c>
      <c r="BD79" s="292">
        <f t="shared" si="15"/>
        <v>1.8937213449200279</v>
      </c>
      <c r="BF79" s="170">
        <f t="shared" si="10"/>
        <v>-435030.39924891759</v>
      </c>
      <c r="BG79" s="2">
        <f t="shared" si="11"/>
        <v>529197.31310246419</v>
      </c>
      <c r="BI79">
        <f t="shared" si="12"/>
        <v>0</v>
      </c>
      <c r="BJ79" s="95">
        <f t="shared" si="13"/>
        <v>1</v>
      </c>
      <c r="BP79" s="217">
        <f t="shared" si="16"/>
        <v>529197.31310246419</v>
      </c>
    </row>
    <row r="80" spans="1:74">
      <c r="A80" s="11">
        <v>74</v>
      </c>
      <c r="C80" s="27">
        <v>0.9235877832790258</v>
      </c>
      <c r="D80" s="27">
        <v>7.6412216720974244E-2</v>
      </c>
      <c r="E80" s="27">
        <v>0</v>
      </c>
      <c r="F80" s="27">
        <v>0.85761915469058048</v>
      </c>
      <c r="G80" s="27">
        <v>0.14238084530941952</v>
      </c>
      <c r="H80" s="27">
        <v>0</v>
      </c>
      <c r="I80" s="27">
        <v>0.75519140803343054</v>
      </c>
      <c r="J80" s="27">
        <v>0.2448085919665694</v>
      </c>
      <c r="K80" s="27">
        <v>0</v>
      </c>
      <c r="L80" s="27">
        <v>0.22599258393402188</v>
      </c>
      <c r="M80" s="27">
        <v>0.49474192299013681</v>
      </c>
      <c r="N80" s="27">
        <v>0.27926549307584125</v>
      </c>
      <c r="O80" s="27">
        <v>-11.437784682065967</v>
      </c>
      <c r="P80" s="27">
        <v>3.7137113637386365E-2</v>
      </c>
      <c r="Q80" s="27">
        <v>5.128942797953254E-5</v>
      </c>
      <c r="R80" s="27">
        <v>1.088721200902409</v>
      </c>
      <c r="S80" s="154"/>
      <c r="T80">
        <v>0.98388394282106439</v>
      </c>
      <c r="U80">
        <v>2.2747554074014542</v>
      </c>
      <c r="V80">
        <v>3.0484252508491929</v>
      </c>
      <c r="W80">
        <v>1</v>
      </c>
      <c r="Y80" s="2">
        <v>238.13680360368747</v>
      </c>
      <c r="Z80" s="2">
        <v>5467.1139426481795</v>
      </c>
      <c r="AA80" s="2">
        <v>106.50411176651644</v>
      </c>
      <c r="AB80" s="2">
        <v>4439.475581837205</v>
      </c>
      <c r="AC80" s="2">
        <v>1820.8063832279699</v>
      </c>
      <c r="AD80" s="2">
        <v>498.97620055713105</v>
      </c>
      <c r="AE80" s="2">
        <v>585.31312803898459</v>
      </c>
      <c r="AF80" s="2">
        <v>1015.5430290000187</v>
      </c>
      <c r="AG80" s="2">
        <v>151.94363977416492</v>
      </c>
      <c r="AH80" s="2">
        <v>219.54189874538073</v>
      </c>
      <c r="AI80" s="2">
        <v>516367.94953054067</v>
      </c>
      <c r="AJ80" s="2">
        <v>481144.34294654563</v>
      </c>
      <c r="AL80" s="27">
        <v>0.91688649023173208</v>
      </c>
      <c r="AM80" s="27">
        <v>0.91099340819590169</v>
      </c>
      <c r="AN80" s="27">
        <v>0.90360166839957079</v>
      </c>
      <c r="AO80" s="27">
        <v>0.86163970562670966</v>
      </c>
      <c r="AP80" s="27">
        <v>0.63027100757305599</v>
      </c>
      <c r="AQ80" s="27">
        <v>0.91688649023173208</v>
      </c>
      <c r="AR80" s="27">
        <v>0.91099340819590169</v>
      </c>
      <c r="AS80" s="27">
        <v>0.90360166839957079</v>
      </c>
      <c r="AT80" s="27">
        <v>0.86163970562670966</v>
      </c>
      <c r="AU80" s="27">
        <v>0.63027100757305599</v>
      </c>
      <c r="AW80" s="1">
        <v>13.667018596036486</v>
      </c>
      <c r="AX80" s="1">
        <v>16.083592071691026</v>
      </c>
      <c r="AY80" s="2">
        <v>2212421.8491926235</v>
      </c>
      <c r="AZ80" s="1">
        <v>15.444607763645363</v>
      </c>
      <c r="BA80" s="1">
        <v>17.713967933716482</v>
      </c>
      <c r="BB80" s="2">
        <v>1574635.2602768247</v>
      </c>
      <c r="BC80" s="2">
        <f t="shared" si="14"/>
        <v>-637786.58891579881</v>
      </c>
      <c r="BD80" s="292">
        <f t="shared" si="15"/>
        <v>1.7775891676088769</v>
      </c>
      <c r="BF80" s="170">
        <f t="shared" si="10"/>
        <v>-25698.873826785479</v>
      </c>
      <c r="BG80" s="2">
        <f t="shared" si="11"/>
        <v>896501.98190643359</v>
      </c>
      <c r="BI80">
        <f t="shared" si="12"/>
        <v>0</v>
      </c>
      <c r="BJ80" s="95">
        <f t="shared" si="13"/>
        <v>1</v>
      </c>
      <c r="BP80" s="217">
        <f t="shared" si="16"/>
        <v>896501.98190643359</v>
      </c>
    </row>
    <row r="81" spans="1:68">
      <c r="A81" s="11">
        <v>75</v>
      </c>
      <c r="C81" s="27">
        <v>0.92047957517178025</v>
      </c>
      <c r="D81" s="27">
        <v>7.9520424828219749E-2</v>
      </c>
      <c r="E81" s="27">
        <v>0</v>
      </c>
      <c r="F81" s="27">
        <v>0.85469492307391437</v>
      </c>
      <c r="G81" s="27">
        <v>0.14530507692608563</v>
      </c>
      <c r="H81" s="27">
        <v>0</v>
      </c>
      <c r="I81" s="27">
        <v>0.74983127290865337</v>
      </c>
      <c r="J81" s="27">
        <v>0.25016872709134663</v>
      </c>
      <c r="K81" s="27">
        <v>0</v>
      </c>
      <c r="L81" s="27">
        <v>0.1474960189076745</v>
      </c>
      <c r="M81" s="27">
        <v>0.47182684463363245</v>
      </c>
      <c r="N81" s="27">
        <v>0.38067713645869306</v>
      </c>
      <c r="O81" s="27">
        <v>-11.350189098592883</v>
      </c>
      <c r="P81" s="27">
        <v>3.7353711352676247E-2</v>
      </c>
      <c r="Q81" s="27">
        <v>5.6496423551973214E-5</v>
      </c>
      <c r="R81" s="27">
        <v>1.0769520541634936</v>
      </c>
      <c r="S81" s="154"/>
      <c r="T81">
        <v>0.93324722528692194</v>
      </c>
      <c r="U81">
        <v>2.2763307332645755</v>
      </c>
      <c r="V81">
        <v>2.9518208089789959</v>
      </c>
      <c r="W81">
        <v>1</v>
      </c>
      <c r="Y81" s="2">
        <v>7.3513087272389193</v>
      </c>
      <c r="Z81" s="2">
        <v>2280.6726044115012</v>
      </c>
      <c r="AA81" s="2">
        <v>1172.8507895369517</v>
      </c>
      <c r="AB81" s="2">
        <v>6822.4546195837202</v>
      </c>
      <c r="AC81" s="2">
        <v>1059.0205472603138</v>
      </c>
      <c r="AD81" s="2">
        <v>134.68514699288667</v>
      </c>
      <c r="AE81" s="2">
        <v>535.96065893153946</v>
      </c>
      <c r="AF81" s="2">
        <v>1032.2744598139143</v>
      </c>
      <c r="AG81" s="2">
        <v>96.002766576954357</v>
      </c>
      <c r="AH81" s="2">
        <v>563.54654543975403</v>
      </c>
      <c r="AI81" s="2">
        <v>572947.11227463686</v>
      </c>
      <c r="AJ81" s="2">
        <v>552358.90335550823</v>
      </c>
      <c r="AL81" s="27">
        <v>0.91601304425993202</v>
      </c>
      <c r="AM81" s="27">
        <v>0.91055054005141034</v>
      </c>
      <c r="AN81" s="27">
        <v>0.9073172111946306</v>
      </c>
      <c r="AO81" s="27">
        <v>0.8407011181145122</v>
      </c>
      <c r="AP81" s="27">
        <v>0.63074620444238438</v>
      </c>
      <c r="AQ81" s="27">
        <v>0.91601304425993202</v>
      </c>
      <c r="AR81" s="27">
        <v>0.91055054005141034</v>
      </c>
      <c r="AS81" s="27">
        <v>0.9073172111946306</v>
      </c>
      <c r="AT81" s="27">
        <v>0.8407011181145122</v>
      </c>
      <c r="AU81" s="27">
        <v>0.63074620444238438</v>
      </c>
      <c r="AW81" s="1">
        <v>13.34220716497892</v>
      </c>
      <c r="AX81" s="1">
        <v>15.604396944089189</v>
      </c>
      <c r="AY81" s="2">
        <v>2158661.4557904233</v>
      </c>
      <c r="AZ81" s="1">
        <v>15.056955522033466</v>
      </c>
      <c r="BA81" s="1">
        <v>17.229277130700556</v>
      </c>
      <c r="BB81" s="2">
        <v>1690601.2742833907</v>
      </c>
      <c r="BC81" s="2">
        <f t="shared" si="14"/>
        <v>-468060.1815070326</v>
      </c>
      <c r="BD81" s="292">
        <f t="shared" si="15"/>
        <v>1.7147483570545461</v>
      </c>
      <c r="BF81" s="170">
        <f t="shared" si="10"/>
        <v>-23908.309393796138</v>
      </c>
      <c r="BG81" s="2">
        <f t="shared" si="11"/>
        <v>718511.6092419636</v>
      </c>
      <c r="BI81">
        <f t="shared" si="12"/>
        <v>0</v>
      </c>
      <c r="BJ81" s="95">
        <f t="shared" si="13"/>
        <v>1</v>
      </c>
      <c r="BP81" s="217">
        <f t="shared" si="16"/>
        <v>718511.6092419636</v>
      </c>
    </row>
    <row r="82" spans="1:68">
      <c r="A82" s="11">
        <v>76</v>
      </c>
      <c r="C82" s="27">
        <v>0.92140108263127141</v>
      </c>
      <c r="D82" s="27">
        <v>7.8598917368728594E-2</v>
      </c>
      <c r="E82" s="27">
        <v>0</v>
      </c>
      <c r="F82" s="27">
        <v>0.85646786466827951</v>
      </c>
      <c r="G82" s="27">
        <v>0.14353213533172049</v>
      </c>
      <c r="H82" s="27">
        <v>0</v>
      </c>
      <c r="I82" s="27">
        <v>0.7488121839775308</v>
      </c>
      <c r="J82" s="27">
        <v>0.2511878160224692</v>
      </c>
      <c r="K82" s="27">
        <v>0</v>
      </c>
      <c r="L82" s="27">
        <v>1.8333281506324961E-2</v>
      </c>
      <c r="M82" s="27">
        <v>0.53712395391553258</v>
      </c>
      <c r="N82" s="27">
        <v>0.44454276457814246</v>
      </c>
      <c r="O82" s="27">
        <v>-11.130078685567154</v>
      </c>
      <c r="P82" s="27">
        <v>3.2614605043085859E-2</v>
      </c>
      <c r="Q82" s="27">
        <v>5.7699313991045246E-5</v>
      </c>
      <c r="R82" s="27">
        <v>1.0832746823038484</v>
      </c>
      <c r="S82" s="154"/>
      <c r="T82">
        <v>1.0202798272819689</v>
      </c>
      <c r="U82">
        <v>2.2843786583815886</v>
      </c>
      <c r="V82">
        <v>2.84315391082299</v>
      </c>
      <c r="W82">
        <v>1</v>
      </c>
      <c r="Y82" s="2">
        <v>2918.0999110744478</v>
      </c>
      <c r="Z82" s="2">
        <v>1529.1569599742168</v>
      </c>
      <c r="AA82" s="2">
        <v>217.64569336939607</v>
      </c>
      <c r="AB82" s="2">
        <v>3855.23209875769</v>
      </c>
      <c r="AC82" s="2">
        <v>339.92622059396331</v>
      </c>
      <c r="AD82" s="2">
        <v>2975.2544681175868</v>
      </c>
      <c r="AE82" s="2">
        <v>555.75584011616968</v>
      </c>
      <c r="AF82" s="2">
        <v>1020.995216963966</v>
      </c>
      <c r="AG82" s="2">
        <v>146.97578675636191</v>
      </c>
      <c r="AH82" s="2">
        <v>262.84244031618113</v>
      </c>
      <c r="AI82" s="2">
        <v>474701.31068322912</v>
      </c>
      <c r="AJ82" s="2">
        <v>445778.51651645458</v>
      </c>
      <c r="AL82" s="27">
        <v>0.92136695166069726</v>
      </c>
      <c r="AM82" s="27">
        <v>0.90605371145501945</v>
      </c>
      <c r="AN82" s="27">
        <v>0.90355967981016294</v>
      </c>
      <c r="AO82" s="27">
        <v>0.88177336070416223</v>
      </c>
      <c r="AP82" s="27">
        <v>0.78313929345621458</v>
      </c>
      <c r="AQ82" s="27">
        <v>0.92136695166069726</v>
      </c>
      <c r="AR82" s="27">
        <v>0.90605371145501945</v>
      </c>
      <c r="AS82" s="27">
        <v>0.90355967981016294</v>
      </c>
      <c r="AT82" s="27">
        <v>0.88177336070416223</v>
      </c>
      <c r="AU82" s="27">
        <v>0.78313929345621458</v>
      </c>
      <c r="AW82" s="1">
        <v>13.526852464293023</v>
      </c>
      <c r="AX82" s="1">
        <v>15.22044610997594</v>
      </c>
      <c r="AY82" s="2">
        <v>1769262.4832075199</v>
      </c>
      <c r="AZ82" s="1">
        <v>15.377695098435723</v>
      </c>
      <c r="BA82" s="1">
        <v>17.136108239119604</v>
      </c>
      <c r="BB82" s="2">
        <v>1322262.7018049199</v>
      </c>
      <c r="BC82" s="2">
        <f t="shared" si="14"/>
        <v>-446999.7814026</v>
      </c>
      <c r="BD82" s="292">
        <f t="shared" si="15"/>
        <v>1.8508426341426993</v>
      </c>
      <c r="BF82" s="170">
        <f t="shared" si="10"/>
        <v>395033.91107936366</v>
      </c>
      <c r="BG82" s="2">
        <f t="shared" si="11"/>
        <v>1138168.5139447956</v>
      </c>
      <c r="BI82">
        <f t="shared" si="12"/>
        <v>0</v>
      </c>
      <c r="BJ82" s="95">
        <f t="shared" si="13"/>
        <v>1</v>
      </c>
      <c r="BP82" s="217">
        <f t="shared" si="16"/>
        <v>1138168.5139447956</v>
      </c>
    </row>
    <row r="83" spans="1:68">
      <c r="A83" s="11">
        <v>77</v>
      </c>
      <c r="C83" s="27">
        <v>0.92381545604957216</v>
      </c>
      <c r="D83" s="27">
        <v>7.6184543950427897E-2</v>
      </c>
      <c r="E83" s="27">
        <v>0</v>
      </c>
      <c r="F83" s="27">
        <v>0.8535703056255971</v>
      </c>
      <c r="G83" s="27">
        <v>0.1464296943744029</v>
      </c>
      <c r="H83" s="27">
        <v>0</v>
      </c>
      <c r="I83" s="27">
        <v>0.75443898227977912</v>
      </c>
      <c r="J83" s="27">
        <v>0.2455610177202209</v>
      </c>
      <c r="K83" s="27">
        <v>0</v>
      </c>
      <c r="L83" s="27">
        <v>0.11328960319385395</v>
      </c>
      <c r="M83" s="27">
        <v>0.49637607524309213</v>
      </c>
      <c r="N83" s="27">
        <v>0.39033432156305392</v>
      </c>
      <c r="O83" s="27">
        <v>-11.091050282892324</v>
      </c>
      <c r="P83" s="27">
        <v>3.6992263901121876E-2</v>
      </c>
      <c r="Q83" s="27">
        <v>7.2105863023062345E-5</v>
      </c>
      <c r="R83" s="27">
        <v>1.0476386206437043</v>
      </c>
      <c r="S83" s="154"/>
      <c r="T83">
        <v>0.99858303995659459</v>
      </c>
      <c r="U83">
        <v>2.2565480933137017</v>
      </c>
      <c r="V83">
        <v>2.7764698751039427</v>
      </c>
      <c r="W83">
        <v>1</v>
      </c>
      <c r="Y83" s="2">
        <v>456.4478140522196</v>
      </c>
      <c r="Z83" s="2">
        <v>8176.2675097755973</v>
      </c>
      <c r="AA83" s="2">
        <v>460.15877021639631</v>
      </c>
      <c r="AB83" s="2">
        <v>84.753403280655874</v>
      </c>
      <c r="AC83" s="2">
        <v>2523.9003174620748</v>
      </c>
      <c r="AD83" s="2">
        <v>59.877902867073288</v>
      </c>
      <c r="AE83" s="2">
        <v>527.585633788677</v>
      </c>
      <c r="AF83" s="2">
        <v>965.30744166067723</v>
      </c>
      <c r="AG83" s="2">
        <v>103.4746224345547</v>
      </c>
      <c r="AH83" s="2">
        <v>239.46542536664722</v>
      </c>
      <c r="AI83" s="2">
        <v>429984.84620396065</v>
      </c>
      <c r="AJ83" s="2">
        <v>393814.1947830501</v>
      </c>
      <c r="AL83" s="27">
        <v>0.91599939842258626</v>
      </c>
      <c r="AM83" s="27">
        <v>0.90738357298336048</v>
      </c>
      <c r="AN83" s="27">
        <v>0.89665950466457722</v>
      </c>
      <c r="AO83" s="27">
        <v>0.88359005004152635</v>
      </c>
      <c r="AP83" s="27">
        <v>0.76090938349851034</v>
      </c>
      <c r="AQ83" s="27">
        <v>0.91599939842258626</v>
      </c>
      <c r="AR83" s="27">
        <v>0.90738357298336048</v>
      </c>
      <c r="AS83" s="27">
        <v>0.89665950466457722</v>
      </c>
      <c r="AT83" s="27">
        <v>0.88359005004152635</v>
      </c>
      <c r="AU83" s="27">
        <v>0.76090938349851034</v>
      </c>
      <c r="AW83" s="1">
        <v>13.773738520825457</v>
      </c>
      <c r="AX83" s="1">
        <v>15.638444835922218</v>
      </c>
      <c r="AY83" s="2">
        <v>1717411.4957377824</v>
      </c>
      <c r="AZ83" s="1">
        <v>15.471350869549667</v>
      </c>
      <c r="BA83" s="1">
        <v>17.368558358040438</v>
      </c>
      <c r="BB83" s="2">
        <v>1129680.6321043677</v>
      </c>
      <c r="BC83" s="2">
        <f t="shared" si="14"/>
        <v>-587730.86363341473</v>
      </c>
      <c r="BD83" s="292">
        <f t="shared" si="15"/>
        <v>1.6976123487242099</v>
      </c>
      <c r="BF83" s="170">
        <f t="shared" si="10"/>
        <v>486386.66759429057</v>
      </c>
      <c r="BG83" s="2">
        <f t="shared" si="11"/>
        <v>1345735.5070235792</v>
      </c>
      <c r="BI83">
        <f t="shared" si="12"/>
        <v>0</v>
      </c>
      <c r="BJ83" s="95">
        <f t="shared" si="13"/>
        <v>1</v>
      </c>
      <c r="BP83" s="217">
        <f t="shared" si="16"/>
        <v>1345735.5070235792</v>
      </c>
    </row>
    <row r="84" spans="1:68">
      <c r="A84" s="11">
        <v>78</v>
      </c>
      <c r="C84" s="27">
        <v>0.92326867111218314</v>
      </c>
      <c r="D84" s="27">
        <v>7.6731328887816919E-2</v>
      </c>
      <c r="E84" s="27">
        <v>0</v>
      </c>
      <c r="F84" s="27">
        <v>0.85763581417105228</v>
      </c>
      <c r="G84" s="27">
        <v>0.14236418582894769</v>
      </c>
      <c r="H84" s="27">
        <v>0</v>
      </c>
      <c r="I84" s="27">
        <v>0.7531072337273873</v>
      </c>
      <c r="J84" s="27">
        <v>0.24689276627261272</v>
      </c>
      <c r="K84" s="27">
        <v>0</v>
      </c>
      <c r="L84" s="27">
        <v>0.20960120154521245</v>
      </c>
      <c r="M84" s="27">
        <v>0.46921553442345443</v>
      </c>
      <c r="N84" s="27">
        <v>0.32118326403133313</v>
      </c>
      <c r="O84" s="27">
        <v>-11.136499550147061</v>
      </c>
      <c r="P84" s="27">
        <v>3.4258082159521114E-2</v>
      </c>
      <c r="Q84" s="27">
        <v>6.1427060235798005E-5</v>
      </c>
      <c r="R84" s="27">
        <v>1.0743205351077012</v>
      </c>
      <c r="S84" s="154"/>
      <c r="T84">
        <v>1.0309890057523037</v>
      </c>
      <c r="U84">
        <v>2.3381207084179465</v>
      </c>
      <c r="V84">
        <v>2.9486560240365698</v>
      </c>
      <c r="W84">
        <v>1</v>
      </c>
      <c r="Y84" s="2">
        <v>381.70256940118543</v>
      </c>
      <c r="Z84" s="2">
        <v>2339.0834538171362</v>
      </c>
      <c r="AA84" s="2">
        <v>1856.5254567671586</v>
      </c>
      <c r="AB84" s="2">
        <v>2888.3737908520725</v>
      </c>
      <c r="AC84" s="2">
        <v>698.91806027490293</v>
      </c>
      <c r="AD84" s="2">
        <v>545.64122447173281</v>
      </c>
      <c r="AE84" s="2">
        <v>517.79349460286858</v>
      </c>
      <c r="AF84" s="2">
        <v>946.50170351479471</v>
      </c>
      <c r="AG84" s="2">
        <v>76.685994179706967</v>
      </c>
      <c r="AH84" s="2">
        <v>495.74074948238149</v>
      </c>
      <c r="AI84" s="2">
        <v>389685.2537196335</v>
      </c>
      <c r="AJ84" s="2">
        <v>337967.67303103325</v>
      </c>
      <c r="AL84" s="27">
        <v>0.91873618811705826</v>
      </c>
      <c r="AM84" s="27">
        <v>0.91283423992696977</v>
      </c>
      <c r="AN84" s="27">
        <v>0.91020841943507924</v>
      </c>
      <c r="AO84" s="27">
        <v>0.8601731026612397</v>
      </c>
      <c r="AP84" s="27">
        <v>0.72449677717801519</v>
      </c>
      <c r="AQ84" s="27">
        <v>0.91873618811705826</v>
      </c>
      <c r="AR84" s="27">
        <v>0.91283423992696977</v>
      </c>
      <c r="AS84" s="27">
        <v>0.91020841943507924</v>
      </c>
      <c r="AT84" s="27">
        <v>0.8601731026612397</v>
      </c>
      <c r="AU84" s="27">
        <v>0.72449677717801519</v>
      </c>
      <c r="AW84" s="1">
        <v>13.637302050368733</v>
      </c>
      <c r="AX84" s="1">
        <v>15.616407056993859</v>
      </c>
      <c r="AY84" s="2">
        <v>1443663.5642103497</v>
      </c>
      <c r="AZ84" s="1">
        <v>15.542342677242532</v>
      </c>
      <c r="BA84" s="1">
        <v>17.482572472651398</v>
      </c>
      <c r="BB84" s="2">
        <v>1065125.3427765081</v>
      </c>
      <c r="BC84" s="2">
        <f t="shared" si="14"/>
        <v>-378538.22143384162</v>
      </c>
      <c r="BD84" s="292">
        <f t="shared" si="15"/>
        <v>1.9050406268737987</v>
      </c>
      <c r="BF84" s="170">
        <f t="shared" si="10"/>
        <v>738304.76384864748</v>
      </c>
      <c r="BG84" s="2">
        <f t="shared" si="11"/>
        <v>1421649.4855822972</v>
      </c>
      <c r="BI84">
        <f t="shared" si="12"/>
        <v>0</v>
      </c>
      <c r="BJ84" s="95">
        <f t="shared" si="13"/>
        <v>1</v>
      </c>
      <c r="BP84" s="217">
        <f t="shared" si="16"/>
        <v>1421649.4855822972</v>
      </c>
    </row>
    <row r="85" spans="1:68">
      <c r="A85" s="11">
        <v>79</v>
      </c>
      <c r="C85" s="27">
        <v>0.92442942197726052</v>
      </c>
      <c r="D85" s="27">
        <v>7.5570578022739435E-2</v>
      </c>
      <c r="E85" s="27">
        <v>0</v>
      </c>
      <c r="F85" s="27">
        <v>0.85144525011398886</v>
      </c>
      <c r="G85" s="27">
        <v>0.14855474988601114</v>
      </c>
      <c r="H85" s="27">
        <v>0</v>
      </c>
      <c r="I85" s="27">
        <v>0.74579727026630982</v>
      </c>
      <c r="J85" s="27">
        <v>0.25420272973369018</v>
      </c>
      <c r="K85" s="27">
        <v>0</v>
      </c>
      <c r="L85" s="27">
        <v>5.8530280028164072E-2</v>
      </c>
      <c r="M85" s="27">
        <v>0.54033367329927473</v>
      </c>
      <c r="N85" s="27">
        <v>0.4011360466725612</v>
      </c>
      <c r="O85" s="27">
        <v>-11.004775982983467</v>
      </c>
      <c r="P85" s="27">
        <v>3.553442315026184E-2</v>
      </c>
      <c r="Q85" s="27">
        <v>7.3934557756632479E-5</v>
      </c>
      <c r="R85" s="27">
        <v>1.0500197025168996</v>
      </c>
      <c r="S85" s="154"/>
      <c r="T85">
        <v>1.0406200904230873</v>
      </c>
      <c r="U85">
        <v>2.2018498765458903</v>
      </c>
      <c r="V85">
        <v>3.1155737973592168</v>
      </c>
      <c r="W85">
        <v>1</v>
      </c>
      <c r="Y85" s="2">
        <v>721.62370652764878</v>
      </c>
      <c r="Z85" s="2">
        <v>1986.0371181065432</v>
      </c>
      <c r="AA85" s="2">
        <v>3197.8611104500105</v>
      </c>
      <c r="AB85" s="2">
        <v>5945.775460652103</v>
      </c>
      <c r="AC85" s="2">
        <v>653.30321889786205</v>
      </c>
      <c r="AD85" s="2">
        <v>144.20149748402349</v>
      </c>
      <c r="AE85" s="2">
        <v>530.15240428412756</v>
      </c>
      <c r="AF85" s="2">
        <v>1117.9989996087324</v>
      </c>
      <c r="AG85" s="2">
        <v>72.723839853725991</v>
      </c>
      <c r="AH85" s="2">
        <v>299.86933341471359</v>
      </c>
      <c r="AI85" s="2">
        <v>578998.73366226885</v>
      </c>
      <c r="AJ85" s="2">
        <v>536247.49499440927</v>
      </c>
      <c r="AL85" s="27">
        <v>0.91477924534495392</v>
      </c>
      <c r="AM85" s="27">
        <v>0.91383033122065582</v>
      </c>
      <c r="AN85" s="27">
        <v>0.90704700690500495</v>
      </c>
      <c r="AO85" s="27">
        <v>0.87174030397169533</v>
      </c>
      <c r="AP85" s="27">
        <v>0.7349189776108801</v>
      </c>
      <c r="AQ85" s="27">
        <v>0.91477924534495392</v>
      </c>
      <c r="AR85" s="27">
        <v>0.91383033122065582</v>
      </c>
      <c r="AS85" s="27">
        <v>0.90704700690500495</v>
      </c>
      <c r="AT85" s="27">
        <v>0.87174030397169533</v>
      </c>
      <c r="AU85" s="27">
        <v>0.7349189776108801</v>
      </c>
      <c r="AW85" s="1">
        <v>13.532686164918033</v>
      </c>
      <c r="AX85" s="1">
        <v>15.485492277724843</v>
      </c>
      <c r="AY85" s="2">
        <v>2248772.8563737096</v>
      </c>
      <c r="AZ85" s="1">
        <v>15.401533051734425</v>
      </c>
      <c r="BA85" s="1">
        <v>17.337121891296242</v>
      </c>
      <c r="BB85" s="2">
        <v>1704641.3504420267</v>
      </c>
      <c r="BC85" s="2">
        <f t="shared" si="14"/>
        <v>-544131.50593168288</v>
      </c>
      <c r="BD85" s="292">
        <f t="shared" si="15"/>
        <v>1.8688468868163923</v>
      </c>
      <c r="BF85" s="170">
        <f t="shared" si="10"/>
        <v>-83543.069986824412</v>
      </c>
      <c r="BG85" s="2">
        <f t="shared" si="11"/>
        <v>759603.93783548148</v>
      </c>
      <c r="BI85">
        <f t="shared" si="12"/>
        <v>0</v>
      </c>
      <c r="BJ85" s="95">
        <f t="shared" si="13"/>
        <v>1</v>
      </c>
      <c r="BP85" s="217">
        <f t="shared" si="16"/>
        <v>759603.93783548148</v>
      </c>
    </row>
    <row r="86" spans="1:68">
      <c r="A86" s="11">
        <v>80</v>
      </c>
      <c r="C86" s="27">
        <v>0.92426843587437357</v>
      </c>
      <c r="D86" s="27">
        <v>7.5731564125626372E-2</v>
      </c>
      <c r="E86" s="27">
        <v>0</v>
      </c>
      <c r="F86" s="27">
        <v>0.85531085363546355</v>
      </c>
      <c r="G86" s="27">
        <v>0.14468914636453645</v>
      </c>
      <c r="H86" s="27">
        <v>0</v>
      </c>
      <c r="I86" s="27">
        <v>0.74803800320646008</v>
      </c>
      <c r="J86" s="27">
        <v>0.25196199679353992</v>
      </c>
      <c r="K86" s="27">
        <v>0</v>
      </c>
      <c r="L86" s="27">
        <v>0.20559518873182947</v>
      </c>
      <c r="M86" s="27">
        <v>0.44634268906058988</v>
      </c>
      <c r="N86" s="27">
        <v>0.34806212220758059</v>
      </c>
      <c r="O86" s="27">
        <v>-10.980826088659761</v>
      </c>
      <c r="P86" s="27">
        <v>3.2773038550076808E-2</v>
      </c>
      <c r="Q86" s="27">
        <v>6.7434185217415764E-5</v>
      </c>
      <c r="R86" s="27">
        <v>1.0651553941240079</v>
      </c>
      <c r="S86" s="154"/>
      <c r="T86">
        <v>1.0061321503117531</v>
      </c>
      <c r="U86">
        <v>2.2662812571823592</v>
      </c>
      <c r="V86">
        <v>2.9431017416744019</v>
      </c>
      <c r="W86">
        <v>1</v>
      </c>
      <c r="Y86" s="2">
        <v>360.6270975706409</v>
      </c>
      <c r="Z86" s="2">
        <v>421.42269539778022</v>
      </c>
      <c r="AA86" s="2">
        <v>384.56734618432671</v>
      </c>
      <c r="AB86" s="2">
        <v>4724.535896417141</v>
      </c>
      <c r="AC86" s="2">
        <v>1999.6784559182049</v>
      </c>
      <c r="AD86" s="2">
        <v>162.02612950181626</v>
      </c>
      <c r="AE86" s="2">
        <v>572.86201614002198</v>
      </c>
      <c r="AF86" s="2">
        <v>1190.1678799475833</v>
      </c>
      <c r="AG86" s="2">
        <v>166.6017926008455</v>
      </c>
      <c r="AH86" s="2">
        <v>156.61403650206117</v>
      </c>
      <c r="AI86" s="2">
        <v>397415.47973883862</v>
      </c>
      <c r="AJ86" s="2">
        <v>375052.76893248124</v>
      </c>
      <c r="AL86" s="27">
        <v>0.92075375421346206</v>
      </c>
      <c r="AM86" s="27">
        <v>0.91079675636806201</v>
      </c>
      <c r="AN86" s="27">
        <v>0.9089347942158269</v>
      </c>
      <c r="AO86" s="27">
        <v>0.85758385707268059</v>
      </c>
      <c r="AP86" s="27">
        <v>0.70554489234826601</v>
      </c>
      <c r="AQ86" s="27">
        <v>0.92075375421346206</v>
      </c>
      <c r="AR86" s="27">
        <v>0.91079675636806201</v>
      </c>
      <c r="AS86" s="27">
        <v>0.9089347942158269</v>
      </c>
      <c r="AT86" s="27">
        <v>0.85758385707268059</v>
      </c>
      <c r="AU86" s="27">
        <v>0.70554489234826601</v>
      </c>
      <c r="AW86" s="1">
        <v>13.570974550418899</v>
      </c>
      <c r="AX86" s="1">
        <v>15.543101895451237</v>
      </c>
      <c r="AY86" s="2">
        <v>1473898.6769786018</v>
      </c>
      <c r="AZ86" s="1">
        <v>15.399800240969517</v>
      </c>
      <c r="BA86" s="1">
        <v>17.339225137983785</v>
      </c>
      <c r="BB86" s="2">
        <v>1111076.0253832259</v>
      </c>
      <c r="BC86" s="2">
        <f t="shared" si="14"/>
        <v>-362822.65159537597</v>
      </c>
      <c r="BD86" s="292">
        <f t="shared" si="15"/>
        <v>1.8288256905506177</v>
      </c>
      <c r="BF86" s="170">
        <f t="shared" si="10"/>
        <v>697457.25108842202</v>
      </c>
      <c r="BG86" s="2">
        <f t="shared" si="11"/>
        <v>1352892.013171897</v>
      </c>
      <c r="BI86">
        <f t="shared" si="12"/>
        <v>0</v>
      </c>
      <c r="BJ86" s="95">
        <f t="shared" si="13"/>
        <v>1</v>
      </c>
      <c r="BP86" s="217">
        <f t="shared" si="16"/>
        <v>1352892.013171897</v>
      </c>
    </row>
    <row r="87" spans="1:68">
      <c r="A87" s="11">
        <v>81</v>
      </c>
      <c r="C87" s="27">
        <v>0.92220029999001529</v>
      </c>
      <c r="D87" s="27">
        <v>7.7799700009984707E-2</v>
      </c>
      <c r="E87" s="27">
        <v>0</v>
      </c>
      <c r="F87" s="27">
        <v>0.85743881818467083</v>
      </c>
      <c r="G87" s="27">
        <v>0.1425611818153292</v>
      </c>
      <c r="H87" s="27">
        <v>0</v>
      </c>
      <c r="I87" s="27">
        <v>0.74894969417454305</v>
      </c>
      <c r="J87" s="27">
        <v>0.25105030582545695</v>
      </c>
      <c r="K87" s="27">
        <v>0</v>
      </c>
      <c r="L87" s="27">
        <v>0.12207751337735107</v>
      </c>
      <c r="M87" s="27">
        <v>0.51924787129455519</v>
      </c>
      <c r="N87" s="27">
        <v>0.35867461532809375</v>
      </c>
      <c r="O87" s="27">
        <v>-11.477010516543539</v>
      </c>
      <c r="P87" s="27">
        <v>3.5057654271907129E-2</v>
      </c>
      <c r="Q87" s="27">
        <v>4.5192065113488247E-5</v>
      </c>
      <c r="R87" s="27">
        <v>1.113102801588197</v>
      </c>
      <c r="S87" s="154"/>
      <c r="T87">
        <v>1.0520814138849655</v>
      </c>
      <c r="U87">
        <v>2.2709290520117369</v>
      </c>
      <c r="V87">
        <v>3.5052393529234984</v>
      </c>
      <c r="W87">
        <v>1</v>
      </c>
      <c r="Y87" s="2">
        <v>28.112078854533987</v>
      </c>
      <c r="Z87" s="2">
        <v>2105.8844525240606</v>
      </c>
      <c r="AA87" s="2">
        <v>4156.7374630172126</v>
      </c>
      <c r="AB87" s="2">
        <v>1266.4409967248355</v>
      </c>
      <c r="AC87" s="2">
        <v>1950.0176876963515</v>
      </c>
      <c r="AD87" s="2">
        <v>612.38172998961386</v>
      </c>
      <c r="AE87" s="2">
        <v>531.78463381294125</v>
      </c>
      <c r="AF87" s="2">
        <v>894.28913769667111</v>
      </c>
      <c r="AG87" s="2">
        <v>102.36613894011819</v>
      </c>
      <c r="AH87" s="2">
        <v>305.44255929253728</v>
      </c>
      <c r="AI87" s="2">
        <v>388209.87637101294</v>
      </c>
      <c r="AJ87" s="2">
        <v>341157.78094066662</v>
      </c>
      <c r="AL87" s="27">
        <v>0.91712057166956518</v>
      </c>
      <c r="AM87" s="27">
        <v>0.91801010366193481</v>
      </c>
      <c r="AN87" s="27">
        <v>0.9102578749670347</v>
      </c>
      <c r="AO87" s="27">
        <v>0.85710493765892048</v>
      </c>
      <c r="AP87" s="27">
        <v>0.72648614385778953</v>
      </c>
      <c r="AQ87" s="27">
        <v>0.91712057166956518</v>
      </c>
      <c r="AR87" s="27">
        <v>0.91801010366193481</v>
      </c>
      <c r="AS87" s="27">
        <v>0.9102578749670347</v>
      </c>
      <c r="AT87" s="27">
        <v>0.85710493765892048</v>
      </c>
      <c r="AU87" s="27">
        <v>0.72648614385778953</v>
      </c>
      <c r="AW87" s="1">
        <v>13.367987107104049</v>
      </c>
      <c r="AX87" s="1">
        <v>15.319641659452881</v>
      </c>
      <c r="AY87" s="2">
        <v>1464265.1844365569</v>
      </c>
      <c r="AZ87" s="1">
        <v>15.42423577147051</v>
      </c>
      <c r="BA87" s="1">
        <v>17.337124628548125</v>
      </c>
      <c r="BB87" s="2">
        <v>1069006.0955374835</v>
      </c>
      <c r="BC87" s="2">
        <f t="shared" si="14"/>
        <v>-395259.08889907342</v>
      </c>
      <c r="BD87" s="292">
        <f t="shared" si="15"/>
        <v>2.0562486643664606</v>
      </c>
      <c r="BF87" s="170">
        <f t="shared" si="10"/>
        <v>674612.75270009087</v>
      </c>
      <c r="BG87" s="2">
        <f t="shared" si="11"/>
        <v>1398871.6278977983</v>
      </c>
      <c r="BI87">
        <f t="shared" si="12"/>
        <v>0</v>
      </c>
      <c r="BJ87" s="95">
        <f t="shared" si="13"/>
        <v>1</v>
      </c>
      <c r="BP87" s="217">
        <f t="shared" si="16"/>
        <v>1398871.6278977983</v>
      </c>
    </row>
    <row r="88" spans="1:68">
      <c r="A88" s="11">
        <v>82</v>
      </c>
      <c r="C88" s="27">
        <v>0.92085497893452273</v>
      </c>
      <c r="D88" s="27">
        <v>7.9145021065477272E-2</v>
      </c>
      <c r="E88" s="27">
        <v>0</v>
      </c>
      <c r="F88" s="27">
        <v>0.8587001704522822</v>
      </c>
      <c r="G88" s="27">
        <v>0.14129982954771783</v>
      </c>
      <c r="H88" s="27">
        <v>0</v>
      </c>
      <c r="I88" s="27">
        <v>0.75413892461027299</v>
      </c>
      <c r="J88" s="27">
        <v>0.24586107538972699</v>
      </c>
      <c r="K88" s="27">
        <v>0</v>
      </c>
      <c r="L88" s="27">
        <v>2.0189984710948794E-2</v>
      </c>
      <c r="M88" s="27">
        <v>0.52138718430862996</v>
      </c>
      <c r="N88" s="27">
        <v>0.45842283098042125</v>
      </c>
      <c r="O88" s="27">
        <v>-11.036579047898512</v>
      </c>
      <c r="P88" s="27">
        <v>3.4513933391324074E-2</v>
      </c>
      <c r="Q88" s="27">
        <v>6.8615380318888368E-5</v>
      </c>
      <c r="R88" s="27">
        <v>1.0609843043118763</v>
      </c>
      <c r="S88" s="154"/>
      <c r="T88">
        <v>1.0359415338811111</v>
      </c>
      <c r="U88">
        <v>2.2671947616972483</v>
      </c>
      <c r="V88">
        <v>2.7341022646939503</v>
      </c>
      <c r="W88">
        <v>1</v>
      </c>
      <c r="Y88" s="2">
        <v>820.99825506858974</v>
      </c>
      <c r="Z88" s="2">
        <v>3086.5892978584889</v>
      </c>
      <c r="AA88" s="2">
        <v>2568.3635348841308</v>
      </c>
      <c r="AB88" s="2">
        <v>11688.15830696091</v>
      </c>
      <c r="AC88" s="2">
        <v>153.55150138234328</v>
      </c>
      <c r="AD88" s="2">
        <v>396.50150207661062</v>
      </c>
      <c r="AE88" s="2">
        <v>528.77279887764223</v>
      </c>
      <c r="AF88" s="2">
        <v>1249.4313684729459</v>
      </c>
      <c r="AG88" s="2">
        <v>154.66666545569927</v>
      </c>
      <c r="AH88" s="2">
        <v>276.94360009673721</v>
      </c>
      <c r="AI88" s="2">
        <v>458110.35917191789</v>
      </c>
      <c r="AJ88" s="2">
        <v>413966.18278402206</v>
      </c>
      <c r="AL88" s="27">
        <v>0.92125947446577139</v>
      </c>
      <c r="AM88" s="27">
        <v>0.91581453352566988</v>
      </c>
      <c r="AN88" s="27">
        <v>0.90062856678368519</v>
      </c>
      <c r="AO88" s="27">
        <v>0.88722406492419947</v>
      </c>
      <c r="AP88" s="27">
        <v>0.63309654677658289</v>
      </c>
      <c r="AQ88" s="27">
        <v>0.92125947446577139</v>
      </c>
      <c r="AR88" s="27">
        <v>0.91581453352566988</v>
      </c>
      <c r="AS88" s="27">
        <v>0.90062856678368519</v>
      </c>
      <c r="AT88" s="27">
        <v>0.88722406492419947</v>
      </c>
      <c r="AU88" s="27">
        <v>0.63309654677658289</v>
      </c>
      <c r="AW88" s="1">
        <v>13.04616739419426</v>
      </c>
      <c r="AX88" s="1">
        <v>15.176199608891963</v>
      </c>
      <c r="AY88" s="2">
        <v>1626297.0477013502</v>
      </c>
      <c r="AZ88" s="1">
        <v>15.096454924492791</v>
      </c>
      <c r="BA88" s="1">
        <v>17.139838676549932</v>
      </c>
      <c r="BB88" s="2">
        <v>1349803.9675755766</v>
      </c>
      <c r="BC88" s="2">
        <f t="shared" si="14"/>
        <v>-276493.08012577356</v>
      </c>
      <c r="BD88" s="292">
        <f t="shared" si="15"/>
        <v>2.0502875302985313</v>
      </c>
      <c r="BF88" s="170">
        <f t="shared" si="10"/>
        <v>461089.73536973144</v>
      </c>
      <c r="BG88" s="2">
        <f t="shared" si="11"/>
        <v>1065628.82034327</v>
      </c>
      <c r="BI88">
        <f t="shared" si="12"/>
        <v>0</v>
      </c>
      <c r="BJ88" s="95">
        <f t="shared" si="13"/>
        <v>1</v>
      </c>
      <c r="BP88" s="217">
        <f t="shared" si="16"/>
        <v>1065628.82034327</v>
      </c>
    </row>
    <row r="89" spans="1:68">
      <c r="A89" s="11">
        <v>83</v>
      </c>
      <c r="C89" s="27">
        <v>0.92410878638960747</v>
      </c>
      <c r="D89" s="27">
        <v>7.5891213610392513E-2</v>
      </c>
      <c r="E89" s="27">
        <v>0</v>
      </c>
      <c r="F89" s="27">
        <v>0.86249355623772184</v>
      </c>
      <c r="G89" s="27">
        <v>0.13750644376227822</v>
      </c>
      <c r="H89" s="27">
        <v>0</v>
      </c>
      <c r="I89" s="27">
        <v>0.74279497549379525</v>
      </c>
      <c r="J89" s="27">
        <v>0.25720502450620475</v>
      </c>
      <c r="K89" s="27">
        <v>0</v>
      </c>
      <c r="L89" s="27">
        <v>3.6344884093508112E-2</v>
      </c>
      <c r="M89" s="27">
        <v>0.52382737529297052</v>
      </c>
      <c r="N89" s="27">
        <v>0.43982774061352137</v>
      </c>
      <c r="O89" s="27">
        <v>-11.413474023073233</v>
      </c>
      <c r="P89" s="27">
        <v>3.8025130737316636E-2</v>
      </c>
      <c r="Q89" s="27">
        <v>5.4548598823744274E-5</v>
      </c>
      <c r="R89" s="27">
        <v>1.080274331036982</v>
      </c>
      <c r="S89" s="154"/>
      <c r="T89">
        <v>0.94565998089132075</v>
      </c>
      <c r="U89">
        <v>2.2444395965496464</v>
      </c>
      <c r="V89">
        <v>3.1010455049017391</v>
      </c>
      <c r="W89">
        <v>1</v>
      </c>
      <c r="Y89" s="2">
        <v>84.178684166175984</v>
      </c>
      <c r="Z89" s="2">
        <v>2066.8610992729646</v>
      </c>
      <c r="AA89" s="2">
        <v>939.09621483450815</v>
      </c>
      <c r="AB89" s="2">
        <v>904.56692663523029</v>
      </c>
      <c r="AC89" s="2">
        <v>2029.1662165737628</v>
      </c>
      <c r="AD89" s="2">
        <v>3821.7333833286098</v>
      </c>
      <c r="AE89" s="2">
        <v>541.45168363686969</v>
      </c>
      <c r="AF89" s="2">
        <v>946.46532699614932</v>
      </c>
      <c r="AG89" s="2">
        <v>83.254364501271539</v>
      </c>
      <c r="AH89" s="2">
        <v>189.40783377121676</v>
      </c>
      <c r="AI89" s="2">
        <v>722642.61018175632</v>
      </c>
      <c r="AJ89" s="2">
        <v>674299.53168130387</v>
      </c>
      <c r="AL89" s="27">
        <v>0.91745651819274432</v>
      </c>
      <c r="AM89" s="27">
        <v>0.90653107153360768</v>
      </c>
      <c r="AN89" s="27">
        <v>0.91237049621818933</v>
      </c>
      <c r="AO89" s="27">
        <v>0.84187611740016755</v>
      </c>
      <c r="AP89" s="27">
        <v>0.62599377177649196</v>
      </c>
      <c r="AQ89" s="27">
        <v>0.91745651819274432</v>
      </c>
      <c r="AR89" s="27">
        <v>0.90653107153360768</v>
      </c>
      <c r="AS89" s="27">
        <v>0.91237049621818933</v>
      </c>
      <c r="AT89" s="27">
        <v>0.84187611740016755</v>
      </c>
      <c r="AU89" s="27">
        <v>0.62599377177649196</v>
      </c>
      <c r="AW89" s="1">
        <v>13.400888812084675</v>
      </c>
      <c r="AX89" s="1">
        <v>15.635865110014906</v>
      </c>
      <c r="AY89" s="2">
        <v>2556819.1126922136</v>
      </c>
      <c r="AZ89" s="1">
        <v>15.155520628123316</v>
      </c>
      <c r="BA89" s="1">
        <v>17.30227886416009</v>
      </c>
      <c r="BB89" s="2">
        <v>1898719.788902245</v>
      </c>
      <c r="BC89" s="2">
        <f t="shared" si="14"/>
        <v>-658099.32378996862</v>
      </c>
      <c r="BD89" s="292">
        <f t="shared" si="15"/>
        <v>1.7546318160386409</v>
      </c>
      <c r="BF89" s="170">
        <f t="shared" si="10"/>
        <v>-412676.90275866538</v>
      </c>
      <c r="BG89" s="2">
        <f t="shared" si="11"/>
        <v>526163.51159748575</v>
      </c>
      <c r="BI89">
        <f t="shared" si="12"/>
        <v>0</v>
      </c>
      <c r="BJ89" s="95">
        <f t="shared" si="13"/>
        <v>1</v>
      </c>
      <c r="BP89" s="217">
        <f t="shared" si="16"/>
        <v>526163.51159748575</v>
      </c>
    </row>
    <row r="90" spans="1:68">
      <c r="A90" s="11">
        <v>84</v>
      </c>
      <c r="C90" s="27">
        <v>0.92329238412191827</v>
      </c>
      <c r="D90" s="27">
        <v>7.6707615878081781E-2</v>
      </c>
      <c r="E90" s="27">
        <v>0</v>
      </c>
      <c r="F90" s="27">
        <v>0.86194769114855374</v>
      </c>
      <c r="G90" s="27">
        <v>0.13805230885144631</v>
      </c>
      <c r="H90" s="27">
        <v>0</v>
      </c>
      <c r="I90" s="27">
        <v>0.75101168328695078</v>
      </c>
      <c r="J90" s="27">
        <v>0.24898831671304919</v>
      </c>
      <c r="K90" s="27">
        <v>0</v>
      </c>
      <c r="L90" s="27">
        <v>7.2440897092447942E-2</v>
      </c>
      <c r="M90" s="27">
        <v>0.52552264085137379</v>
      </c>
      <c r="N90" s="27">
        <v>0.40203646205617827</v>
      </c>
      <c r="O90" s="27">
        <v>-10.881002896301888</v>
      </c>
      <c r="P90" s="27">
        <v>3.4054773003579328E-2</v>
      </c>
      <c r="Q90" s="27">
        <v>7.8634310757025357E-5</v>
      </c>
      <c r="R90" s="27">
        <v>1.0423159121410979</v>
      </c>
      <c r="S90" s="154"/>
      <c r="T90">
        <v>1.0022940471060142</v>
      </c>
      <c r="U90">
        <v>2.2776607463081655</v>
      </c>
      <c r="V90">
        <v>2.9040263552400463</v>
      </c>
      <c r="W90">
        <v>1</v>
      </c>
      <c r="Y90" s="2">
        <v>446.29182230061588</v>
      </c>
      <c r="Z90" s="2">
        <v>6871.9234777468719</v>
      </c>
      <c r="AA90" s="2">
        <v>1606.6101154248477</v>
      </c>
      <c r="AB90" s="2">
        <v>11408.109750265377</v>
      </c>
      <c r="AC90" s="2">
        <v>3631.5397671408946</v>
      </c>
      <c r="AD90" s="2">
        <v>2441.0442982932764</v>
      </c>
      <c r="AE90" s="2">
        <v>624.56421847841159</v>
      </c>
      <c r="AF90" s="2">
        <v>1133.3927015120944</v>
      </c>
      <c r="AG90" s="2">
        <v>176.73873426354268</v>
      </c>
      <c r="AH90" s="2">
        <v>609.7982770457952</v>
      </c>
      <c r="AI90" s="2">
        <v>472317.7688527868</v>
      </c>
      <c r="AJ90" s="2">
        <v>439302.28563173901</v>
      </c>
      <c r="AL90" s="27">
        <v>0.91765715729051023</v>
      </c>
      <c r="AM90" s="27">
        <v>0.91564321665162163</v>
      </c>
      <c r="AN90" s="27">
        <v>0.91678584740844205</v>
      </c>
      <c r="AO90" s="27">
        <v>0.84864979258880047</v>
      </c>
      <c r="AP90" s="27">
        <v>0.78279413516784091</v>
      </c>
      <c r="AQ90" s="27">
        <v>0.91765715729051023</v>
      </c>
      <c r="AR90" s="27">
        <v>0.91564321665162163</v>
      </c>
      <c r="AS90" s="27">
        <v>0.91678584740844205</v>
      </c>
      <c r="AT90" s="27">
        <v>0.84864979258880047</v>
      </c>
      <c r="AU90" s="27">
        <v>0.78279413516784091</v>
      </c>
      <c r="AW90" s="1">
        <v>13.844754135355045</v>
      </c>
      <c r="AX90" s="1">
        <v>15.611506025738647</v>
      </c>
      <c r="AY90" s="2">
        <v>1900840.1747127236</v>
      </c>
      <c r="AZ90" s="1">
        <v>15.632710502820597</v>
      </c>
      <c r="BA90" s="1">
        <v>17.41350306383741</v>
      </c>
      <c r="BB90" s="2">
        <v>1499266.8986503335</v>
      </c>
      <c r="BC90" s="2">
        <f t="shared" si="14"/>
        <v>-401573.27606239007</v>
      </c>
      <c r="BD90" s="292">
        <f t="shared" si="15"/>
        <v>1.7879563674655525</v>
      </c>
      <c r="BF90" s="170">
        <f t="shared" si="10"/>
        <v>314320.48694408359</v>
      </c>
      <c r="BG90" s="2">
        <f t="shared" si="11"/>
        <v>1001966.7818009618</v>
      </c>
      <c r="BI90">
        <f t="shared" si="12"/>
        <v>0</v>
      </c>
      <c r="BJ90" s="95">
        <f t="shared" si="13"/>
        <v>1</v>
      </c>
      <c r="BP90" s="217">
        <f t="shared" si="16"/>
        <v>1001966.7818009618</v>
      </c>
    </row>
    <row r="91" spans="1:68">
      <c r="A91" s="11">
        <v>85</v>
      </c>
      <c r="C91" s="27">
        <v>0.9229074633449651</v>
      </c>
      <c r="D91" s="27">
        <v>7.7092536655034904E-2</v>
      </c>
      <c r="E91" s="27">
        <v>0</v>
      </c>
      <c r="F91" s="27">
        <v>0.85343342987649429</v>
      </c>
      <c r="G91" s="27">
        <v>0.14656657012350571</v>
      </c>
      <c r="H91" s="27">
        <v>0</v>
      </c>
      <c r="I91" s="27">
        <v>0.73278211899911438</v>
      </c>
      <c r="J91" s="27">
        <v>0.26721788100088562</v>
      </c>
      <c r="K91" s="27">
        <v>0</v>
      </c>
      <c r="L91" s="27">
        <v>0.2172787439623865</v>
      </c>
      <c r="M91" s="27">
        <v>0.46614584386988961</v>
      </c>
      <c r="N91" s="27">
        <v>0.31657541216772395</v>
      </c>
      <c r="O91" s="27">
        <v>-11.193471041813108</v>
      </c>
      <c r="P91" s="27">
        <v>3.6357766285495911E-2</v>
      </c>
      <c r="Q91" s="27">
        <v>6.3374761598315697E-5</v>
      </c>
      <c r="R91" s="27">
        <v>1.0694864755163096</v>
      </c>
      <c r="S91" s="154"/>
      <c r="T91">
        <v>0.97332795271122075</v>
      </c>
      <c r="U91">
        <v>2.227582188932216</v>
      </c>
      <c r="V91">
        <v>3.0078886039980808</v>
      </c>
      <c r="W91">
        <v>1</v>
      </c>
      <c r="Y91" s="2">
        <v>1569.3253065693427</v>
      </c>
      <c r="Z91" s="2">
        <v>2659.9119053648337</v>
      </c>
      <c r="AA91" s="2">
        <v>1634.6898825894452</v>
      </c>
      <c r="AB91" s="2">
        <v>273.85615369571667</v>
      </c>
      <c r="AC91" s="2">
        <v>520.23487154766099</v>
      </c>
      <c r="AD91" s="2">
        <v>27.829128105748211</v>
      </c>
      <c r="AE91" s="2">
        <v>538.73830388116357</v>
      </c>
      <c r="AF91" s="2">
        <v>939.06223512004362</v>
      </c>
      <c r="AG91" s="2">
        <v>83.313876509525016</v>
      </c>
      <c r="AH91" s="2">
        <v>581.12253334095431</v>
      </c>
      <c r="AI91" s="2">
        <v>414439.72203721956</v>
      </c>
      <c r="AJ91" s="2">
        <v>375297.63802413846</v>
      </c>
      <c r="AL91" s="27">
        <v>0.92080172392504778</v>
      </c>
      <c r="AM91" s="27">
        <v>0.92011645218089855</v>
      </c>
      <c r="AN91" s="27">
        <v>0.90716719737566054</v>
      </c>
      <c r="AO91" s="27">
        <v>0.89299447017680467</v>
      </c>
      <c r="AP91" s="27">
        <v>0.66522621252158221</v>
      </c>
      <c r="AQ91" s="27">
        <v>0.92080172392504778</v>
      </c>
      <c r="AR91" s="27">
        <v>0.92011645218089855</v>
      </c>
      <c r="AS91" s="27">
        <v>0.90716719737566054</v>
      </c>
      <c r="AT91" s="27">
        <v>0.89299447017680467</v>
      </c>
      <c r="AU91" s="27">
        <v>0.66522621252158221</v>
      </c>
      <c r="AW91" s="1">
        <v>13.646330811583756</v>
      </c>
      <c r="AX91" s="1">
        <v>15.770454273102912</v>
      </c>
      <c r="AY91" s="2">
        <v>1594811.1647645526</v>
      </c>
      <c r="AZ91" s="1">
        <v>15.35334263624188</v>
      </c>
      <c r="BA91" s="1">
        <v>17.386873242013696</v>
      </c>
      <c r="BB91" s="2">
        <v>1155546.9854391145</v>
      </c>
      <c r="BC91" s="2">
        <f t="shared" si="14"/>
        <v>-439264.1793254381</v>
      </c>
      <c r="BD91" s="292">
        <f t="shared" si="15"/>
        <v>1.7070118246581245</v>
      </c>
      <c r="BF91" s="170">
        <f t="shared" si="10"/>
        <v>588601.76508884807</v>
      </c>
      <c r="BG91" s="2">
        <f t="shared" si="11"/>
        <v>1300987.8363595863</v>
      </c>
      <c r="BI91">
        <f t="shared" si="12"/>
        <v>0</v>
      </c>
      <c r="BJ91" s="95">
        <f t="shared" si="13"/>
        <v>1</v>
      </c>
      <c r="BP91" s="217">
        <f t="shared" si="16"/>
        <v>1300987.8363595863</v>
      </c>
    </row>
    <row r="92" spans="1:68">
      <c r="A92" s="11">
        <v>86</v>
      </c>
      <c r="C92" s="27">
        <v>0.9237005701884573</v>
      </c>
      <c r="D92" s="27">
        <v>7.6299429811542682E-2</v>
      </c>
      <c r="E92" s="27">
        <v>0</v>
      </c>
      <c r="F92" s="27">
        <v>0.8541548026408845</v>
      </c>
      <c r="G92" s="27">
        <v>0.1458451973591155</v>
      </c>
      <c r="H92" s="27">
        <v>0</v>
      </c>
      <c r="I92" s="27">
        <v>0.74950020606883005</v>
      </c>
      <c r="J92" s="27">
        <v>0.25049979393116995</v>
      </c>
      <c r="K92" s="27">
        <v>0</v>
      </c>
      <c r="L92" s="27">
        <v>9.4000878289753009E-2</v>
      </c>
      <c r="M92" s="27">
        <v>0.4768115844453521</v>
      </c>
      <c r="N92" s="27">
        <v>0.42918753726489489</v>
      </c>
      <c r="O92" s="27">
        <v>-11.258908885527745</v>
      </c>
      <c r="P92" s="27">
        <v>3.6812352435180655E-2</v>
      </c>
      <c r="Q92" s="27">
        <v>6.0504665315346105E-5</v>
      </c>
      <c r="R92" s="27">
        <v>1.0755958049520498</v>
      </c>
      <c r="S92" s="154"/>
      <c r="T92">
        <v>1.0604105764221872</v>
      </c>
      <c r="U92">
        <v>2.2004784530157093</v>
      </c>
      <c r="V92">
        <v>3.0011875995885342</v>
      </c>
      <c r="W92">
        <v>1</v>
      </c>
      <c r="Y92" s="2">
        <v>96.920410997699406</v>
      </c>
      <c r="Z92" s="2">
        <v>14834.665318476924</v>
      </c>
      <c r="AA92" s="2">
        <v>2390.3695847065128</v>
      </c>
      <c r="AB92" s="2">
        <v>1328.9130714875962</v>
      </c>
      <c r="AC92" s="2">
        <v>124.40290333585969</v>
      </c>
      <c r="AD92" s="2">
        <v>469.26352403617693</v>
      </c>
      <c r="AE92" s="2">
        <v>524.67576600680445</v>
      </c>
      <c r="AF92" s="2">
        <v>1300.8315209578514</v>
      </c>
      <c r="AG92" s="2">
        <v>130.05733071687629</v>
      </c>
      <c r="AH92" s="2">
        <v>235.71444161900754</v>
      </c>
      <c r="AI92" s="2">
        <v>578458.72411707905</v>
      </c>
      <c r="AJ92" s="2">
        <v>535547.50855690404</v>
      </c>
      <c r="AL92" s="27">
        <v>0.91157288541791814</v>
      </c>
      <c r="AM92" s="27">
        <v>0.91587912800332849</v>
      </c>
      <c r="AN92" s="27">
        <v>0.9064217208503742</v>
      </c>
      <c r="AO92" s="27">
        <v>0.8788169570285197</v>
      </c>
      <c r="AP92" s="27">
        <v>0.79495043919025465</v>
      </c>
      <c r="AQ92" s="27">
        <v>0.91157288541791814</v>
      </c>
      <c r="AR92" s="27">
        <v>0.91587912800332849</v>
      </c>
      <c r="AS92" s="27">
        <v>0.9064217208503742</v>
      </c>
      <c r="AT92" s="27">
        <v>0.8788169570285197</v>
      </c>
      <c r="AU92" s="27">
        <v>0.79495043919025465</v>
      </c>
      <c r="AW92" s="1">
        <v>13.428043762119303</v>
      </c>
      <c r="AX92" s="1">
        <v>15.134658983713974</v>
      </c>
      <c r="AY92" s="2">
        <v>2191679.0308847977</v>
      </c>
      <c r="AZ92" s="1">
        <v>15.370035076420022</v>
      </c>
      <c r="BA92" s="1">
        <v>17.139034288283312</v>
      </c>
      <c r="BB92" s="2">
        <v>1457755.4041959946</v>
      </c>
      <c r="BC92" s="2">
        <f t="shared" si="14"/>
        <v>-733923.62668880308</v>
      </c>
      <c r="BD92" s="292">
        <f t="shared" si="15"/>
        <v>1.9419913143007186</v>
      </c>
      <c r="BF92" s="170">
        <f t="shared" si="10"/>
        <v>-43192.028945709113</v>
      </c>
      <c r="BG92" s="2">
        <f t="shared" si="11"/>
        <v>1001450.2080312087</v>
      </c>
      <c r="BI92">
        <f t="shared" si="12"/>
        <v>0</v>
      </c>
      <c r="BJ92" s="95">
        <f t="shared" si="13"/>
        <v>1</v>
      </c>
      <c r="BP92" s="217">
        <f t="shared" si="16"/>
        <v>1001450.2080312087</v>
      </c>
    </row>
    <row r="93" spans="1:68">
      <c r="A93" s="11">
        <v>87</v>
      </c>
      <c r="C93" s="27">
        <v>0.92415818087606916</v>
      </c>
      <c r="D93" s="27">
        <v>7.584181912393087E-2</v>
      </c>
      <c r="E93" s="27">
        <v>0</v>
      </c>
      <c r="F93" s="27">
        <v>0.86170725894286215</v>
      </c>
      <c r="G93" s="27">
        <v>0.13829274105713785</v>
      </c>
      <c r="H93" s="27">
        <v>0</v>
      </c>
      <c r="I93" s="27">
        <v>0.74703257261909872</v>
      </c>
      <c r="J93" s="27">
        <v>0.25296742738090128</v>
      </c>
      <c r="K93" s="27">
        <v>0</v>
      </c>
      <c r="L93" s="27">
        <v>9.0730719481731503E-2</v>
      </c>
      <c r="M93" s="27">
        <v>0.5222635189352578</v>
      </c>
      <c r="N93" s="27">
        <v>0.3870057615830107</v>
      </c>
      <c r="O93" s="27">
        <v>-10.831763643360054</v>
      </c>
      <c r="P93" s="27">
        <v>3.497036012557684E-2</v>
      </c>
      <c r="Q93" s="27">
        <v>8.5841454275486172E-5</v>
      </c>
      <c r="R93" s="27">
        <v>1.0282897938401079</v>
      </c>
      <c r="S93" s="154"/>
      <c r="T93">
        <v>0.98102241368459875</v>
      </c>
      <c r="U93">
        <v>2.2766270006859153</v>
      </c>
      <c r="V93">
        <v>2.9845178653251008</v>
      </c>
      <c r="W93">
        <v>1</v>
      </c>
      <c r="Y93" s="2">
        <v>798.25373681992266</v>
      </c>
      <c r="Z93" s="2">
        <v>1924.3840686599463</v>
      </c>
      <c r="AA93" s="2">
        <v>1362.1175314433481</v>
      </c>
      <c r="AB93" s="2">
        <v>8698.3052386195322</v>
      </c>
      <c r="AC93" s="2">
        <v>131.67018167654939</v>
      </c>
      <c r="AD93" s="2">
        <v>1301.5321602551849</v>
      </c>
      <c r="AE93" s="2">
        <v>580.40932023056666</v>
      </c>
      <c r="AF93" s="2">
        <v>898.53552193620749</v>
      </c>
      <c r="AG93" s="2">
        <v>185.67483948685265</v>
      </c>
      <c r="AH93" s="2">
        <v>421.38739809831111</v>
      </c>
      <c r="AI93" s="2">
        <v>406227.6427282166</v>
      </c>
      <c r="AJ93" s="2">
        <v>365993.832330078</v>
      </c>
      <c r="AL93" s="27">
        <v>0.92010550827852</v>
      </c>
      <c r="AM93" s="27">
        <v>0.91526198101321199</v>
      </c>
      <c r="AN93" s="27">
        <v>0.9058179474709529</v>
      </c>
      <c r="AO93" s="27">
        <v>0.90554376046329654</v>
      </c>
      <c r="AP93" s="27">
        <v>0.62428432158485525</v>
      </c>
      <c r="AQ93" s="27">
        <v>0.92010550827852</v>
      </c>
      <c r="AR93" s="27">
        <v>0.91526198101321199</v>
      </c>
      <c r="AS93" s="27">
        <v>0.9058179474709529</v>
      </c>
      <c r="AT93" s="27">
        <v>0.90554376046329654</v>
      </c>
      <c r="AU93" s="27">
        <v>0.62428432158485525</v>
      </c>
      <c r="AW93" s="1">
        <v>13.527203983269505</v>
      </c>
      <c r="AX93" s="1">
        <v>15.787996400985467</v>
      </c>
      <c r="AY93" s="2">
        <v>1528074.9979383911</v>
      </c>
      <c r="AZ93" s="1">
        <v>15.355856433210617</v>
      </c>
      <c r="BA93" s="1">
        <v>17.492858842331906</v>
      </c>
      <c r="BB93" s="2">
        <v>1251971.3502468944</v>
      </c>
      <c r="BC93" s="2">
        <f t="shared" si="14"/>
        <v>-276103.64769149665</v>
      </c>
      <c r="BD93" s="292">
        <f t="shared" si="15"/>
        <v>1.8286524499411119</v>
      </c>
      <c r="BF93" s="170">
        <f t="shared" si="10"/>
        <v>636277.63938472955</v>
      </c>
      <c r="BG93" s="2">
        <f t="shared" si="11"/>
        <v>1204965.6790668045</v>
      </c>
      <c r="BI93">
        <f t="shared" si="12"/>
        <v>0</v>
      </c>
      <c r="BJ93" s="95">
        <f t="shared" si="13"/>
        <v>1</v>
      </c>
      <c r="BP93" s="217">
        <f t="shared" si="16"/>
        <v>1204965.6790668045</v>
      </c>
    </row>
    <row r="94" spans="1:68">
      <c r="A94" s="11">
        <v>88</v>
      </c>
      <c r="C94" s="27">
        <v>0.91784373855374257</v>
      </c>
      <c r="D94" s="27">
        <v>8.2156261446257428E-2</v>
      </c>
      <c r="E94" s="27">
        <v>0</v>
      </c>
      <c r="F94" s="27">
        <v>0.85488105394258007</v>
      </c>
      <c r="G94" s="27">
        <v>0.14511894605741993</v>
      </c>
      <c r="H94" s="27">
        <v>0</v>
      </c>
      <c r="I94" s="27">
        <v>0.75090060713952922</v>
      </c>
      <c r="J94" s="27">
        <v>0.24909939286047073</v>
      </c>
      <c r="K94" s="27">
        <v>0</v>
      </c>
      <c r="L94" s="27">
        <v>0.11864440142377736</v>
      </c>
      <c r="M94" s="27">
        <v>0.5116663804758409</v>
      </c>
      <c r="N94" s="27">
        <v>0.36968921810038174</v>
      </c>
      <c r="O94" s="27">
        <v>-11.367345804168131</v>
      </c>
      <c r="P94" s="27">
        <v>3.3515968481611348E-2</v>
      </c>
      <c r="Q94" s="27">
        <v>4.7268089631890521E-5</v>
      </c>
      <c r="R94" s="27">
        <v>1.1073218681695225</v>
      </c>
      <c r="S94" s="154"/>
      <c r="T94">
        <v>1.0814649473683284</v>
      </c>
      <c r="U94">
        <v>2.2847955305072869</v>
      </c>
      <c r="V94">
        <v>3.1101081220243461</v>
      </c>
      <c r="W94">
        <v>1</v>
      </c>
      <c r="Y94" s="2">
        <v>296.87285708534193</v>
      </c>
      <c r="Z94" s="2">
        <v>3146.3755868206135</v>
      </c>
      <c r="AA94" s="2">
        <v>313.19050021199922</v>
      </c>
      <c r="AB94" s="2">
        <v>443.7184898633231</v>
      </c>
      <c r="AC94" s="2">
        <v>2562.8191215533557</v>
      </c>
      <c r="AD94" s="2">
        <v>518.02636439196181</v>
      </c>
      <c r="AE94" s="2">
        <v>595.67880447114851</v>
      </c>
      <c r="AF94" s="2">
        <v>1082.3942744507708</v>
      </c>
      <c r="AG94" s="2">
        <v>75.526918756342553</v>
      </c>
      <c r="AH94" s="2">
        <v>525.54416242189984</v>
      </c>
      <c r="AI94" s="2">
        <v>471460.16093642468</v>
      </c>
      <c r="AJ94" s="2">
        <v>434208.79551989463</v>
      </c>
      <c r="AL94" s="27">
        <v>0.91978722771467791</v>
      </c>
      <c r="AM94" s="27">
        <v>0.91552076979625907</v>
      </c>
      <c r="AN94" s="27">
        <v>0.9184867366808942</v>
      </c>
      <c r="AO94" s="27">
        <v>0.85261702957695296</v>
      </c>
      <c r="AP94" s="27">
        <v>0.74427816827007287</v>
      </c>
      <c r="AQ94" s="27">
        <v>0.91978722771467791</v>
      </c>
      <c r="AR94" s="27">
        <v>0.91552076979625907</v>
      </c>
      <c r="AS94" s="27">
        <v>0.9184867366808942</v>
      </c>
      <c r="AT94" s="27">
        <v>0.85261702957695296</v>
      </c>
      <c r="AU94" s="27">
        <v>0.74427816827007287</v>
      </c>
      <c r="AW94" s="1">
        <v>13.205526867901472</v>
      </c>
      <c r="AX94" s="1">
        <v>15.068234632454022</v>
      </c>
      <c r="AY94" s="2">
        <v>1901438.5388091856</v>
      </c>
      <c r="AZ94" s="1">
        <v>15.334826325601332</v>
      </c>
      <c r="BA94" s="1">
        <v>17.174831338212226</v>
      </c>
      <c r="BB94" s="2">
        <v>1276220.2491145122</v>
      </c>
      <c r="BC94" s="2">
        <f t="shared" si="14"/>
        <v>-625218.28969467338</v>
      </c>
      <c r="BD94" s="292">
        <f t="shared" si="15"/>
        <v>2.1292994576998598</v>
      </c>
      <c r="BF94" s="170">
        <f t="shared" si="10"/>
        <v>211445.76005505002</v>
      </c>
      <c r="BG94" s="2">
        <f t="shared" si="11"/>
        <v>1177351.9629817011</v>
      </c>
      <c r="BI94">
        <f t="shared" si="12"/>
        <v>0</v>
      </c>
      <c r="BJ94" s="95">
        <f t="shared" si="13"/>
        <v>1</v>
      </c>
      <c r="BP94" s="217">
        <f t="shared" si="16"/>
        <v>1177351.9629817011</v>
      </c>
    </row>
    <row r="95" spans="1:68">
      <c r="A95" s="11">
        <v>89</v>
      </c>
      <c r="C95" s="27">
        <v>0.92635755227608119</v>
      </c>
      <c r="D95" s="27">
        <v>7.3642447723918855E-2</v>
      </c>
      <c r="E95" s="27">
        <v>0</v>
      </c>
      <c r="F95" s="27">
        <v>0.85948289088317165</v>
      </c>
      <c r="G95" s="27">
        <v>0.14051710911682838</v>
      </c>
      <c r="H95" s="27">
        <v>0</v>
      </c>
      <c r="I95" s="27">
        <v>0.74750765734883429</v>
      </c>
      <c r="J95" s="27">
        <v>0.25249234265116571</v>
      </c>
      <c r="K95" s="27">
        <v>0</v>
      </c>
      <c r="L95" s="27">
        <v>0.11235301581024293</v>
      </c>
      <c r="M95" s="27">
        <v>0.5312546145290854</v>
      </c>
      <c r="N95" s="27">
        <v>0.35639236966067167</v>
      </c>
      <c r="O95" s="27">
        <v>-11.395543802908737</v>
      </c>
      <c r="P95" s="27">
        <v>3.574272869567513E-2</v>
      </c>
      <c r="Q95" s="27">
        <v>5.0459011854572526E-5</v>
      </c>
      <c r="R95" s="27">
        <v>1.1033090717050913</v>
      </c>
      <c r="S95" s="154"/>
      <c r="T95">
        <v>1.1389959062464134</v>
      </c>
      <c r="U95">
        <v>2.266774064513601</v>
      </c>
      <c r="V95">
        <v>2.7240605187983604</v>
      </c>
      <c r="W95">
        <v>1</v>
      </c>
      <c r="Y95" s="2">
        <v>293.22423884846103</v>
      </c>
      <c r="Z95" s="2">
        <v>6143.3199052885057</v>
      </c>
      <c r="AA95" s="2">
        <v>2947.9109785090268</v>
      </c>
      <c r="AB95" s="2">
        <v>10132.127379010959</v>
      </c>
      <c r="AC95" s="2">
        <v>36.923294531198358</v>
      </c>
      <c r="AD95" s="2">
        <v>1871.0353450746129</v>
      </c>
      <c r="AE95" s="2">
        <v>547.28182786322384</v>
      </c>
      <c r="AF95" s="2">
        <v>1196.1180422655441</v>
      </c>
      <c r="AG95" s="2">
        <v>197.04344938597237</v>
      </c>
      <c r="AH95" s="2">
        <v>328.20647008080249</v>
      </c>
      <c r="AI95" s="2">
        <v>492276.50157652958</v>
      </c>
      <c r="AJ95" s="2">
        <v>462118.85840609448</v>
      </c>
      <c r="AL95" s="27">
        <v>0.92114995491507723</v>
      </c>
      <c r="AM95" s="27">
        <v>0.91753174381047686</v>
      </c>
      <c r="AN95" s="27">
        <v>0.90645644971895256</v>
      </c>
      <c r="AO95" s="27">
        <v>0.84044814499490927</v>
      </c>
      <c r="AP95" s="27">
        <v>0.62870516678743982</v>
      </c>
      <c r="AQ95" s="27">
        <v>0.92114995491507723</v>
      </c>
      <c r="AR95" s="27">
        <v>0.91753174381047686</v>
      </c>
      <c r="AS95" s="27">
        <v>0.90645644971895256</v>
      </c>
      <c r="AT95" s="27">
        <v>0.84044814499490927</v>
      </c>
      <c r="AU95" s="27">
        <v>0.62870516678743982</v>
      </c>
      <c r="AW95" s="1">
        <v>13.133477525612395</v>
      </c>
      <c r="AX95" s="1">
        <v>15.398973345229576</v>
      </c>
      <c r="AY95" s="2">
        <v>1985152.3879534574</v>
      </c>
      <c r="AZ95" s="1">
        <v>15.363427819380103</v>
      </c>
      <c r="BA95" s="1">
        <v>17.473273106033279</v>
      </c>
      <c r="BB95" s="2">
        <v>1526566.2585068205</v>
      </c>
      <c r="BC95" s="2">
        <f t="shared" si="14"/>
        <v>-458586.12944663689</v>
      </c>
      <c r="BD95" s="292">
        <f t="shared" si="15"/>
        <v>2.2299502937677076</v>
      </c>
      <c r="BF95" s="170">
        <f t="shared" si="10"/>
        <v>116204.01614452573</v>
      </c>
      <c r="BG95" s="2">
        <f t="shared" si="11"/>
        <v>931582.19259399595</v>
      </c>
      <c r="BI95">
        <f t="shared" si="12"/>
        <v>0</v>
      </c>
      <c r="BJ95" s="95">
        <f t="shared" si="13"/>
        <v>1</v>
      </c>
      <c r="BP95" s="217">
        <f t="shared" si="16"/>
        <v>931582.19259399595</v>
      </c>
    </row>
    <row r="96" spans="1:68">
      <c r="A96" s="11">
        <v>90</v>
      </c>
      <c r="C96" s="27">
        <v>0.92030270503009992</v>
      </c>
      <c r="D96" s="27">
        <v>7.9697294969900079E-2</v>
      </c>
      <c r="E96" s="27">
        <v>0</v>
      </c>
      <c r="F96" s="27">
        <v>0.85267073555798045</v>
      </c>
      <c r="G96" s="27">
        <v>0.14732926444201955</v>
      </c>
      <c r="H96" s="27">
        <v>0</v>
      </c>
      <c r="I96" s="27">
        <v>0.73599827404272111</v>
      </c>
      <c r="J96" s="27">
        <v>0.26400172595727889</v>
      </c>
      <c r="K96" s="27">
        <v>0</v>
      </c>
      <c r="L96" s="27">
        <v>7.6280855634692113E-2</v>
      </c>
      <c r="M96" s="27">
        <v>0.52661002663842127</v>
      </c>
      <c r="N96" s="27">
        <v>0.39710911772688662</v>
      </c>
      <c r="O96" s="27">
        <v>-11.432553672158289</v>
      </c>
      <c r="P96" s="27">
        <v>3.5641269760234559E-2</v>
      </c>
      <c r="Q96" s="27">
        <v>4.8418899146333665E-5</v>
      </c>
      <c r="R96" s="27">
        <v>1.1019952185076471</v>
      </c>
      <c r="S96" s="154"/>
      <c r="T96">
        <v>0.85564766190097663</v>
      </c>
      <c r="U96">
        <v>2.2606808351662551</v>
      </c>
      <c r="V96">
        <v>2.8371732976667405</v>
      </c>
      <c r="W96">
        <v>1</v>
      </c>
      <c r="Y96" s="2">
        <v>559.24344887240613</v>
      </c>
      <c r="Z96" s="2">
        <v>3622.2847309954113</v>
      </c>
      <c r="AA96" s="2">
        <v>1563.7673203186894</v>
      </c>
      <c r="AB96" s="2">
        <v>3045.0321276060054</v>
      </c>
      <c r="AC96" s="2">
        <v>1380.4551923557237</v>
      </c>
      <c r="AD96" s="2">
        <v>928.72477849647908</v>
      </c>
      <c r="AE96" s="2">
        <v>576.49878174713103</v>
      </c>
      <c r="AF96" s="2">
        <v>1217.5110898454172</v>
      </c>
      <c r="AG96" s="2">
        <v>163.71086895551701</v>
      </c>
      <c r="AH96" s="2">
        <v>364.37116179485167</v>
      </c>
      <c r="AI96" s="2">
        <v>576449.8557630647</v>
      </c>
      <c r="AJ96" s="2">
        <v>546030.32662947942</v>
      </c>
      <c r="AL96" s="27">
        <v>0.91867770703691376</v>
      </c>
      <c r="AM96" s="27">
        <v>0.91040991722818398</v>
      </c>
      <c r="AN96" s="27">
        <v>0.91252560465881938</v>
      </c>
      <c r="AO96" s="27">
        <v>0.84103333886647136</v>
      </c>
      <c r="AP96" s="27">
        <v>0.71662237148487629</v>
      </c>
      <c r="AQ96" s="27">
        <v>0.91867770703691376</v>
      </c>
      <c r="AR96" s="27">
        <v>0.91040991722818398</v>
      </c>
      <c r="AS96" s="27">
        <v>0.91252560465881938</v>
      </c>
      <c r="AT96" s="27">
        <v>0.84103333886647136</v>
      </c>
      <c r="AU96" s="27">
        <v>0.71662237148487629</v>
      </c>
      <c r="AW96" s="1">
        <v>13.842738201827833</v>
      </c>
      <c r="AX96" s="1">
        <v>15.79586507129596</v>
      </c>
      <c r="AY96" s="2">
        <v>2084974.7367701519</v>
      </c>
      <c r="AZ96" s="1">
        <v>15.183464945867181</v>
      </c>
      <c r="BA96" s="1">
        <v>17.125960507178373</v>
      </c>
      <c r="BB96" s="2">
        <v>1658727.729110131</v>
      </c>
      <c r="BC96" s="2">
        <f t="shared" si="14"/>
        <v>-426247.00766002084</v>
      </c>
      <c r="BD96" s="292">
        <f t="shared" si="15"/>
        <v>1.3407267440393476</v>
      </c>
      <c r="BF96" s="170">
        <f t="shared" si="10"/>
        <v>129863.3755223013</v>
      </c>
      <c r="BG96" s="2">
        <f t="shared" si="11"/>
        <v>770626.66222861782</v>
      </c>
      <c r="BI96">
        <f t="shared" si="12"/>
        <v>0</v>
      </c>
      <c r="BJ96" s="95">
        <f t="shared" si="13"/>
        <v>1</v>
      </c>
      <c r="BP96" s="217">
        <f t="shared" si="16"/>
        <v>770626.66222861782</v>
      </c>
    </row>
    <row r="97" spans="1:68">
      <c r="A97" s="11">
        <v>91</v>
      </c>
      <c r="C97" s="27">
        <v>0.92138987914102166</v>
      </c>
      <c r="D97" s="27">
        <v>7.8610120858978338E-2</v>
      </c>
      <c r="E97" s="27">
        <v>0</v>
      </c>
      <c r="F97" s="27">
        <v>0.85910337694450423</v>
      </c>
      <c r="G97" s="27">
        <v>0.14089662305549575</v>
      </c>
      <c r="H97" s="27">
        <v>0</v>
      </c>
      <c r="I97" s="27">
        <v>0.75200833218558016</v>
      </c>
      <c r="J97" s="27">
        <v>0.24799166781441984</v>
      </c>
      <c r="K97" s="27">
        <v>0</v>
      </c>
      <c r="L97" s="27">
        <v>0.17650675476164834</v>
      </c>
      <c r="M97" s="27">
        <v>0.48212855235947999</v>
      </c>
      <c r="N97" s="27">
        <v>0.34136469287887161</v>
      </c>
      <c r="O97" s="27">
        <v>-11.540974666525582</v>
      </c>
      <c r="P97" s="27">
        <v>3.4432147285029684E-2</v>
      </c>
      <c r="Q97" s="27">
        <v>4.1292714391085693E-5</v>
      </c>
      <c r="R97" s="27">
        <v>1.1269298826737246</v>
      </c>
      <c r="S97" s="154"/>
      <c r="T97">
        <v>0.9634063876589477</v>
      </c>
      <c r="U97">
        <v>2.2859847302671299</v>
      </c>
      <c r="V97">
        <v>3.1107483457983798</v>
      </c>
      <c r="W97">
        <v>1</v>
      </c>
      <c r="Y97" s="2">
        <v>1668.9331686555861</v>
      </c>
      <c r="Z97" s="2">
        <v>6653.7011516183411</v>
      </c>
      <c r="AA97" s="2">
        <v>218.27651080196415</v>
      </c>
      <c r="AB97" s="2">
        <v>2862.277548036338</v>
      </c>
      <c r="AC97" s="2">
        <v>15.480871526230692</v>
      </c>
      <c r="AD97" s="2">
        <v>400.12311835142941</v>
      </c>
      <c r="AE97" s="2">
        <v>622.42736457691115</v>
      </c>
      <c r="AF97" s="2">
        <v>1175.0186381302026</v>
      </c>
      <c r="AG97" s="2">
        <v>101.86153822323568</v>
      </c>
      <c r="AH97" s="2">
        <v>559.47159112849499</v>
      </c>
      <c r="AI97" s="2">
        <v>616988.19923340471</v>
      </c>
      <c r="AJ97" s="2">
        <v>582467.68989712698</v>
      </c>
      <c r="AL97" s="27">
        <v>0.92013619250227463</v>
      </c>
      <c r="AM97" s="27">
        <v>0.91338457952082097</v>
      </c>
      <c r="AN97" s="27">
        <v>0.91171775605670102</v>
      </c>
      <c r="AO97" s="27">
        <v>0.89054688870617527</v>
      </c>
      <c r="AP97" s="27">
        <v>0.62364975405203182</v>
      </c>
      <c r="AQ97" s="27">
        <v>0.92013619250227463</v>
      </c>
      <c r="AR97" s="27">
        <v>0.91338457952082097</v>
      </c>
      <c r="AS97" s="27">
        <v>0.91171775605670102</v>
      </c>
      <c r="AT97" s="27">
        <v>0.89054688870617527</v>
      </c>
      <c r="AU97" s="27">
        <v>0.62364975405203182</v>
      </c>
      <c r="AW97" s="1">
        <v>13.344732123536028</v>
      </c>
      <c r="AX97" s="1">
        <v>15.54604718683305</v>
      </c>
      <c r="AY97" s="2">
        <v>2328735.4438532279</v>
      </c>
      <c r="AZ97" s="1">
        <v>15.208171117745216</v>
      </c>
      <c r="BA97" s="1">
        <v>17.305143449785007</v>
      </c>
      <c r="BB97" s="2">
        <v>1648035.8028657772</v>
      </c>
      <c r="BC97" s="2">
        <f t="shared" si="14"/>
        <v>-680699.64098745072</v>
      </c>
      <c r="BD97" s="292">
        <f t="shared" si="15"/>
        <v>1.8634389942091882</v>
      </c>
      <c r="BF97" s="170">
        <f t="shared" si="10"/>
        <v>-193578.3040874633</v>
      </c>
      <c r="BG97" s="2">
        <f t="shared" si="11"/>
        <v>785271.57597345766</v>
      </c>
      <c r="BI97">
        <f t="shared" si="12"/>
        <v>0</v>
      </c>
      <c r="BJ97" s="95">
        <f t="shared" si="13"/>
        <v>1</v>
      </c>
      <c r="BP97" s="217">
        <f t="shared" si="16"/>
        <v>785271.57597345766</v>
      </c>
    </row>
    <row r="98" spans="1:68">
      <c r="A98" s="11">
        <v>92</v>
      </c>
      <c r="C98" s="27">
        <v>0.92333925886088086</v>
      </c>
      <c r="D98" s="27">
        <v>7.6660741139119179E-2</v>
      </c>
      <c r="E98" s="27">
        <v>0</v>
      </c>
      <c r="F98" s="27">
        <v>0.85843294931214875</v>
      </c>
      <c r="G98" s="27">
        <v>0.14156705068785128</v>
      </c>
      <c r="H98" s="27">
        <v>0</v>
      </c>
      <c r="I98" s="27">
        <v>0.75624270328635879</v>
      </c>
      <c r="J98" s="27">
        <v>0.24375729671364119</v>
      </c>
      <c r="K98" s="27">
        <v>0</v>
      </c>
      <c r="L98" s="27">
        <v>0.13393093269009287</v>
      </c>
      <c r="M98" s="27">
        <v>0.49915791690412037</v>
      </c>
      <c r="N98" s="27">
        <v>0.36691115040578676</v>
      </c>
      <c r="O98" s="27">
        <v>-11.139329210880614</v>
      </c>
      <c r="P98" s="27">
        <v>3.4019186057618729E-2</v>
      </c>
      <c r="Q98" s="27">
        <v>6.0641965990948992E-5</v>
      </c>
      <c r="R98" s="27">
        <v>1.0705769945161931</v>
      </c>
      <c r="S98" s="154"/>
      <c r="T98">
        <v>0.95326838007528802</v>
      </c>
      <c r="U98">
        <v>2.2791520032035901</v>
      </c>
      <c r="V98">
        <v>3.1598630466555044</v>
      </c>
      <c r="W98">
        <v>1</v>
      </c>
      <c r="Y98" s="2">
        <v>171.61568886167578</v>
      </c>
      <c r="Z98" s="2">
        <v>5622.0880944385008</v>
      </c>
      <c r="AA98" s="2">
        <v>218.94341481714912</v>
      </c>
      <c r="AB98" s="2">
        <v>649.93544925749916</v>
      </c>
      <c r="AC98" s="2">
        <v>1422.7301327081816</v>
      </c>
      <c r="AD98" s="2">
        <v>1143.5130867256246</v>
      </c>
      <c r="AE98" s="2">
        <v>530.15058325958046</v>
      </c>
      <c r="AF98" s="2">
        <v>964.98571091064468</v>
      </c>
      <c r="AG98" s="2">
        <v>106.38777797805525</v>
      </c>
      <c r="AH98" s="2">
        <v>597.79572347782062</v>
      </c>
      <c r="AI98" s="2">
        <v>515362.06248873298</v>
      </c>
      <c r="AJ98" s="2">
        <v>480862.25314771238</v>
      </c>
      <c r="AL98" s="27">
        <v>0.92134686615103312</v>
      </c>
      <c r="AM98" s="27">
        <v>0.91002796778973849</v>
      </c>
      <c r="AN98" s="27">
        <v>0.91340182767912181</v>
      </c>
      <c r="AO98" s="27">
        <v>0.87328011415612117</v>
      </c>
      <c r="AP98" s="27">
        <v>0.68735794951780105</v>
      </c>
      <c r="AQ98" s="27">
        <v>0.92134686615103312</v>
      </c>
      <c r="AR98" s="27">
        <v>0.91002796778973849</v>
      </c>
      <c r="AS98" s="27">
        <v>0.91340182767912181</v>
      </c>
      <c r="AT98" s="27">
        <v>0.87328011415612117</v>
      </c>
      <c r="AU98" s="27">
        <v>0.68735794951780105</v>
      </c>
      <c r="AW98" s="1">
        <v>13.718074395135192</v>
      </c>
      <c r="AX98" s="1">
        <v>15.764316456147478</v>
      </c>
      <c r="AY98" s="2">
        <v>1996724.7453131475</v>
      </c>
      <c r="AZ98" s="1">
        <v>15.455635285193175</v>
      </c>
      <c r="BA98" s="1">
        <v>17.4447615819197</v>
      </c>
      <c r="BB98" s="2">
        <v>1399148.4386319036</v>
      </c>
      <c r="BC98" s="2">
        <f t="shared" si="14"/>
        <v>-597576.30668124394</v>
      </c>
      <c r="BD98" s="292">
        <f t="shared" si="15"/>
        <v>1.7375608900579831</v>
      </c>
      <c r="BF98" s="170">
        <f t="shared" si="10"/>
        <v>198167.15790848294</v>
      </c>
      <c r="BG98" s="2">
        <f t="shared" si="11"/>
        <v>1073753.2069990046</v>
      </c>
      <c r="BI98">
        <f t="shared" si="12"/>
        <v>0</v>
      </c>
      <c r="BJ98" s="95">
        <f t="shared" si="13"/>
        <v>1</v>
      </c>
      <c r="BP98" s="217">
        <f t="shared" si="16"/>
        <v>1073753.2069990046</v>
      </c>
    </row>
    <row r="99" spans="1:68">
      <c r="A99" s="11">
        <v>93</v>
      </c>
      <c r="C99" s="27">
        <v>0.92289064024194012</v>
      </c>
      <c r="D99" s="27">
        <v>7.7109359758059881E-2</v>
      </c>
      <c r="E99" s="27">
        <v>0</v>
      </c>
      <c r="F99" s="27">
        <v>0.8568036956852535</v>
      </c>
      <c r="G99" s="27">
        <v>0.1431963043147465</v>
      </c>
      <c r="H99" s="27">
        <v>0</v>
      </c>
      <c r="I99" s="27">
        <v>0.74396462374653693</v>
      </c>
      <c r="J99" s="27">
        <v>0.25603537625346307</v>
      </c>
      <c r="K99" s="27">
        <v>0</v>
      </c>
      <c r="L99" s="27">
        <v>0.16048100943290189</v>
      </c>
      <c r="M99" s="27">
        <v>0.45706458016695295</v>
      </c>
      <c r="N99" s="27">
        <v>0.38245441040014516</v>
      </c>
      <c r="O99" s="27">
        <v>-11.345305810692777</v>
      </c>
      <c r="P99" s="27">
        <v>3.5946598426961726E-2</v>
      </c>
      <c r="Q99" s="27">
        <v>5.3514994261455817E-5</v>
      </c>
      <c r="R99" s="27">
        <v>1.0900304519854112</v>
      </c>
      <c r="S99" s="154"/>
      <c r="T99">
        <v>1.065720294605951</v>
      </c>
      <c r="U99">
        <v>2.234276758648333</v>
      </c>
      <c r="V99">
        <v>2.9383619522733468</v>
      </c>
      <c r="W99">
        <v>1</v>
      </c>
      <c r="Y99" s="2">
        <v>1156.1824891011192</v>
      </c>
      <c r="Z99" s="2">
        <v>8740.4673411713793</v>
      </c>
      <c r="AA99" s="2">
        <v>93.741084499423408</v>
      </c>
      <c r="AB99" s="2">
        <v>1178.5019696123941</v>
      </c>
      <c r="AC99" s="2">
        <v>596.66144315869201</v>
      </c>
      <c r="AD99" s="2">
        <v>2778.0596325743827</v>
      </c>
      <c r="AE99" s="2">
        <v>606.8254344544896</v>
      </c>
      <c r="AF99" s="2">
        <v>1248.3564634108973</v>
      </c>
      <c r="AG99" s="2">
        <v>146.99519064863571</v>
      </c>
      <c r="AH99" s="2">
        <v>204.37925560627647</v>
      </c>
      <c r="AI99" s="2">
        <v>512717.4996797482</v>
      </c>
      <c r="AJ99" s="2">
        <v>490943.73976611649</v>
      </c>
      <c r="AL99" s="27">
        <v>0.91975472425683447</v>
      </c>
      <c r="AM99" s="27">
        <v>0.91886661308460638</v>
      </c>
      <c r="AN99" s="27">
        <v>0.90767429654525345</v>
      </c>
      <c r="AO99" s="27">
        <v>0.86299085932596309</v>
      </c>
      <c r="AP99" s="27">
        <v>0.68689559505751363</v>
      </c>
      <c r="AQ99" s="27">
        <v>0.91975472425683447</v>
      </c>
      <c r="AR99" s="27">
        <v>0.91886661308460638</v>
      </c>
      <c r="AS99" s="27">
        <v>0.90767429654525345</v>
      </c>
      <c r="AT99" s="27">
        <v>0.86299085932596309</v>
      </c>
      <c r="AU99" s="27">
        <v>0.68689559505751363</v>
      </c>
      <c r="AW99" s="1">
        <v>13.215521775760676</v>
      </c>
      <c r="AX99" s="1">
        <v>15.210212553056992</v>
      </c>
      <c r="AY99" s="2">
        <v>2018513.2990977943</v>
      </c>
      <c r="AZ99" s="1">
        <v>15.269839480138545</v>
      </c>
      <c r="BA99" s="1">
        <v>17.205235064950244</v>
      </c>
      <c r="BB99" s="2">
        <v>1371114.0382946779</v>
      </c>
      <c r="BC99" s="2">
        <f t="shared" si="14"/>
        <v>-647399.26080311649</v>
      </c>
      <c r="BD99" s="292">
        <f t="shared" si="15"/>
        <v>2.0543177043778691</v>
      </c>
      <c r="BF99" s="170">
        <f t="shared" si="10"/>
        <v>95970.185023913858</v>
      </c>
      <c r="BG99" s="2">
        <f t="shared" si="11"/>
        <v>1072060.2785274892</v>
      </c>
      <c r="BI99">
        <f t="shared" si="12"/>
        <v>0</v>
      </c>
      <c r="BJ99" s="95">
        <f t="shared" si="13"/>
        <v>1</v>
      </c>
      <c r="BP99" s="217">
        <f t="shared" si="16"/>
        <v>1072060.2785274892</v>
      </c>
    </row>
    <row r="100" spans="1:68">
      <c r="A100" s="11">
        <v>94</v>
      </c>
      <c r="C100" s="27">
        <v>0.92423930292456546</v>
      </c>
      <c r="D100" s="27">
        <v>7.5760697075434535E-2</v>
      </c>
      <c r="E100" s="27">
        <v>0</v>
      </c>
      <c r="F100" s="27">
        <v>0.8563402268982282</v>
      </c>
      <c r="G100" s="27">
        <v>0.1436597731017718</v>
      </c>
      <c r="H100" s="27">
        <v>0</v>
      </c>
      <c r="I100" s="27">
        <v>0.75400994767251328</v>
      </c>
      <c r="J100" s="27">
        <v>0.24599005232748672</v>
      </c>
      <c r="K100" s="27">
        <v>0</v>
      </c>
      <c r="L100" s="27">
        <v>0.12599371813243737</v>
      </c>
      <c r="M100" s="27">
        <v>0.52511313978577112</v>
      </c>
      <c r="N100" s="27">
        <v>0.34889314208179151</v>
      </c>
      <c r="O100" s="27">
        <v>-10.92084007765482</v>
      </c>
      <c r="P100" s="27">
        <v>3.1748343610328793E-2</v>
      </c>
      <c r="Q100" s="27">
        <v>6.8586855936095029E-5</v>
      </c>
      <c r="R100" s="27">
        <v>1.0609289579752901</v>
      </c>
      <c r="S100" s="154"/>
      <c r="T100">
        <v>1.0212946923960928</v>
      </c>
      <c r="U100">
        <v>2.2201333039260818</v>
      </c>
      <c r="V100">
        <v>2.9130218074753422</v>
      </c>
      <c r="W100">
        <v>1</v>
      </c>
      <c r="Y100" s="2">
        <v>2714.559413935438</v>
      </c>
      <c r="Z100" s="2">
        <v>5577.9615435248634</v>
      </c>
      <c r="AA100" s="2">
        <v>4466.9154340259156</v>
      </c>
      <c r="AB100" s="2">
        <v>5462.2209640148758</v>
      </c>
      <c r="AC100" s="2">
        <v>146.51140946475513</v>
      </c>
      <c r="AD100" s="2">
        <v>411.74951027590305</v>
      </c>
      <c r="AE100" s="2">
        <v>548.0964515097088</v>
      </c>
      <c r="AF100" s="2">
        <v>967.07300964888736</v>
      </c>
      <c r="AG100" s="2">
        <v>176.06636442036995</v>
      </c>
      <c r="AH100" s="2">
        <v>310.59026564085798</v>
      </c>
      <c r="AI100" s="2">
        <v>471009.46652579395</v>
      </c>
      <c r="AJ100" s="2">
        <v>433760.09562320088</v>
      </c>
      <c r="AL100" s="27">
        <v>0.91619961617534718</v>
      </c>
      <c r="AM100" s="27">
        <v>0.9147143592915199</v>
      </c>
      <c r="AN100" s="27">
        <v>0.90507787876332346</v>
      </c>
      <c r="AO100" s="27">
        <v>0.82659291637193455</v>
      </c>
      <c r="AP100" s="27">
        <v>0.58780341740023379</v>
      </c>
      <c r="AQ100" s="27">
        <v>0.91619961617534718</v>
      </c>
      <c r="AR100" s="27">
        <v>0.9147143592915199</v>
      </c>
      <c r="AS100" s="27">
        <v>0.90507787876332346</v>
      </c>
      <c r="AT100" s="27">
        <v>0.82659291637193455</v>
      </c>
      <c r="AU100" s="27">
        <v>0.58780341740023379</v>
      </c>
      <c r="AW100" s="1">
        <v>13.252928237203609</v>
      </c>
      <c r="AX100" s="1">
        <v>15.749167538845454</v>
      </c>
      <c r="AY100" s="2">
        <v>1918656.2800983309</v>
      </c>
      <c r="AZ100" s="1">
        <v>15.196492344952636</v>
      </c>
      <c r="BA100" s="1">
        <v>17.511920762769268</v>
      </c>
      <c r="BB100" s="2">
        <v>1443105.942600976</v>
      </c>
      <c r="BC100" s="2">
        <f t="shared" si="14"/>
        <v>-475550.33749735495</v>
      </c>
      <c r="BD100" s="292">
        <f t="shared" si="15"/>
        <v>1.9435641077490278</v>
      </c>
      <c r="BF100" s="170">
        <f t="shared" si="10"/>
        <v>201812.23785424628</v>
      </c>
      <c r="BG100" s="2">
        <f t="shared" si="11"/>
        <v>988332.83259144588</v>
      </c>
      <c r="BI100">
        <f t="shared" si="12"/>
        <v>0</v>
      </c>
      <c r="BJ100" s="95">
        <f t="shared" si="13"/>
        <v>1</v>
      </c>
      <c r="BP100" s="217">
        <f t="shared" si="16"/>
        <v>988332.83259144588</v>
      </c>
    </row>
    <row r="101" spans="1:68">
      <c r="A101" s="11">
        <v>95</v>
      </c>
      <c r="C101" s="27">
        <v>0.92468512979874973</v>
      </c>
      <c r="D101" s="27">
        <v>7.53148702012503E-2</v>
      </c>
      <c r="E101" s="27">
        <v>0</v>
      </c>
      <c r="F101" s="27">
        <v>0.85780474963860254</v>
      </c>
      <c r="G101" s="27">
        <v>0.14219525036139744</v>
      </c>
      <c r="H101" s="27">
        <v>0</v>
      </c>
      <c r="I101" s="27">
        <v>0.74297156200678227</v>
      </c>
      <c r="J101" s="27">
        <v>0.25702843799321773</v>
      </c>
      <c r="K101" s="27">
        <v>0</v>
      </c>
      <c r="L101" s="27">
        <v>8.2213649860656157E-2</v>
      </c>
      <c r="M101" s="27">
        <v>0.52882545745647103</v>
      </c>
      <c r="N101" s="27">
        <v>0.38896089268287282</v>
      </c>
      <c r="O101" s="27">
        <v>-10.942167639336393</v>
      </c>
      <c r="P101" s="27">
        <v>3.4642535185874519E-2</v>
      </c>
      <c r="Q101" s="27">
        <v>7.5817519691355863E-5</v>
      </c>
      <c r="R101" s="27">
        <v>1.0480277754568665</v>
      </c>
      <c r="S101" s="154"/>
      <c r="T101">
        <v>0.90338088269796835</v>
      </c>
      <c r="U101">
        <v>2.2185456065539668</v>
      </c>
      <c r="V101">
        <v>3.0336153158630523</v>
      </c>
      <c r="W101">
        <v>1</v>
      </c>
      <c r="Y101" s="2">
        <v>2355.71287500165</v>
      </c>
      <c r="Z101" s="2">
        <v>22477.359499352035</v>
      </c>
      <c r="AA101" s="2">
        <v>1943.6286172953364</v>
      </c>
      <c r="AB101" s="2">
        <v>624.79966833995695</v>
      </c>
      <c r="AC101" s="2">
        <v>1124.7850160804294</v>
      </c>
      <c r="AD101" s="2">
        <v>770.91145624506373</v>
      </c>
      <c r="AE101" s="2">
        <v>582.92903365921381</v>
      </c>
      <c r="AF101" s="2">
        <v>983.65797933317765</v>
      </c>
      <c r="AG101" s="2">
        <v>134.41678623098528</v>
      </c>
      <c r="AH101" s="2">
        <v>462.30446551142921</v>
      </c>
      <c r="AI101" s="2">
        <v>582994.28558116185</v>
      </c>
      <c r="AJ101" s="2">
        <v>560482.66077229334</v>
      </c>
      <c r="AL101" s="27">
        <v>0.92285479830324979</v>
      </c>
      <c r="AM101" s="27">
        <v>0.91860362917243832</v>
      </c>
      <c r="AN101" s="27">
        <v>0.91216633608425968</v>
      </c>
      <c r="AO101" s="27">
        <v>0.8946889737554784</v>
      </c>
      <c r="AP101" s="27">
        <v>0.66752014784854763</v>
      </c>
      <c r="AQ101" s="27">
        <v>0.92285479830324979</v>
      </c>
      <c r="AR101" s="27">
        <v>0.91860362917243832</v>
      </c>
      <c r="AS101" s="27">
        <v>0.91216633608425968</v>
      </c>
      <c r="AT101" s="27">
        <v>0.8946889737554784</v>
      </c>
      <c r="AU101" s="27">
        <v>0.66752014784854763</v>
      </c>
      <c r="AW101" s="1">
        <v>13.903807565548682</v>
      </c>
      <c r="AX101" s="1">
        <v>15.953455890225227</v>
      </c>
      <c r="AY101" s="2">
        <v>2494671.3475641697</v>
      </c>
      <c r="AZ101" s="1">
        <v>15.426598175020372</v>
      </c>
      <c r="BA101" s="1">
        <v>17.406481678629333</v>
      </c>
      <c r="BB101" s="2">
        <v>1651733.7024220452</v>
      </c>
      <c r="BC101" s="2">
        <f t="shared" si="14"/>
        <v>-842937.6451421245</v>
      </c>
      <c r="BD101" s="292">
        <f t="shared" si="15"/>
        <v>1.5227906094716896</v>
      </c>
      <c r="BF101" s="170">
        <f t="shared" si="10"/>
        <v>-270062.13707638066</v>
      </c>
      <c r="BG101" s="2">
        <f t="shared" si="11"/>
        <v>816522.00558121409</v>
      </c>
      <c r="BI101">
        <f t="shared" si="12"/>
        <v>0</v>
      </c>
      <c r="BJ101" s="95">
        <f t="shared" si="13"/>
        <v>1</v>
      </c>
      <c r="BP101" s="217">
        <f t="shared" si="16"/>
        <v>816522.00558121409</v>
      </c>
    </row>
    <row r="102" spans="1:68">
      <c r="A102" s="11">
        <v>96</v>
      </c>
      <c r="C102" s="27">
        <v>0.92421920125413703</v>
      </c>
      <c r="D102" s="27">
        <v>7.5780798745862993E-2</v>
      </c>
      <c r="E102" s="27">
        <v>0</v>
      </c>
      <c r="F102" s="27">
        <v>0.86149744308020004</v>
      </c>
      <c r="G102" s="27">
        <v>0.13850255691979999</v>
      </c>
      <c r="H102" s="27">
        <v>0</v>
      </c>
      <c r="I102" s="27">
        <v>0.74869606083194218</v>
      </c>
      <c r="J102" s="27">
        <v>0.25130393916805782</v>
      </c>
      <c r="K102" s="27">
        <v>0</v>
      </c>
      <c r="L102" s="27">
        <v>0.21220490223912669</v>
      </c>
      <c r="M102" s="27">
        <v>0.42764313125840203</v>
      </c>
      <c r="N102" s="27">
        <v>0.36015196650247128</v>
      </c>
      <c r="O102" s="27">
        <v>-11.234774343183558</v>
      </c>
      <c r="P102" s="27">
        <v>3.2241025976348182E-2</v>
      </c>
      <c r="Q102" s="27">
        <v>5.1154952244601325E-5</v>
      </c>
      <c r="R102" s="27">
        <v>1.096403172386353</v>
      </c>
      <c r="S102" s="154"/>
      <c r="T102">
        <v>1.131956989085374</v>
      </c>
      <c r="U102">
        <v>2.2769706711318656</v>
      </c>
      <c r="V102">
        <v>2.9016785117260975</v>
      </c>
      <c r="W102">
        <v>1</v>
      </c>
      <c r="Y102" s="2">
        <v>200.672677194578</v>
      </c>
      <c r="Z102" s="2">
        <v>4737.882172850148</v>
      </c>
      <c r="AA102" s="2">
        <v>2051.7186329062192</v>
      </c>
      <c r="AB102" s="2">
        <v>3076.0338243080955</v>
      </c>
      <c r="AC102" s="2">
        <v>717.64669108835835</v>
      </c>
      <c r="AD102" s="2">
        <v>1446.1794079308554</v>
      </c>
      <c r="AE102" s="2">
        <v>558.14925689596043</v>
      </c>
      <c r="AF102" s="2">
        <v>844.26045247991624</v>
      </c>
      <c r="AG102" s="2">
        <v>129.7225310199459</v>
      </c>
      <c r="AH102" s="2">
        <v>619.0125028728836</v>
      </c>
      <c r="AI102" s="2">
        <v>549386.67147454934</v>
      </c>
      <c r="AJ102" s="2">
        <v>503703.17264688649</v>
      </c>
      <c r="AL102" s="27">
        <v>0.91271520456569299</v>
      </c>
      <c r="AM102" s="27">
        <v>0.91029043030480472</v>
      </c>
      <c r="AN102" s="27">
        <v>0.90852974743006676</v>
      </c>
      <c r="AO102" s="27">
        <v>0.87513781812444158</v>
      </c>
      <c r="AP102" s="27">
        <v>0.73509383687947372</v>
      </c>
      <c r="AQ102" s="27">
        <v>0.91271520456569299</v>
      </c>
      <c r="AR102" s="27">
        <v>0.91029043030480472</v>
      </c>
      <c r="AS102" s="27">
        <v>0.90852974743006676</v>
      </c>
      <c r="AT102" s="27">
        <v>0.87513781812444158</v>
      </c>
      <c r="AU102" s="27">
        <v>0.73509383687947372</v>
      </c>
      <c r="AW102" s="1">
        <v>13.210455191143327</v>
      </c>
      <c r="AX102" s="1">
        <v>15.119282294796072</v>
      </c>
      <c r="AY102" s="2">
        <v>2005574.6615141171</v>
      </c>
      <c r="AZ102" s="1">
        <v>15.394299413328238</v>
      </c>
      <c r="BA102" s="1">
        <v>17.309376830322083</v>
      </c>
      <c r="BB102" s="2">
        <v>1398059.2464968828</v>
      </c>
      <c r="BC102" s="2">
        <f t="shared" si="14"/>
        <v>-607515.41501723439</v>
      </c>
      <c r="BD102" s="292">
        <f t="shared" si="15"/>
        <v>2.183844222184911</v>
      </c>
      <c r="BF102" s="170">
        <f t="shared" si="10"/>
        <v>108098.16906881495</v>
      </c>
      <c r="BG102" s="2">
        <f t="shared" si="11"/>
        <v>1065028.6596356351</v>
      </c>
      <c r="BI102">
        <f t="shared" si="12"/>
        <v>0</v>
      </c>
      <c r="BJ102" s="95">
        <f t="shared" si="13"/>
        <v>1</v>
      </c>
      <c r="BP102" s="217">
        <f t="shared" si="16"/>
        <v>1065028.6596356351</v>
      </c>
    </row>
    <row r="103" spans="1:68">
      <c r="A103" s="11">
        <v>97</v>
      </c>
      <c r="C103" s="27">
        <v>0.92270049993039072</v>
      </c>
      <c r="D103" s="27">
        <v>7.7299500069609284E-2</v>
      </c>
      <c r="E103" s="27">
        <v>0</v>
      </c>
      <c r="F103" s="27">
        <v>0.85858636758247331</v>
      </c>
      <c r="G103" s="27">
        <v>0.14141363241752666</v>
      </c>
      <c r="H103" s="27">
        <v>0</v>
      </c>
      <c r="I103" s="27">
        <v>0.74831761094311477</v>
      </c>
      <c r="J103" s="27">
        <v>0.25168238905688523</v>
      </c>
      <c r="K103" s="27">
        <v>0</v>
      </c>
      <c r="L103" s="27">
        <v>0.12979734395452702</v>
      </c>
      <c r="M103" s="27">
        <v>0.47261868824539993</v>
      </c>
      <c r="N103" s="27">
        <v>0.39758396780007299</v>
      </c>
      <c r="O103" s="27">
        <v>-11.621239619901401</v>
      </c>
      <c r="P103" s="27">
        <v>3.9460851235854737E-2</v>
      </c>
      <c r="Q103" s="27">
        <v>4.7069568584514845E-5</v>
      </c>
      <c r="R103" s="27">
        <v>1.1013536546060931</v>
      </c>
      <c r="S103" s="154"/>
      <c r="T103">
        <v>0.94769192215301035</v>
      </c>
      <c r="U103">
        <v>2.2820163415379331</v>
      </c>
      <c r="V103">
        <v>3.1730141084230268</v>
      </c>
      <c r="W103">
        <v>1</v>
      </c>
      <c r="Y103" s="2">
        <v>889.83388639313182</v>
      </c>
      <c r="Z103" s="2">
        <v>4158.3544001288274</v>
      </c>
      <c r="AA103" s="2">
        <v>488.11265664859263</v>
      </c>
      <c r="AB103" s="2">
        <v>7967.5619557101672</v>
      </c>
      <c r="AC103" s="2">
        <v>688.24203414162048</v>
      </c>
      <c r="AD103" s="2">
        <v>2349.3091262557709</v>
      </c>
      <c r="AE103" s="2">
        <v>547.81123455298689</v>
      </c>
      <c r="AF103" s="2">
        <v>965.66855193306537</v>
      </c>
      <c r="AG103" s="2">
        <v>181.24054290779736</v>
      </c>
      <c r="AH103" s="2">
        <v>435.11815328137948</v>
      </c>
      <c r="AI103" s="2">
        <v>401140.83308126102</v>
      </c>
      <c r="AJ103" s="2">
        <v>380599.20485081844</v>
      </c>
      <c r="AL103" s="27">
        <v>0.92040039925221762</v>
      </c>
      <c r="AM103" s="27">
        <v>0.90887310806958521</v>
      </c>
      <c r="AN103" s="27">
        <v>0.90804075592699784</v>
      </c>
      <c r="AO103" s="27">
        <v>0.85984312310312683</v>
      </c>
      <c r="AP103" s="27">
        <v>0.67946116432869674</v>
      </c>
      <c r="AQ103" s="27">
        <v>0.92040039925221762</v>
      </c>
      <c r="AR103" s="27">
        <v>0.90887310806958521</v>
      </c>
      <c r="AS103" s="27">
        <v>0.90804075592699784</v>
      </c>
      <c r="AT103" s="27">
        <v>0.85984312310312683</v>
      </c>
      <c r="AU103" s="27">
        <v>0.67946116432869674</v>
      </c>
      <c r="AW103" s="1">
        <v>13.485269768872108</v>
      </c>
      <c r="AX103" s="1">
        <v>15.506384627233583</v>
      </c>
      <c r="AY103" s="2">
        <v>1477906.6128112006</v>
      </c>
      <c r="AZ103" s="1">
        <v>15.245208539372637</v>
      </c>
      <c r="BA103" s="1">
        <v>17.230306576013739</v>
      </c>
      <c r="BB103" s="2">
        <v>1194889.9794495329</v>
      </c>
      <c r="BC103" s="2">
        <f t="shared" si="14"/>
        <v>-283016.63336166763</v>
      </c>
      <c r="BD103" s="292">
        <f t="shared" si="15"/>
        <v>1.7599387705005292</v>
      </c>
      <c r="BF103" s="170">
        <f t="shared" si="10"/>
        <v>679736.55020833691</v>
      </c>
      <c r="BG103" s="2">
        <f t="shared" si="11"/>
        <v>1244343.3868500888</v>
      </c>
      <c r="BI103">
        <f t="shared" si="12"/>
        <v>0</v>
      </c>
      <c r="BJ103" s="95">
        <f t="shared" si="13"/>
        <v>1</v>
      </c>
      <c r="BP103" s="217">
        <f t="shared" si="16"/>
        <v>1244343.3868500888</v>
      </c>
    </row>
    <row r="104" spans="1:68">
      <c r="A104" s="11">
        <v>98</v>
      </c>
      <c r="C104" s="27">
        <v>0.92014501680656346</v>
      </c>
      <c r="D104" s="27">
        <v>7.9854983193436535E-2</v>
      </c>
      <c r="E104" s="27">
        <v>0</v>
      </c>
      <c r="F104" s="27">
        <v>0.8556571728850465</v>
      </c>
      <c r="G104" s="27">
        <v>0.1443428271149535</v>
      </c>
      <c r="H104" s="27">
        <v>0</v>
      </c>
      <c r="I104" s="27">
        <v>0.75026592547679294</v>
      </c>
      <c r="J104" s="27">
        <v>0.24973407452320706</v>
      </c>
      <c r="K104" s="27">
        <v>0</v>
      </c>
      <c r="L104" s="27">
        <v>0.15415955844248375</v>
      </c>
      <c r="M104" s="27">
        <v>0.46248843578860926</v>
      </c>
      <c r="N104" s="27">
        <v>0.38335200576890704</v>
      </c>
      <c r="O104" s="27">
        <v>-11.312577123088898</v>
      </c>
      <c r="P104" s="27">
        <v>3.9355259102660196E-2</v>
      </c>
      <c r="Q104" s="27">
        <v>6.3806452218400441E-5</v>
      </c>
      <c r="R104" s="27">
        <v>1.054791639476061</v>
      </c>
      <c r="S104" s="154"/>
      <c r="T104">
        <v>1.0179222614273333</v>
      </c>
      <c r="U104">
        <v>2.2780370817060285</v>
      </c>
      <c r="V104">
        <v>3.1854673114990617</v>
      </c>
      <c r="W104">
        <v>1</v>
      </c>
      <c r="Y104" s="2">
        <v>731.17868176578463</v>
      </c>
      <c r="Z104" s="2">
        <v>3754.7914500202055</v>
      </c>
      <c r="AA104" s="2">
        <v>350.31082776628455</v>
      </c>
      <c r="AB104" s="2">
        <v>470.7791656280105</v>
      </c>
      <c r="AC104" s="2">
        <v>690.08701497577806</v>
      </c>
      <c r="AD104" s="2">
        <v>2101.8368846171925</v>
      </c>
      <c r="AE104" s="2">
        <v>557.93061425135545</v>
      </c>
      <c r="AF104" s="2">
        <v>1131.6591600743948</v>
      </c>
      <c r="AG104" s="2">
        <v>168.76552912979903</v>
      </c>
      <c r="AH104" s="2">
        <v>518.79316610059504</v>
      </c>
      <c r="AI104" s="2">
        <v>645671.49862183083</v>
      </c>
      <c r="AJ104" s="2">
        <v>615119.24634801398</v>
      </c>
      <c r="AL104" s="27">
        <v>0.92269369143616276</v>
      </c>
      <c r="AM104" s="27">
        <v>0.91805936398312493</v>
      </c>
      <c r="AN104" s="27">
        <v>0.90284342337375589</v>
      </c>
      <c r="AO104" s="27">
        <v>0.87541243590616213</v>
      </c>
      <c r="AP104" s="27">
        <v>0.72003286742687278</v>
      </c>
      <c r="AQ104" s="27">
        <v>0.92269369143616276</v>
      </c>
      <c r="AR104" s="27">
        <v>0.91805936398312493</v>
      </c>
      <c r="AS104" s="27">
        <v>0.90284342337375589</v>
      </c>
      <c r="AT104" s="27">
        <v>0.87541243590616213</v>
      </c>
      <c r="AU104" s="27">
        <v>0.72003286742687278</v>
      </c>
      <c r="AW104" s="1">
        <v>13.464239211836119</v>
      </c>
      <c r="AX104" s="1">
        <v>15.38245258724465</v>
      </c>
      <c r="AY104" s="2">
        <v>2594903.1541961967</v>
      </c>
      <c r="AZ104" s="1">
        <v>15.392021327409989</v>
      </c>
      <c r="BA104" s="1">
        <v>17.276010724474361</v>
      </c>
      <c r="BB104" s="2">
        <v>1815280.8792412446</v>
      </c>
      <c r="BC104" s="2">
        <f t="shared" si="14"/>
        <v>-779622.27495495207</v>
      </c>
      <c r="BD104" s="292">
        <f t="shared" si="15"/>
        <v>1.9277821155738692</v>
      </c>
      <c r="BF104" s="170">
        <f t="shared" si="10"/>
        <v>-440624.88030241756</v>
      </c>
      <c r="BG104" s="2">
        <f t="shared" si="11"/>
        <v>647442.53314435366</v>
      </c>
      <c r="BI104">
        <f t="shared" si="12"/>
        <v>0</v>
      </c>
      <c r="BJ104" s="95">
        <f t="shared" si="13"/>
        <v>1</v>
      </c>
      <c r="BP104" s="217">
        <f t="shared" si="16"/>
        <v>647442.53314435366</v>
      </c>
    </row>
    <row r="105" spans="1:68">
      <c r="A105" s="11">
        <v>99</v>
      </c>
      <c r="C105" s="27">
        <v>0.92292619453829339</v>
      </c>
      <c r="D105" s="27">
        <v>7.7073805461706613E-2</v>
      </c>
      <c r="E105" s="27">
        <v>0</v>
      </c>
      <c r="F105" s="27">
        <v>0.85472337303335066</v>
      </c>
      <c r="G105" s="27">
        <v>0.14527662696664934</v>
      </c>
      <c r="H105" s="27">
        <v>0</v>
      </c>
      <c r="I105" s="27">
        <v>0.74397379262221985</v>
      </c>
      <c r="J105" s="27">
        <v>0.25602620737778015</v>
      </c>
      <c r="K105" s="27">
        <v>0</v>
      </c>
      <c r="L105" s="27">
        <v>5.80100399008735E-2</v>
      </c>
      <c r="M105" s="27">
        <v>0.5070879287710971</v>
      </c>
      <c r="N105" s="27">
        <v>0.4349020313280294</v>
      </c>
      <c r="O105" s="27">
        <v>-11.039371238367819</v>
      </c>
      <c r="P105" s="27">
        <v>3.5557707055487255E-2</v>
      </c>
      <c r="Q105" s="27">
        <v>7.1490388631288292E-5</v>
      </c>
      <c r="R105" s="27">
        <v>1.0491411315868902</v>
      </c>
      <c r="S105" s="154"/>
      <c r="T105">
        <v>0.93545051032626403</v>
      </c>
      <c r="U105">
        <v>2.361295604417005</v>
      </c>
      <c r="V105">
        <v>3.1401932288756935</v>
      </c>
      <c r="W105">
        <v>1</v>
      </c>
      <c r="Y105" s="2">
        <v>672.74234324268514</v>
      </c>
      <c r="Z105" s="2">
        <v>217.38735648041478</v>
      </c>
      <c r="AA105" s="2">
        <v>872.90156538570852</v>
      </c>
      <c r="AB105" s="2">
        <v>5364.4038525361275</v>
      </c>
      <c r="AC105" s="2">
        <v>136.44605743806</v>
      </c>
      <c r="AD105" s="2">
        <v>865.20865620591348</v>
      </c>
      <c r="AE105" s="2">
        <v>553.73871752149921</v>
      </c>
      <c r="AF105" s="2">
        <v>874.19525805115882</v>
      </c>
      <c r="AG105" s="2">
        <v>112.76121979071202</v>
      </c>
      <c r="AH105" s="2">
        <v>219.99811652548186</v>
      </c>
      <c r="AI105" s="2">
        <v>655783.5470740645</v>
      </c>
      <c r="AJ105" s="2">
        <v>635151.43625587749</v>
      </c>
      <c r="AL105" s="27">
        <v>0.92274047755546951</v>
      </c>
      <c r="AM105" s="27">
        <v>0.91818729298907054</v>
      </c>
      <c r="AN105" s="27">
        <v>0.90856404819050807</v>
      </c>
      <c r="AO105" s="27">
        <v>0.8977622390066351</v>
      </c>
      <c r="AP105" s="27">
        <v>0.71150401765223292</v>
      </c>
      <c r="AQ105" s="27">
        <v>0.92274047755546951</v>
      </c>
      <c r="AR105" s="27">
        <v>0.91818729298907054</v>
      </c>
      <c r="AS105" s="27">
        <v>0.90856404819050807</v>
      </c>
      <c r="AT105" s="27">
        <v>0.8977622390066351</v>
      </c>
      <c r="AU105" s="27">
        <v>0.71150401765223292</v>
      </c>
      <c r="AW105" s="1">
        <v>13.644095165427188</v>
      </c>
      <c r="AX105" s="1">
        <v>15.52426457448283</v>
      </c>
      <c r="AY105" s="2">
        <v>2415734.8291958207</v>
      </c>
      <c r="AZ105" s="1">
        <v>15.350773211990642</v>
      </c>
      <c r="BA105" s="1">
        <v>17.205912673304852</v>
      </c>
      <c r="BB105" s="2">
        <v>1863375.101937999</v>
      </c>
      <c r="BC105" s="2">
        <f t="shared" si="14"/>
        <v>-552359.72725782171</v>
      </c>
      <c r="BD105" s="292">
        <f t="shared" si="15"/>
        <v>1.7066780465634537</v>
      </c>
      <c r="BF105" s="170">
        <f t="shared" si="10"/>
        <v>-232679.60272747045</v>
      </c>
      <c r="BG105" s="2">
        <f t="shared" si="11"/>
        <v>592748.61198050389</v>
      </c>
      <c r="BI105">
        <f t="shared" si="12"/>
        <v>0</v>
      </c>
      <c r="BJ105" s="95">
        <f t="shared" si="13"/>
        <v>1</v>
      </c>
      <c r="BP105" s="217">
        <f t="shared" si="16"/>
        <v>592748.61198050389</v>
      </c>
    </row>
    <row r="106" spans="1:68">
      <c r="A106" s="11">
        <v>100</v>
      </c>
      <c r="C106" s="27">
        <v>0.92354939683907189</v>
      </c>
      <c r="D106" s="27">
        <v>7.6450603160928124E-2</v>
      </c>
      <c r="E106" s="27">
        <v>0</v>
      </c>
      <c r="F106" s="27">
        <v>0.84922996155973784</v>
      </c>
      <c r="G106" s="27">
        <v>0.15077003844026216</v>
      </c>
      <c r="H106" s="27">
        <v>0</v>
      </c>
      <c r="I106" s="27">
        <v>0.74694934024021709</v>
      </c>
      <c r="J106" s="27">
        <v>0.25305065975978291</v>
      </c>
      <c r="K106" s="27">
        <v>0</v>
      </c>
      <c r="L106" s="27">
        <v>4.865585704811326E-2</v>
      </c>
      <c r="M106" s="27">
        <v>0.53075614467539656</v>
      </c>
      <c r="N106" s="27">
        <v>0.42058799827649018</v>
      </c>
      <c r="O106" s="27">
        <v>-11.347155212610822</v>
      </c>
      <c r="P106" s="27">
        <v>3.498367621905292E-2</v>
      </c>
      <c r="Q106" s="27">
        <v>5.1298922422855176E-5</v>
      </c>
      <c r="R106" s="27">
        <v>1.101975125150048</v>
      </c>
      <c r="S106" s="154"/>
      <c r="T106">
        <v>1.001753025863396</v>
      </c>
      <c r="U106">
        <v>2.2785332849576481</v>
      </c>
      <c r="V106">
        <v>3.101120930266215</v>
      </c>
      <c r="W106">
        <v>1</v>
      </c>
      <c r="Y106" s="2">
        <v>1015.3060961200512</v>
      </c>
      <c r="Z106" s="2">
        <v>4137.9462890136901</v>
      </c>
      <c r="AA106" s="2">
        <v>612.59243597579302</v>
      </c>
      <c r="AB106" s="2">
        <v>6011.368564917444</v>
      </c>
      <c r="AC106" s="2">
        <v>366.89159559315925</v>
      </c>
      <c r="AD106" s="2">
        <v>365.96011633669031</v>
      </c>
      <c r="AE106" s="2">
        <v>607.38346400951991</v>
      </c>
      <c r="AF106" s="2">
        <v>1318.6824335921467</v>
      </c>
      <c r="AG106" s="2">
        <v>125.60130350268929</v>
      </c>
      <c r="AH106" s="2">
        <v>368.12447630382951</v>
      </c>
      <c r="AI106" s="2">
        <v>426382.97462143516</v>
      </c>
      <c r="AJ106" s="2">
        <v>380673.48908236821</v>
      </c>
      <c r="AL106" s="27">
        <v>0.91438411280670062</v>
      </c>
      <c r="AM106" s="27">
        <v>0.91669525847290578</v>
      </c>
      <c r="AN106" s="27">
        <v>0.9108769265146025</v>
      </c>
      <c r="AO106" s="27">
        <v>0.84544497353005954</v>
      </c>
      <c r="AP106" s="27">
        <v>0.54476745642756486</v>
      </c>
      <c r="AQ106" s="27">
        <v>0.91438411280670062</v>
      </c>
      <c r="AR106" s="27">
        <v>0.91669525847290578</v>
      </c>
      <c r="AS106" s="27">
        <v>0.9108769265146025</v>
      </c>
      <c r="AT106" s="27">
        <v>0.84544497353005954</v>
      </c>
      <c r="AU106" s="27">
        <v>0.54476745642756486</v>
      </c>
      <c r="AW106" s="1">
        <v>12.781404660313218</v>
      </c>
      <c r="AX106" s="1">
        <v>15.259571746575427</v>
      </c>
      <c r="AY106" s="2">
        <v>1510275.760957194</v>
      </c>
      <c r="AZ106" s="1">
        <v>14.812950741448324</v>
      </c>
      <c r="BA106" s="1">
        <v>17.116658070839808</v>
      </c>
      <c r="BB106" s="2">
        <v>1151819.2423920087</v>
      </c>
      <c r="BC106" s="2">
        <f t="shared" si="14"/>
        <v>-358456.51856518537</v>
      </c>
      <c r="BD106" s="292">
        <f t="shared" si="15"/>
        <v>2.0315460811351063</v>
      </c>
      <c r="BF106" s="170">
        <f t="shared" si="10"/>
        <v>534748.9846929207</v>
      </c>
      <c r="BG106" s="2">
        <f t="shared" si="11"/>
        <v>1218252.8762397231</v>
      </c>
      <c r="BI106">
        <f t="shared" si="12"/>
        <v>0</v>
      </c>
      <c r="BJ106" s="95">
        <f t="shared" si="13"/>
        <v>1</v>
      </c>
      <c r="BP106" s="217">
        <f t="shared" si="16"/>
        <v>1218252.8762397231</v>
      </c>
    </row>
    <row r="107" spans="1:68">
      <c r="A107" s="11">
        <v>101</v>
      </c>
      <c r="C107" s="27">
        <v>0.92341091066433578</v>
      </c>
      <c r="D107" s="27">
        <v>7.6589089335664218E-2</v>
      </c>
      <c r="E107" s="27">
        <v>0</v>
      </c>
      <c r="F107" s="27">
        <v>0.86371318827461219</v>
      </c>
      <c r="G107" s="27">
        <v>0.13628681172538779</v>
      </c>
      <c r="H107" s="27">
        <v>0</v>
      </c>
      <c r="I107" s="27">
        <v>0.74266303310241377</v>
      </c>
      <c r="J107" s="27">
        <v>0.25733696689758623</v>
      </c>
      <c r="K107" s="27">
        <v>0</v>
      </c>
      <c r="L107" s="27">
        <v>0.11783646765727052</v>
      </c>
      <c r="M107" s="27">
        <v>0.48972699422323862</v>
      </c>
      <c r="N107" s="27">
        <v>0.39243653811949086</v>
      </c>
      <c r="O107" s="27">
        <v>-10.954180378170202</v>
      </c>
      <c r="P107" s="27">
        <v>3.3102826925214469E-2</v>
      </c>
      <c r="Q107" s="27">
        <v>7.0221105265374749E-5</v>
      </c>
      <c r="R107" s="27">
        <v>1.0639503927199532</v>
      </c>
      <c r="S107" s="154"/>
      <c r="T107">
        <v>0.97582057756369467</v>
      </c>
      <c r="U107">
        <v>2.199934563419597</v>
      </c>
      <c r="V107">
        <v>2.7921345958708526</v>
      </c>
      <c r="W107">
        <v>1</v>
      </c>
      <c r="Y107" s="2">
        <v>704.66893848364487</v>
      </c>
      <c r="Z107" s="2">
        <v>3862.2384673358483</v>
      </c>
      <c r="AA107" s="2">
        <v>2609.5323305798911</v>
      </c>
      <c r="AB107" s="2">
        <v>8925.0160281377066</v>
      </c>
      <c r="AC107" s="2">
        <v>1081.3979973110784</v>
      </c>
      <c r="AD107" s="2">
        <v>2460.7128312687969</v>
      </c>
      <c r="AE107" s="2">
        <v>604.95526048919919</v>
      </c>
      <c r="AF107" s="2">
        <v>1194.2538085967474</v>
      </c>
      <c r="AG107" s="2">
        <v>107.52069240417357</v>
      </c>
      <c r="AH107" s="2">
        <v>476.50718929867327</v>
      </c>
      <c r="AI107" s="2">
        <v>443853.63611619087</v>
      </c>
      <c r="AJ107" s="2">
        <v>421849.36021341494</v>
      </c>
      <c r="AL107" s="27">
        <v>0.91504576223613066</v>
      </c>
      <c r="AM107" s="27">
        <v>0.91072734623542595</v>
      </c>
      <c r="AN107" s="27">
        <v>0.90533857794234662</v>
      </c>
      <c r="AO107" s="27">
        <v>0.86074654464774225</v>
      </c>
      <c r="AP107" s="27">
        <v>0.73316858248918504</v>
      </c>
      <c r="AQ107" s="27">
        <v>0.91504576223613066</v>
      </c>
      <c r="AR107" s="27">
        <v>0.91072734623542595</v>
      </c>
      <c r="AS107" s="27">
        <v>0.90533857794234662</v>
      </c>
      <c r="AT107" s="27">
        <v>0.86074654464774225</v>
      </c>
      <c r="AU107" s="27">
        <v>0.73316858248918504</v>
      </c>
      <c r="AW107" s="1">
        <v>13.677629566489541</v>
      </c>
      <c r="AX107" s="1">
        <v>15.593862295988384</v>
      </c>
      <c r="AY107" s="2">
        <v>1622907.8037002038</v>
      </c>
      <c r="AZ107" s="1">
        <v>15.381261225506801</v>
      </c>
      <c r="BA107" s="1">
        <v>17.301288905193992</v>
      </c>
      <c r="BB107" s="2">
        <v>1358095.702553743</v>
      </c>
      <c r="BC107" s="2">
        <f t="shared" si="14"/>
        <v>-264812.10114646074</v>
      </c>
      <c r="BD107" s="292">
        <f t="shared" si="15"/>
        <v>1.70363165901726</v>
      </c>
      <c r="BF107" s="170">
        <f t="shared" si="10"/>
        <v>565512.92693812284</v>
      </c>
      <c r="BG107" s="2">
        <f t="shared" si="11"/>
        <v>1102906.093527345</v>
      </c>
      <c r="BI107">
        <f t="shared" si="12"/>
        <v>0</v>
      </c>
      <c r="BJ107" s="95">
        <f t="shared" si="13"/>
        <v>1</v>
      </c>
      <c r="BP107" s="217">
        <f t="shared" si="16"/>
        <v>1102906.093527345</v>
      </c>
    </row>
    <row r="108" spans="1:68">
      <c r="A108" s="11">
        <v>102</v>
      </c>
      <c r="C108" s="27">
        <v>0.92397676150444275</v>
      </c>
      <c r="D108" s="27">
        <v>7.6023238495557255E-2</v>
      </c>
      <c r="E108" s="27">
        <v>0</v>
      </c>
      <c r="F108" s="27">
        <v>0.85914213267859219</v>
      </c>
      <c r="G108" s="27">
        <v>0.14085786732140784</v>
      </c>
      <c r="H108" s="27">
        <v>0</v>
      </c>
      <c r="I108" s="27">
        <v>0.74500390112615589</v>
      </c>
      <c r="J108" s="27">
        <v>0.25499609887384411</v>
      </c>
      <c r="K108" s="27">
        <v>0</v>
      </c>
      <c r="L108" s="27">
        <v>5.9247092999759166E-2</v>
      </c>
      <c r="M108" s="27">
        <v>0.53928744105981441</v>
      </c>
      <c r="N108" s="27">
        <v>0.40146546594042642</v>
      </c>
      <c r="O108" s="27">
        <v>-11.176940769830084</v>
      </c>
      <c r="P108" s="27">
        <v>3.4460337328316833E-2</v>
      </c>
      <c r="Q108" s="27">
        <v>5.9495694936380663E-5</v>
      </c>
      <c r="R108" s="27">
        <v>1.0731427760668377</v>
      </c>
      <c r="S108" s="154"/>
      <c r="T108">
        <v>1.0392615172580519</v>
      </c>
      <c r="U108">
        <v>2.2426958923890181</v>
      </c>
      <c r="V108">
        <v>2.8990974973167849</v>
      </c>
      <c r="W108">
        <v>1</v>
      </c>
      <c r="Y108" s="2">
        <v>5.4217359285417119</v>
      </c>
      <c r="Z108" s="2">
        <v>1232.3057826092174</v>
      </c>
      <c r="AA108" s="2">
        <v>3777.7556773674501</v>
      </c>
      <c r="AB108" s="2">
        <v>612.6605090506074</v>
      </c>
      <c r="AC108" s="2">
        <v>72.300769756925774</v>
      </c>
      <c r="AD108" s="2">
        <v>1015.1230438680036</v>
      </c>
      <c r="AE108" s="2">
        <v>589.13663004963064</v>
      </c>
      <c r="AF108" s="2">
        <v>1114.6147446864636</v>
      </c>
      <c r="AG108" s="2">
        <v>120.25742915222889</v>
      </c>
      <c r="AH108" s="2">
        <v>256.15202196348787</v>
      </c>
      <c r="AI108" s="2">
        <v>454771.819590859</v>
      </c>
      <c r="AJ108" s="2">
        <v>429115.54370805074</v>
      </c>
      <c r="AL108" s="27">
        <v>0.91995954037060024</v>
      </c>
      <c r="AM108" s="27">
        <v>0.91209575285449618</v>
      </c>
      <c r="AN108" s="27">
        <v>0.91172051792792852</v>
      </c>
      <c r="AO108" s="27">
        <v>0.86486776817018995</v>
      </c>
      <c r="AP108" s="27">
        <v>0.68726550595891989</v>
      </c>
      <c r="AQ108" s="27">
        <v>0.91995954037060024</v>
      </c>
      <c r="AR108" s="27">
        <v>0.91209575285449618</v>
      </c>
      <c r="AS108" s="27">
        <v>0.91172051792792852</v>
      </c>
      <c r="AT108" s="27">
        <v>0.86486776817018995</v>
      </c>
      <c r="AU108" s="27">
        <v>0.68726550595891989</v>
      </c>
      <c r="AW108" s="1">
        <v>13.464458036563645</v>
      </c>
      <c r="AX108" s="1">
        <v>15.529139546046219</v>
      </c>
      <c r="AY108" s="2">
        <v>1761867.0196759861</v>
      </c>
      <c r="AZ108" s="1">
        <v>15.390445223573089</v>
      </c>
      <c r="BA108" s="1">
        <v>17.385693062906412</v>
      </c>
      <c r="BB108" s="2">
        <v>1310479.5048307783</v>
      </c>
      <c r="BC108" s="2">
        <f t="shared" si="14"/>
        <v>-451387.5148452078</v>
      </c>
      <c r="BD108" s="292">
        <f t="shared" si="15"/>
        <v>1.9259871870094436</v>
      </c>
      <c r="BF108" s="170">
        <f t="shared" si="10"/>
        <v>392446.26617419696</v>
      </c>
      <c r="BG108" s="2">
        <f t="shared" si="11"/>
        <v>1151991.7309409159</v>
      </c>
      <c r="BI108">
        <f t="shared" si="12"/>
        <v>0</v>
      </c>
      <c r="BJ108" s="95">
        <f t="shared" si="13"/>
        <v>1</v>
      </c>
      <c r="BP108" s="217">
        <f t="shared" si="16"/>
        <v>1151991.7309409159</v>
      </c>
    </row>
    <row r="109" spans="1:68">
      <c r="A109" s="11">
        <v>103</v>
      </c>
      <c r="C109" s="27">
        <v>0.92378993479856031</v>
      </c>
      <c r="D109" s="27">
        <v>7.6210065201439747E-2</v>
      </c>
      <c r="E109" s="27">
        <v>0</v>
      </c>
      <c r="F109" s="27">
        <v>0.85129827065576713</v>
      </c>
      <c r="G109" s="27">
        <v>0.14870172934423287</v>
      </c>
      <c r="H109" s="27">
        <v>0</v>
      </c>
      <c r="I109" s="27">
        <v>0.76017464011371916</v>
      </c>
      <c r="J109" s="27">
        <v>0.23982535988628084</v>
      </c>
      <c r="K109" s="27">
        <v>0</v>
      </c>
      <c r="L109" s="27">
        <v>9.4160468187692914E-2</v>
      </c>
      <c r="M109" s="27">
        <v>0.54619166782840023</v>
      </c>
      <c r="N109" s="27">
        <v>0.35964786398390686</v>
      </c>
      <c r="O109" s="27">
        <v>-10.69118121217941</v>
      </c>
      <c r="P109" s="27">
        <v>3.3759998261493472E-2</v>
      </c>
      <c r="Q109" s="27">
        <v>9.3901773464108998E-5</v>
      </c>
      <c r="R109" s="27">
        <v>1.0182090448258188</v>
      </c>
      <c r="S109" s="154"/>
      <c r="T109">
        <v>1.0648824335278064</v>
      </c>
      <c r="U109">
        <v>2.3465241661840444</v>
      </c>
      <c r="V109">
        <v>2.8991749686475101</v>
      </c>
      <c r="W109">
        <v>1</v>
      </c>
      <c r="Y109" s="2">
        <v>370.40822677319352</v>
      </c>
      <c r="Z109" s="2">
        <v>4482.9133722115739</v>
      </c>
      <c r="AA109" s="2">
        <v>585.61385584847812</v>
      </c>
      <c r="AB109" s="2">
        <v>3233.3135889783821</v>
      </c>
      <c r="AC109" s="2">
        <v>1118.2401491017868</v>
      </c>
      <c r="AD109" s="2">
        <v>855.90824450750279</v>
      </c>
      <c r="AE109" s="2">
        <v>599.30065517175638</v>
      </c>
      <c r="AF109" s="2">
        <v>989.57154340593524</v>
      </c>
      <c r="AG109" s="2">
        <v>91.950293362368484</v>
      </c>
      <c r="AH109" s="2">
        <v>507.83010504624764</v>
      </c>
      <c r="AI109" s="2">
        <v>537947.46581475576</v>
      </c>
      <c r="AJ109" s="2">
        <v>504249.77343056444</v>
      </c>
      <c r="AL109" s="27">
        <v>0.92096808906749772</v>
      </c>
      <c r="AM109" s="27">
        <v>0.91164332296536454</v>
      </c>
      <c r="AN109" s="27">
        <v>0.90322733414155476</v>
      </c>
      <c r="AO109" s="27">
        <v>0.88217603847611714</v>
      </c>
      <c r="AP109" s="27">
        <v>0.7523556800706499</v>
      </c>
      <c r="AQ109" s="27">
        <v>0.92096808906749772</v>
      </c>
      <c r="AR109" s="27">
        <v>0.91164332296536454</v>
      </c>
      <c r="AS109" s="27">
        <v>0.90322733414155476</v>
      </c>
      <c r="AT109" s="27">
        <v>0.88217603847611714</v>
      </c>
      <c r="AU109" s="27">
        <v>0.7523556800706499</v>
      </c>
      <c r="AW109" s="1">
        <v>13.760551107549915</v>
      </c>
      <c r="AX109" s="1">
        <v>15.668543957619899</v>
      </c>
      <c r="AY109" s="2">
        <v>2344434.1225601239</v>
      </c>
      <c r="AZ109" s="1">
        <v>15.666386150187172</v>
      </c>
      <c r="BA109" s="1">
        <v>17.559954536688775</v>
      </c>
      <c r="BB109" s="2">
        <v>1634084.0502902805</v>
      </c>
      <c r="BC109" s="2">
        <f t="shared" si="14"/>
        <v>-710350.07226984343</v>
      </c>
      <c r="BD109" s="292">
        <f t="shared" si="15"/>
        <v>1.905835042637257</v>
      </c>
      <c r="BF109" s="170">
        <f t="shared" si="10"/>
        <v>-142745.94535213755</v>
      </c>
      <c r="BG109" s="2">
        <f t="shared" si="11"/>
        <v>872537.73373966711</v>
      </c>
      <c r="BI109">
        <f t="shared" si="12"/>
        <v>0</v>
      </c>
      <c r="BJ109" s="95">
        <f t="shared" si="13"/>
        <v>1</v>
      </c>
      <c r="BP109" s="217">
        <f t="shared" si="16"/>
        <v>872537.73373966711</v>
      </c>
    </row>
    <row r="110" spans="1:68">
      <c r="A110" s="11">
        <v>104</v>
      </c>
      <c r="C110" s="27">
        <v>0.92129225897149059</v>
      </c>
      <c r="D110" s="27">
        <v>7.8707741028509415E-2</v>
      </c>
      <c r="E110" s="27">
        <v>0</v>
      </c>
      <c r="F110" s="27">
        <v>0.85504562253831917</v>
      </c>
      <c r="G110" s="27">
        <v>0.14495437746168083</v>
      </c>
      <c r="H110" s="27">
        <v>0</v>
      </c>
      <c r="I110" s="27">
        <v>0.74094466912910695</v>
      </c>
      <c r="J110" s="27">
        <v>0.25905533087089305</v>
      </c>
      <c r="K110" s="27">
        <v>0</v>
      </c>
      <c r="L110" s="27">
        <v>0.12243785804798446</v>
      </c>
      <c r="M110" s="27">
        <v>0.45219321588134159</v>
      </c>
      <c r="N110" s="27">
        <v>0.425368926070674</v>
      </c>
      <c r="O110" s="27">
        <v>-10.930575491869931</v>
      </c>
      <c r="P110" s="27">
        <v>3.2992515080777565E-2</v>
      </c>
      <c r="Q110" s="27">
        <v>7.1566042842102084E-5</v>
      </c>
      <c r="R110" s="27">
        <v>1.0459716284905758</v>
      </c>
      <c r="S110" s="154"/>
      <c r="T110">
        <v>1.0869435928135018</v>
      </c>
      <c r="U110">
        <v>2.1934338201111805</v>
      </c>
      <c r="V110">
        <v>3.1057440146782018</v>
      </c>
      <c r="W110">
        <v>1</v>
      </c>
      <c r="Y110" s="2">
        <v>1371.7816927081717</v>
      </c>
      <c r="Z110" s="2">
        <v>2643.3144008250006</v>
      </c>
      <c r="AA110" s="2">
        <v>1955.1403962166532</v>
      </c>
      <c r="AB110" s="2">
        <v>9267.3966873897334</v>
      </c>
      <c r="AC110" s="2">
        <v>3449.4266136288034</v>
      </c>
      <c r="AD110" s="2">
        <v>343.49949490990707</v>
      </c>
      <c r="AE110" s="2">
        <v>541.68578819590516</v>
      </c>
      <c r="AF110" s="2">
        <v>957.40125285314343</v>
      </c>
      <c r="AG110" s="2">
        <v>125.78663835839475</v>
      </c>
      <c r="AH110" s="2">
        <v>513.17187758393084</v>
      </c>
      <c r="AI110" s="2">
        <v>630415.40470687288</v>
      </c>
      <c r="AJ110" s="2">
        <v>596777.66737517738</v>
      </c>
      <c r="AL110" s="27">
        <v>0.91501997142005775</v>
      </c>
      <c r="AM110" s="27">
        <v>0.91645329607708881</v>
      </c>
      <c r="AN110" s="27">
        <v>0.90473301698289676</v>
      </c>
      <c r="AO110" s="27">
        <v>0.88121739106638652</v>
      </c>
      <c r="AP110" s="27">
        <v>0.64914617940466357</v>
      </c>
      <c r="AQ110" s="27">
        <v>0.91501997142005775</v>
      </c>
      <c r="AR110" s="27">
        <v>0.91645329607708881</v>
      </c>
      <c r="AS110" s="27">
        <v>0.90473301698289676</v>
      </c>
      <c r="AT110" s="27">
        <v>0.88121739106638652</v>
      </c>
      <c r="AU110" s="27">
        <v>0.64914617940466357</v>
      </c>
      <c r="AW110" s="1">
        <v>12.880106075182493</v>
      </c>
      <c r="AX110" s="1">
        <v>15.026016223414375</v>
      </c>
      <c r="AY110" s="2">
        <v>2432246.4117293898</v>
      </c>
      <c r="AZ110" s="1">
        <v>15.038950153191641</v>
      </c>
      <c r="BA110" s="1">
        <v>17.100551346695017</v>
      </c>
      <c r="BB110" s="2">
        <v>1798348.645657585</v>
      </c>
      <c r="BC110" s="2">
        <f t="shared" si="14"/>
        <v>-633897.7660718048</v>
      </c>
      <c r="BD110" s="292">
        <f t="shared" si="15"/>
        <v>2.1588440780091478</v>
      </c>
      <c r="BF110" s="170">
        <f t="shared" si="10"/>
        <v>-371429.43970019091</v>
      </c>
      <c r="BG110" s="2">
        <f t="shared" si="11"/>
        <v>607883.37885307753</v>
      </c>
      <c r="BI110">
        <f t="shared" si="12"/>
        <v>0</v>
      </c>
      <c r="BJ110" s="95">
        <f t="shared" si="13"/>
        <v>1</v>
      </c>
      <c r="BP110" s="217">
        <f t="shared" si="16"/>
        <v>607883.37885307753</v>
      </c>
    </row>
    <row r="111" spans="1:68">
      <c r="A111" s="11">
        <v>105</v>
      </c>
      <c r="C111" s="27">
        <v>0.92229427341114267</v>
      </c>
      <c r="D111" s="27">
        <v>7.7705726588857327E-2</v>
      </c>
      <c r="E111" s="27">
        <v>0</v>
      </c>
      <c r="F111" s="27">
        <v>0.8560529222289488</v>
      </c>
      <c r="G111" s="27">
        <v>0.1439470777710512</v>
      </c>
      <c r="H111" s="27">
        <v>0</v>
      </c>
      <c r="I111" s="27">
        <v>0.75556009599686491</v>
      </c>
      <c r="J111" s="27">
        <v>0.24443990400313512</v>
      </c>
      <c r="K111" s="27">
        <v>0</v>
      </c>
      <c r="L111" s="27">
        <v>4.5319892208886547E-2</v>
      </c>
      <c r="M111" s="27">
        <v>0.53681033698919589</v>
      </c>
      <c r="N111" s="27">
        <v>0.41786977080191756</v>
      </c>
      <c r="O111" s="27">
        <v>-11.228252495034878</v>
      </c>
      <c r="P111" s="27">
        <v>3.958647880491601E-2</v>
      </c>
      <c r="Q111" s="27">
        <v>7.0097713283840185E-5</v>
      </c>
      <c r="R111" s="27">
        <v>1.0440706485765183</v>
      </c>
      <c r="S111" s="154"/>
      <c r="T111">
        <v>0.97424136126375183</v>
      </c>
      <c r="U111">
        <v>2.1457050829215749</v>
      </c>
      <c r="V111">
        <v>3.0251012484440007</v>
      </c>
      <c r="W111">
        <v>1</v>
      </c>
      <c r="Y111" s="2">
        <v>271.61341434408911</v>
      </c>
      <c r="Z111" s="2">
        <v>13658.86602126634</v>
      </c>
      <c r="AA111" s="2">
        <v>61.035851704504388</v>
      </c>
      <c r="AB111" s="2">
        <v>7208.9160949595862</v>
      </c>
      <c r="AC111" s="2">
        <v>230.06093637516994</v>
      </c>
      <c r="AD111" s="2">
        <v>133.68385670400764</v>
      </c>
      <c r="AE111" s="2">
        <v>535.95318043279019</v>
      </c>
      <c r="AF111" s="2">
        <v>1114.3401371947509</v>
      </c>
      <c r="AG111" s="2">
        <v>123.87850250133899</v>
      </c>
      <c r="AH111" s="2">
        <v>663.6922073232804</v>
      </c>
      <c r="AI111" s="2">
        <v>472747.26557815063</v>
      </c>
      <c r="AJ111" s="2">
        <v>440898.12765324803</v>
      </c>
      <c r="AL111" s="27">
        <v>0.90645907667076131</v>
      </c>
      <c r="AM111" s="27">
        <v>0.91278764355145126</v>
      </c>
      <c r="AN111" s="27">
        <v>0.90689767086056594</v>
      </c>
      <c r="AO111" s="27">
        <v>0.86095446977768764</v>
      </c>
      <c r="AP111" s="27">
        <v>0.78754156610226012</v>
      </c>
      <c r="AQ111" s="27">
        <v>0.90645907667076131</v>
      </c>
      <c r="AR111" s="27">
        <v>0.91278764355145126</v>
      </c>
      <c r="AS111" s="27">
        <v>0.90689767086056594</v>
      </c>
      <c r="AT111" s="27">
        <v>0.86095446977768764</v>
      </c>
      <c r="AU111" s="27">
        <v>0.78754156610226012</v>
      </c>
      <c r="AW111" s="1">
        <v>13.858496160616902</v>
      </c>
      <c r="AX111" s="1">
        <v>15.734695959470699</v>
      </c>
      <c r="AY111" s="2">
        <v>1988304.7043489569</v>
      </c>
      <c r="AZ111" s="1">
        <v>15.487278345863407</v>
      </c>
      <c r="BA111" s="1">
        <v>17.391394162727121</v>
      </c>
      <c r="BB111" s="2">
        <v>1425568.0889393224</v>
      </c>
      <c r="BC111" s="2">
        <f t="shared" si="14"/>
        <v>-562736.61540963454</v>
      </c>
      <c r="BD111" s="292">
        <f t="shared" si="15"/>
        <v>1.6287821852465054</v>
      </c>
      <c r="BF111" s="170">
        <f t="shared" si="10"/>
        <v>229054.68134974712</v>
      </c>
      <c r="BG111" s="2">
        <f t="shared" si="11"/>
        <v>1052396.4463988228</v>
      </c>
      <c r="BI111">
        <f t="shared" si="12"/>
        <v>0</v>
      </c>
      <c r="BJ111" s="95">
        <f t="shared" si="13"/>
        <v>1</v>
      </c>
      <c r="BP111" s="217">
        <f t="shared" si="16"/>
        <v>1052396.4463988228</v>
      </c>
    </row>
    <row r="112" spans="1:68">
      <c r="A112" s="11">
        <v>106</v>
      </c>
      <c r="C112" s="27">
        <v>0.9188156195795053</v>
      </c>
      <c r="D112" s="27">
        <v>8.1184380420494695E-2</v>
      </c>
      <c r="E112" s="27">
        <v>0</v>
      </c>
      <c r="F112" s="27">
        <v>0.85182692245433866</v>
      </c>
      <c r="G112" s="27">
        <v>0.14817307754566134</v>
      </c>
      <c r="H112" s="27">
        <v>0</v>
      </c>
      <c r="I112" s="27">
        <v>0.75441226288221319</v>
      </c>
      <c r="J112" s="27">
        <v>0.24558773711778675</v>
      </c>
      <c r="K112" s="27">
        <v>0</v>
      </c>
      <c r="L112" s="27">
        <v>0.11662080285674115</v>
      </c>
      <c r="M112" s="27">
        <v>0.53833120518045496</v>
      </c>
      <c r="N112" s="27">
        <v>0.34504799196280389</v>
      </c>
      <c r="O112" s="27">
        <v>-10.888266507212895</v>
      </c>
      <c r="P112" s="27">
        <v>3.3277612515549004E-2</v>
      </c>
      <c r="Q112" s="27">
        <v>7.5558242024197271E-5</v>
      </c>
      <c r="R112" s="27">
        <v>1.0483415684184492</v>
      </c>
      <c r="S112" s="154"/>
      <c r="T112">
        <v>0.93787206259406009</v>
      </c>
      <c r="U112">
        <v>2.3368558169709077</v>
      </c>
      <c r="V112">
        <v>2.9018475659670733</v>
      </c>
      <c r="W112">
        <v>1</v>
      </c>
      <c r="Y112" s="2">
        <v>961.59856051287818</v>
      </c>
      <c r="Z112" s="2">
        <v>6861.0078910510092</v>
      </c>
      <c r="AA112" s="2">
        <v>110.894105388117</v>
      </c>
      <c r="AB112" s="2">
        <v>1201.5392655752037</v>
      </c>
      <c r="AC112" s="2">
        <v>997.23993502665235</v>
      </c>
      <c r="AD112" s="2">
        <v>598.60807121839878</v>
      </c>
      <c r="AE112" s="2">
        <v>559.3673374043525</v>
      </c>
      <c r="AF112" s="2">
        <v>1019.8830265893838</v>
      </c>
      <c r="AG112" s="2">
        <v>144.28995350290015</v>
      </c>
      <c r="AH112" s="2">
        <v>878.00565824769956</v>
      </c>
      <c r="AI112" s="2">
        <v>591797.17843394203</v>
      </c>
      <c r="AJ112" s="2">
        <v>553697.91901758162</v>
      </c>
      <c r="AL112" s="27">
        <v>0.91828798007142942</v>
      </c>
      <c r="AM112" s="27">
        <v>0.91484134335747558</v>
      </c>
      <c r="AN112" s="27">
        <v>0.91205220175613078</v>
      </c>
      <c r="AO112" s="27">
        <v>0.86233422828635253</v>
      </c>
      <c r="AP112" s="27">
        <v>0.71122678828900443</v>
      </c>
      <c r="AQ112" s="27">
        <v>0.91828798007142942</v>
      </c>
      <c r="AR112" s="27">
        <v>0.91484134335747558</v>
      </c>
      <c r="AS112" s="27">
        <v>0.91205220175613078</v>
      </c>
      <c r="AT112" s="27">
        <v>0.86233422828635253</v>
      </c>
      <c r="AU112" s="27">
        <v>0.71122678828900443</v>
      </c>
      <c r="AW112" s="1">
        <v>13.736399930350196</v>
      </c>
      <c r="AX112" s="1">
        <v>15.791869245684849</v>
      </c>
      <c r="AY112" s="2">
        <v>2486678.1353812632</v>
      </c>
      <c r="AZ112" s="1">
        <v>15.391972084802344</v>
      </c>
      <c r="BA112" s="1">
        <v>17.391907695905946</v>
      </c>
      <c r="BB112" s="2">
        <v>1774179.020885074</v>
      </c>
      <c r="BC112" s="2">
        <f t="shared" si="14"/>
        <v>-712499.11449618917</v>
      </c>
      <c r="BD112" s="292">
        <f t="shared" si="15"/>
        <v>1.6555721544521482</v>
      </c>
      <c r="BF112" s="170">
        <f t="shared" si="10"/>
        <v>-288854.14652523212</v>
      </c>
      <c r="BG112" s="2">
        <f t="shared" si="11"/>
        <v>688536.51268330077</v>
      </c>
      <c r="BI112">
        <f t="shared" si="12"/>
        <v>0</v>
      </c>
      <c r="BJ112" s="95">
        <f t="shared" si="13"/>
        <v>1</v>
      </c>
      <c r="BP112" s="217">
        <f t="shared" si="16"/>
        <v>688536.51268330077</v>
      </c>
    </row>
    <row r="113" spans="1:68">
      <c r="A113" s="11">
        <v>107</v>
      </c>
      <c r="C113" s="27">
        <v>0.92424749310908449</v>
      </c>
      <c r="D113" s="27">
        <v>7.5752506890915547E-2</v>
      </c>
      <c r="E113" s="27">
        <v>0</v>
      </c>
      <c r="F113" s="27">
        <v>0.85345972585437935</v>
      </c>
      <c r="G113" s="27">
        <v>0.14654027414562065</v>
      </c>
      <c r="H113" s="27">
        <v>0</v>
      </c>
      <c r="I113" s="27">
        <v>0.75470891478289137</v>
      </c>
      <c r="J113" s="27">
        <v>0.24529108521710866</v>
      </c>
      <c r="K113" s="27">
        <v>0</v>
      </c>
      <c r="L113" s="27">
        <v>9.7654829934540666E-2</v>
      </c>
      <c r="M113" s="27">
        <v>0.53894441775771584</v>
      </c>
      <c r="N113" s="27">
        <v>0.36340075230774349</v>
      </c>
      <c r="O113" s="27">
        <v>-10.822398327213822</v>
      </c>
      <c r="P113" s="27">
        <v>3.3000800510481335E-2</v>
      </c>
      <c r="Q113" s="27">
        <v>7.9769869039116346E-5</v>
      </c>
      <c r="R113" s="27">
        <v>1.0416173939623727</v>
      </c>
      <c r="S113" s="154"/>
      <c r="T113">
        <v>1.0432810873049514</v>
      </c>
      <c r="U113">
        <v>2.2637900221350273</v>
      </c>
      <c r="V113">
        <v>2.9083174471294084</v>
      </c>
      <c r="W113">
        <v>1</v>
      </c>
      <c r="Y113" s="2">
        <v>952.79752083915514</v>
      </c>
      <c r="Z113" s="2">
        <v>2227.1987684356845</v>
      </c>
      <c r="AA113" s="2">
        <v>4861.941257792374</v>
      </c>
      <c r="AB113" s="2">
        <v>944.64642352932185</v>
      </c>
      <c r="AC113" s="2">
        <v>21.651412187928173</v>
      </c>
      <c r="AD113" s="2">
        <v>23.228778325491138</v>
      </c>
      <c r="AE113" s="2">
        <v>550.1918284167383</v>
      </c>
      <c r="AF113" s="2">
        <v>881.14727598154684</v>
      </c>
      <c r="AG113" s="2">
        <v>240.97509826580068</v>
      </c>
      <c r="AH113" s="2">
        <v>267.14130160461457</v>
      </c>
      <c r="AI113" s="2">
        <v>318130.62336573802</v>
      </c>
      <c r="AJ113" s="2">
        <v>294967.31930248963</v>
      </c>
      <c r="AL113" s="27">
        <v>0.91815245026364911</v>
      </c>
      <c r="AM113" s="27">
        <v>0.91381027714553986</v>
      </c>
      <c r="AN113" s="27">
        <v>0.91189029792454535</v>
      </c>
      <c r="AO113" s="27">
        <v>0.86641391114795874</v>
      </c>
      <c r="AP113" s="27">
        <v>0.61159019293054451</v>
      </c>
      <c r="AQ113" s="27">
        <v>0.91815245026364911</v>
      </c>
      <c r="AR113" s="27">
        <v>0.91381027714553986</v>
      </c>
      <c r="AS113" s="27">
        <v>0.91189029792454535</v>
      </c>
      <c r="AT113" s="27">
        <v>0.86641391114795874</v>
      </c>
      <c r="AU113" s="27">
        <v>0.61159019293054451</v>
      </c>
      <c r="AW113" s="1">
        <v>13.277857250605166</v>
      </c>
      <c r="AX113" s="1">
        <v>15.665589251953673</v>
      </c>
      <c r="AY113" s="2">
        <v>1306175.6045022369</v>
      </c>
      <c r="AZ113" s="1">
        <v>15.273764795645302</v>
      </c>
      <c r="BA113" s="1">
        <v>17.495500139282608</v>
      </c>
      <c r="BB113" s="2">
        <v>979964.87833874603</v>
      </c>
      <c r="BC113" s="2">
        <f t="shared" si="14"/>
        <v>-326210.72616349091</v>
      </c>
      <c r="BD113" s="292">
        <f t="shared" si="15"/>
        <v>1.9959075450401365</v>
      </c>
      <c r="BF113" s="170">
        <f t="shared" si="10"/>
        <v>818281.55559458956</v>
      </c>
      <c r="BG113" s="2">
        <f t="shared" si="11"/>
        <v>1463837.4889645025</v>
      </c>
      <c r="BI113">
        <f t="shared" si="12"/>
        <v>0</v>
      </c>
      <c r="BJ113" s="95">
        <f t="shared" si="13"/>
        <v>1</v>
      </c>
      <c r="BP113" s="217">
        <f t="shared" si="16"/>
        <v>1463837.4889645025</v>
      </c>
    </row>
    <row r="114" spans="1:68">
      <c r="A114" s="11">
        <v>108</v>
      </c>
      <c r="C114" s="27">
        <v>0.92212441494926556</v>
      </c>
      <c r="D114" s="27">
        <v>7.7875585050734442E-2</v>
      </c>
      <c r="E114" s="27">
        <v>0</v>
      </c>
      <c r="F114" s="27">
        <v>0.8591876311968647</v>
      </c>
      <c r="G114" s="27">
        <v>0.14081236880313536</v>
      </c>
      <c r="H114" s="27">
        <v>0</v>
      </c>
      <c r="I114" s="27">
        <v>0.75010732641060263</v>
      </c>
      <c r="J114" s="27">
        <v>0.24989267358939735</v>
      </c>
      <c r="K114" s="27">
        <v>0</v>
      </c>
      <c r="L114" s="27">
        <v>0.21487028177294998</v>
      </c>
      <c r="M114" s="27">
        <v>0.40402361611418519</v>
      </c>
      <c r="N114" s="27">
        <v>0.38110610211286478</v>
      </c>
      <c r="O114" s="27">
        <v>-10.970897094182774</v>
      </c>
      <c r="P114" s="27">
        <v>3.4450168823304289E-2</v>
      </c>
      <c r="Q114" s="27">
        <v>7.3077502376593659E-5</v>
      </c>
      <c r="R114" s="27">
        <v>1.0516764852713201</v>
      </c>
      <c r="S114" s="154"/>
      <c r="T114">
        <v>0.97061729514229478</v>
      </c>
      <c r="U114">
        <v>2.1665819074547183</v>
      </c>
      <c r="V114">
        <v>3.1326292242822502</v>
      </c>
      <c r="W114">
        <v>1</v>
      </c>
      <c r="Y114" s="2">
        <v>1422.7983153878536</v>
      </c>
      <c r="Z114" s="2">
        <v>2008.9464642405198</v>
      </c>
      <c r="AA114" s="2">
        <v>2378.2287924478569</v>
      </c>
      <c r="AB114" s="2">
        <v>3054.9282057578862</v>
      </c>
      <c r="AC114" s="2">
        <v>635.18447195226008</v>
      </c>
      <c r="AD114" s="2">
        <v>2514.2465215820844</v>
      </c>
      <c r="AE114" s="2">
        <v>453.49161411535016</v>
      </c>
      <c r="AF114" s="2">
        <v>1205.8300949100621</v>
      </c>
      <c r="AG114" s="2">
        <v>115.89860173509842</v>
      </c>
      <c r="AH114" s="2">
        <v>513.05161450648654</v>
      </c>
      <c r="AI114" s="2">
        <v>481970.96533151739</v>
      </c>
      <c r="AJ114" s="2">
        <v>425581.67751720105</v>
      </c>
      <c r="AL114" s="27">
        <v>0.9203681107910906</v>
      </c>
      <c r="AM114" s="27">
        <v>0.91485677133347842</v>
      </c>
      <c r="AN114" s="27">
        <v>0.91196837480182436</v>
      </c>
      <c r="AO114" s="27">
        <v>0.82435698673565416</v>
      </c>
      <c r="AP114" s="27">
        <v>0.74405135215169926</v>
      </c>
      <c r="AQ114" s="27">
        <v>0.9203681107910906</v>
      </c>
      <c r="AR114" s="27">
        <v>0.91485677133347842</v>
      </c>
      <c r="AS114" s="27">
        <v>0.91196837480182436</v>
      </c>
      <c r="AT114" s="27">
        <v>0.82435698673565416</v>
      </c>
      <c r="AU114" s="27">
        <v>0.74405135215169926</v>
      </c>
      <c r="AW114" s="1">
        <v>13.598124862539168</v>
      </c>
      <c r="AX114" s="1">
        <v>15.414350616315247</v>
      </c>
      <c r="AY114" s="2">
        <v>1559628.4769786741</v>
      </c>
      <c r="AZ114" s="1">
        <v>15.363828880658517</v>
      </c>
      <c r="BA114" s="1">
        <v>17.18313569248695</v>
      </c>
      <c r="BB114" s="2">
        <v>1225926.9565318278</v>
      </c>
      <c r="BC114" s="2">
        <f t="shared" si="14"/>
        <v>-333701.52044684626</v>
      </c>
      <c r="BD114" s="292">
        <f t="shared" si="15"/>
        <v>1.7657040181193491</v>
      </c>
      <c r="BF114" s="170">
        <f t="shared" si="10"/>
        <v>616071.50102759292</v>
      </c>
      <c r="BG114" s="2">
        <f t="shared" si="11"/>
        <v>1232285.6643735347</v>
      </c>
      <c r="BI114">
        <f t="shared" si="12"/>
        <v>0</v>
      </c>
      <c r="BJ114" s="95">
        <f t="shared" si="13"/>
        <v>1</v>
      </c>
      <c r="BP114" s="217">
        <f t="shared" si="16"/>
        <v>1232285.6643735347</v>
      </c>
    </row>
    <row r="115" spans="1:68">
      <c r="A115" s="11">
        <v>109</v>
      </c>
      <c r="C115" s="27">
        <v>0.92472988454392313</v>
      </c>
      <c r="D115" s="27">
        <v>7.5270115456076828E-2</v>
      </c>
      <c r="E115" s="27">
        <v>0</v>
      </c>
      <c r="F115" s="27">
        <v>0.86024287905743491</v>
      </c>
      <c r="G115" s="27">
        <v>0.13975712094256507</v>
      </c>
      <c r="H115" s="27">
        <v>0</v>
      </c>
      <c r="I115" s="27">
        <v>0.75042289597014422</v>
      </c>
      <c r="J115" s="27">
        <v>0.24957710402985583</v>
      </c>
      <c r="K115" s="27">
        <v>0</v>
      </c>
      <c r="L115" s="27">
        <v>0.11473446561173783</v>
      </c>
      <c r="M115" s="27">
        <v>0.51786997460134332</v>
      </c>
      <c r="N115" s="27">
        <v>0.36739555978691885</v>
      </c>
      <c r="O115" s="27">
        <v>-11.030365018338479</v>
      </c>
      <c r="P115" s="27">
        <v>3.4590224222108272E-2</v>
      </c>
      <c r="Q115" s="27">
        <v>6.9264669526702708E-5</v>
      </c>
      <c r="R115" s="27">
        <v>1.0564301854092153</v>
      </c>
      <c r="S115" s="154"/>
      <c r="T115">
        <v>1.0599210895596132</v>
      </c>
      <c r="U115">
        <v>2.2123254757305366</v>
      </c>
      <c r="V115">
        <v>3.1369278928631696</v>
      </c>
      <c r="W115">
        <v>1</v>
      </c>
      <c r="Y115" s="2">
        <v>1355.6412943611383</v>
      </c>
      <c r="Z115" s="2">
        <v>9648.3125077469758</v>
      </c>
      <c r="AA115" s="2">
        <v>2285.9725001399247</v>
      </c>
      <c r="AB115" s="2">
        <v>2457.3819608375434</v>
      </c>
      <c r="AC115" s="2">
        <v>92.208676988803106</v>
      </c>
      <c r="AD115" s="2">
        <v>4034.8846525159365</v>
      </c>
      <c r="AE115" s="2">
        <v>587.7493337342155</v>
      </c>
      <c r="AF115" s="2">
        <v>942.44405611328193</v>
      </c>
      <c r="AG115" s="2">
        <v>130.96735793121883</v>
      </c>
      <c r="AH115" s="2">
        <v>106.64626061277498</v>
      </c>
      <c r="AI115" s="2">
        <v>533681.36015284853</v>
      </c>
      <c r="AJ115" s="2">
        <v>501255.56395882129</v>
      </c>
      <c r="AL115" s="27">
        <v>0.92071792739712588</v>
      </c>
      <c r="AM115" s="27">
        <v>0.9078398110060385</v>
      </c>
      <c r="AN115" s="27">
        <v>0.9095644423674788</v>
      </c>
      <c r="AO115" s="27">
        <v>0.87678281445186768</v>
      </c>
      <c r="AP115" s="27">
        <v>0.72514218891968762</v>
      </c>
      <c r="AQ115" s="27">
        <v>0.92071792739712588</v>
      </c>
      <c r="AR115" s="27">
        <v>0.9078398110060385</v>
      </c>
      <c r="AS115" s="27">
        <v>0.9095644423674788</v>
      </c>
      <c r="AT115" s="27">
        <v>0.87678281445186768</v>
      </c>
      <c r="AU115" s="27">
        <v>0.72514218891968762</v>
      </c>
      <c r="AW115" s="1">
        <v>13.640776862987581</v>
      </c>
      <c r="AX115" s="1">
        <v>15.600927515268372</v>
      </c>
      <c r="AY115" s="2">
        <v>2238224.3433501828</v>
      </c>
      <c r="AZ115" s="1">
        <v>15.578730286101885</v>
      </c>
      <c r="BA115" s="1">
        <v>17.508998047673238</v>
      </c>
      <c r="BB115" s="2">
        <v>1574388.0257753676</v>
      </c>
      <c r="BC115" s="2">
        <f t="shared" si="14"/>
        <v>-663836.31757481513</v>
      </c>
      <c r="BD115" s="292">
        <f t="shared" si="15"/>
        <v>1.9379534231143047</v>
      </c>
      <c r="BF115" s="170">
        <f t="shared" si="10"/>
        <v>-55700.045272169635</v>
      </c>
      <c r="BG115" s="2">
        <f t="shared" si="11"/>
        <v>918208.82000093418</v>
      </c>
      <c r="BI115">
        <f t="shared" si="12"/>
        <v>0</v>
      </c>
      <c r="BJ115" s="95">
        <f t="shared" si="13"/>
        <v>1</v>
      </c>
      <c r="BP115" s="217">
        <f t="shared" si="16"/>
        <v>918208.82000093418</v>
      </c>
    </row>
    <row r="116" spans="1:68">
      <c r="A116" s="11">
        <v>110</v>
      </c>
      <c r="C116" s="27">
        <v>0.92732516059805226</v>
      </c>
      <c r="D116" s="27">
        <v>7.2674839401947786E-2</v>
      </c>
      <c r="E116" s="27">
        <v>0</v>
      </c>
      <c r="F116" s="27">
        <v>0.85556317742767962</v>
      </c>
      <c r="G116" s="27">
        <v>0.14443682257232038</v>
      </c>
      <c r="H116" s="27">
        <v>0</v>
      </c>
      <c r="I116" s="27">
        <v>0.74306659822529741</v>
      </c>
      <c r="J116" s="27">
        <v>0.25693340177470259</v>
      </c>
      <c r="K116" s="27">
        <v>0</v>
      </c>
      <c r="L116" s="27">
        <v>0.11453666854434941</v>
      </c>
      <c r="M116" s="27">
        <v>0.5194274504893126</v>
      </c>
      <c r="N116" s="27">
        <v>0.36603588096633799</v>
      </c>
      <c r="O116" s="27">
        <v>-11.112608003739661</v>
      </c>
      <c r="P116" s="27">
        <v>3.5970013545522567E-2</v>
      </c>
      <c r="Q116" s="27">
        <v>6.7602375511662192E-5</v>
      </c>
      <c r="R116" s="27">
        <v>1.0579291051256448</v>
      </c>
      <c r="S116" s="154"/>
      <c r="T116">
        <v>1.010282820094546</v>
      </c>
      <c r="U116">
        <v>2.2394236865927666</v>
      </c>
      <c r="V116">
        <v>3.0324038543673031</v>
      </c>
      <c r="W116">
        <v>1</v>
      </c>
      <c r="Y116" s="2">
        <v>396.73282146413152</v>
      </c>
      <c r="Z116" s="2">
        <v>677.19782664708941</v>
      </c>
      <c r="AA116" s="2">
        <v>1944.4218441585665</v>
      </c>
      <c r="AB116" s="2">
        <v>16518.948234148418</v>
      </c>
      <c r="AC116" s="2">
        <v>493.95314229427873</v>
      </c>
      <c r="AD116" s="2">
        <v>23.141893880497207</v>
      </c>
      <c r="AE116" s="2">
        <v>585.18798723555199</v>
      </c>
      <c r="AF116" s="2">
        <v>889.28220680769982</v>
      </c>
      <c r="AG116" s="2">
        <v>108.79303364140799</v>
      </c>
      <c r="AH116" s="2">
        <v>522.68504680487251</v>
      </c>
      <c r="AI116" s="2">
        <v>523120.10917958099</v>
      </c>
      <c r="AJ116" s="2">
        <v>497634.40192607767</v>
      </c>
      <c r="AL116" s="27">
        <v>0.91101645946086796</v>
      </c>
      <c r="AM116" s="27">
        <v>0.91350827329941298</v>
      </c>
      <c r="AN116" s="27">
        <v>0.90252265939881304</v>
      </c>
      <c r="AO116" s="27">
        <v>0.88531224011064047</v>
      </c>
      <c r="AP116" s="27">
        <v>0.72217251124503701</v>
      </c>
      <c r="AQ116" s="27">
        <v>0.91101645946086796</v>
      </c>
      <c r="AR116" s="27">
        <v>0.91350827329941298</v>
      </c>
      <c r="AS116" s="27">
        <v>0.90252265939881304</v>
      </c>
      <c r="AT116" s="27">
        <v>0.88531224011064047</v>
      </c>
      <c r="AU116" s="27">
        <v>0.72217251124503701</v>
      </c>
      <c r="AW116" s="1">
        <v>13.76275129729884</v>
      </c>
      <c r="AX116" s="1">
        <v>15.808090936544476</v>
      </c>
      <c r="AY116" s="2">
        <v>2039654.2929130914</v>
      </c>
      <c r="AZ116" s="1">
        <v>15.50470496248953</v>
      </c>
      <c r="BA116" s="1">
        <v>17.520846104008751</v>
      </c>
      <c r="BB116" s="2">
        <v>1740350.7741941249</v>
      </c>
      <c r="BC116" s="2">
        <f t="shared" si="14"/>
        <v>-299303.51871896652</v>
      </c>
      <c r="BD116" s="292">
        <f t="shared" si="15"/>
        <v>1.7419536651906906</v>
      </c>
      <c r="BF116" s="170">
        <f t="shared" si="10"/>
        <v>162385.9146547229</v>
      </c>
      <c r="BG116" s="2">
        <f t="shared" si="11"/>
        <v>740402.01980419992</v>
      </c>
      <c r="BI116">
        <f t="shared" si="12"/>
        <v>0</v>
      </c>
      <c r="BJ116" s="95">
        <f t="shared" si="13"/>
        <v>1</v>
      </c>
      <c r="BP116" s="217">
        <f t="shared" si="16"/>
        <v>740402.01980419992</v>
      </c>
    </row>
    <row r="117" spans="1:68">
      <c r="A117" s="11">
        <v>111</v>
      </c>
      <c r="C117" s="27">
        <v>0.92093323152669104</v>
      </c>
      <c r="D117" s="27">
        <v>7.9066768473308957E-2</v>
      </c>
      <c r="E117" s="27">
        <v>0</v>
      </c>
      <c r="F117" s="27">
        <v>0.85249753157154118</v>
      </c>
      <c r="G117" s="27">
        <v>0.14750246842845882</v>
      </c>
      <c r="H117" s="27">
        <v>0</v>
      </c>
      <c r="I117" s="27">
        <v>0.74314954854246429</v>
      </c>
      <c r="J117" s="27">
        <v>0.25685045145753571</v>
      </c>
      <c r="K117" s="27">
        <v>0</v>
      </c>
      <c r="L117" s="27">
        <v>0.15067569883913418</v>
      </c>
      <c r="M117" s="27">
        <v>0.51056145659099017</v>
      </c>
      <c r="N117" s="27">
        <v>0.33876284456987565</v>
      </c>
      <c r="O117" s="27">
        <v>-11.130613101054115</v>
      </c>
      <c r="P117" s="27">
        <v>3.7345303914222312E-2</v>
      </c>
      <c r="Q117" s="27">
        <v>7.034419198527306E-5</v>
      </c>
      <c r="R117" s="27">
        <v>1.0494423090632683</v>
      </c>
      <c r="S117" s="154"/>
      <c r="T117">
        <v>1.12343767020019</v>
      </c>
      <c r="U117">
        <v>2.292709359675531</v>
      </c>
      <c r="V117">
        <v>2.9261874533581134</v>
      </c>
      <c r="W117">
        <v>1</v>
      </c>
      <c r="Y117" s="2">
        <v>227.87836703301582</v>
      </c>
      <c r="Z117" s="2">
        <v>1970.5461614181013</v>
      </c>
      <c r="AA117" s="2">
        <v>652.18433137844067</v>
      </c>
      <c r="AB117" s="2">
        <v>862.15690905265672</v>
      </c>
      <c r="AC117" s="2">
        <v>143.35427178855639</v>
      </c>
      <c r="AD117" s="2">
        <v>1723.2503493518441</v>
      </c>
      <c r="AE117" s="2">
        <v>591.39328077054029</v>
      </c>
      <c r="AF117" s="2">
        <v>777.1289954516626</v>
      </c>
      <c r="AG117" s="2">
        <v>119.56185770926754</v>
      </c>
      <c r="AH117" s="2">
        <v>569.97041677345737</v>
      </c>
      <c r="AI117" s="2">
        <v>572551.96425702318</v>
      </c>
      <c r="AJ117" s="2">
        <v>530160.94120029802</v>
      </c>
      <c r="AL117" s="27">
        <v>0.91870694553490284</v>
      </c>
      <c r="AM117" s="27">
        <v>0.91582416936643218</v>
      </c>
      <c r="AN117" s="27">
        <v>0.91717183322329188</v>
      </c>
      <c r="AO117" s="27">
        <v>0.85869285676421436</v>
      </c>
      <c r="AP117" s="27">
        <v>0.68557536430015209</v>
      </c>
      <c r="AQ117" s="27">
        <v>0.91870694553490284</v>
      </c>
      <c r="AR117" s="27">
        <v>0.91582416936643218</v>
      </c>
      <c r="AS117" s="27">
        <v>0.91717183322329188</v>
      </c>
      <c r="AT117" s="27">
        <v>0.85869285676421436</v>
      </c>
      <c r="AU117" s="27">
        <v>0.68557536430015209</v>
      </c>
      <c r="AW117" s="1">
        <v>13.239660033358991</v>
      </c>
      <c r="AX117" s="1">
        <v>15.414421763873097</v>
      </c>
      <c r="AY117" s="2">
        <v>2484629.8229704113</v>
      </c>
      <c r="AZ117" s="1">
        <v>15.381892990472892</v>
      </c>
      <c r="BA117" s="1">
        <v>17.434886884716374</v>
      </c>
      <c r="BB117" s="2">
        <v>1715208.5324504655</v>
      </c>
      <c r="BC117" s="2">
        <f t="shared" si="14"/>
        <v>-769421.29051994579</v>
      </c>
      <c r="BD117" s="292">
        <f t="shared" si="15"/>
        <v>2.1422329571139009</v>
      </c>
      <c r="BF117" s="170">
        <f t="shared" si="10"/>
        <v>-366284.21763297264</v>
      </c>
      <c r="BG117" s="2">
        <f t="shared" si="11"/>
        <v>745894.3460251973</v>
      </c>
      <c r="BI117">
        <f t="shared" si="12"/>
        <v>0</v>
      </c>
      <c r="BJ117" s="95">
        <f t="shared" si="13"/>
        <v>1</v>
      </c>
      <c r="BP117" s="217">
        <f t="shared" si="16"/>
        <v>745894.3460251973</v>
      </c>
    </row>
    <row r="118" spans="1:68">
      <c r="A118" s="11">
        <v>112</v>
      </c>
      <c r="C118" s="27">
        <v>0.92489712839275218</v>
      </c>
      <c r="D118" s="27">
        <v>7.5102871607247823E-2</v>
      </c>
      <c r="E118" s="27">
        <v>0</v>
      </c>
      <c r="F118" s="27">
        <v>0.85637122336128679</v>
      </c>
      <c r="G118" s="27">
        <v>0.14362877663871321</v>
      </c>
      <c r="H118" s="27">
        <v>0</v>
      </c>
      <c r="I118" s="27">
        <v>0.74815948808685762</v>
      </c>
      <c r="J118" s="27">
        <v>0.25184051191314238</v>
      </c>
      <c r="K118" s="27">
        <v>0</v>
      </c>
      <c r="L118" s="27">
        <v>0.11673406861737601</v>
      </c>
      <c r="M118" s="27">
        <v>0.51286329844227074</v>
      </c>
      <c r="N118" s="27">
        <v>0.37040263294035325</v>
      </c>
      <c r="O118" s="27">
        <v>-11.257624447717271</v>
      </c>
      <c r="P118" s="27">
        <v>3.2566766274216119E-2</v>
      </c>
      <c r="Q118" s="27">
        <v>5.0688055633766101E-5</v>
      </c>
      <c r="R118" s="27">
        <v>1.0951191810637875</v>
      </c>
      <c r="S118" s="154"/>
      <c r="T118">
        <v>1.1307480795627318</v>
      </c>
      <c r="U118">
        <v>2.1566940131721122</v>
      </c>
      <c r="V118">
        <v>3.4739213070722084</v>
      </c>
      <c r="W118">
        <v>1</v>
      </c>
      <c r="Y118" s="2">
        <v>27.263680623582708</v>
      </c>
      <c r="Z118" s="2">
        <v>1602.2923804410466</v>
      </c>
      <c r="AA118" s="2">
        <v>845.23538323957678</v>
      </c>
      <c r="AB118" s="2">
        <v>633.48082628257839</v>
      </c>
      <c r="AC118" s="2">
        <v>917.34714826172308</v>
      </c>
      <c r="AD118" s="2">
        <v>3608.5524570628968</v>
      </c>
      <c r="AE118" s="2">
        <v>575.00987461901616</v>
      </c>
      <c r="AF118" s="2">
        <v>835.9919031606305</v>
      </c>
      <c r="AG118" s="2">
        <v>82.132346624588067</v>
      </c>
      <c r="AH118" s="2">
        <v>760.84889188338138</v>
      </c>
      <c r="AI118" s="2">
        <v>399974.49249043176</v>
      </c>
      <c r="AJ118" s="2">
        <v>375182.64525145787</v>
      </c>
      <c r="AL118" s="27">
        <v>0.92191968378666389</v>
      </c>
      <c r="AM118" s="27">
        <v>0.91551025088028659</v>
      </c>
      <c r="AN118" s="27">
        <v>0.90807541393620594</v>
      </c>
      <c r="AO118" s="27">
        <v>0.82605114130931434</v>
      </c>
      <c r="AP118" s="27">
        <v>0.69945812747875447</v>
      </c>
      <c r="AQ118" s="27">
        <v>0.92191968378666389</v>
      </c>
      <c r="AR118" s="27">
        <v>0.91551025088028659</v>
      </c>
      <c r="AS118" s="27">
        <v>0.90807541393620594</v>
      </c>
      <c r="AT118" s="27">
        <v>0.82605114130931434</v>
      </c>
      <c r="AU118" s="27">
        <v>0.69945812747875447</v>
      </c>
      <c r="AW118" s="1">
        <v>13.240129213050274</v>
      </c>
      <c r="AX118" s="1">
        <v>15.275309807914555</v>
      </c>
      <c r="AY118" s="2">
        <v>1605409.0261899796</v>
      </c>
      <c r="AZ118" s="1">
        <v>15.441390411110875</v>
      </c>
      <c r="BA118" s="1">
        <v>17.399368706205347</v>
      </c>
      <c r="BB118" s="2">
        <v>1143565.9257276971</v>
      </c>
      <c r="BC118" s="2">
        <f t="shared" si="14"/>
        <v>-461843.10046228254</v>
      </c>
      <c r="BD118" s="292">
        <f t="shared" si="15"/>
        <v>2.2012611980606014</v>
      </c>
      <c r="BF118" s="170">
        <f t="shared" si="10"/>
        <v>513011.64789806399</v>
      </c>
      <c r="BG118" s="2">
        <f t="shared" si="11"/>
        <v>1327056.5400500428</v>
      </c>
      <c r="BI118">
        <f t="shared" si="12"/>
        <v>0</v>
      </c>
      <c r="BJ118" s="95">
        <f t="shared" si="13"/>
        <v>1</v>
      </c>
      <c r="BP118" s="217">
        <f t="shared" si="16"/>
        <v>1327056.5400500428</v>
      </c>
    </row>
    <row r="119" spans="1:68">
      <c r="A119" s="11">
        <v>113</v>
      </c>
      <c r="C119" s="27">
        <v>0.92024530637834545</v>
      </c>
      <c r="D119" s="27">
        <v>7.9754693621654549E-2</v>
      </c>
      <c r="E119" s="27">
        <v>0</v>
      </c>
      <c r="F119" s="27">
        <v>0.85660298751082364</v>
      </c>
      <c r="G119" s="27">
        <v>0.14339701248917636</v>
      </c>
      <c r="H119" s="27">
        <v>0</v>
      </c>
      <c r="I119" s="27">
        <v>0.75042603564982224</v>
      </c>
      <c r="J119" s="27">
        <v>0.24957396435017776</v>
      </c>
      <c r="K119" s="27">
        <v>0</v>
      </c>
      <c r="L119" s="27">
        <v>0.23188744820239721</v>
      </c>
      <c r="M119" s="27">
        <v>0.43422612099336183</v>
      </c>
      <c r="N119" s="27">
        <v>0.33388643080424102</v>
      </c>
      <c r="O119" s="27">
        <v>-11.278958079980972</v>
      </c>
      <c r="P119" s="27">
        <v>3.7513397936613735E-2</v>
      </c>
      <c r="Q119" s="27">
        <v>6.1075767972705293E-5</v>
      </c>
      <c r="R119" s="27">
        <v>1.0690931835277429</v>
      </c>
      <c r="S119" s="154"/>
      <c r="T119">
        <v>0.9756120277893483</v>
      </c>
      <c r="U119">
        <v>2.2338488933680147</v>
      </c>
      <c r="V119">
        <v>2.6487000250678459</v>
      </c>
      <c r="W119">
        <v>1</v>
      </c>
      <c r="Y119" s="2">
        <v>679.05138583524842</v>
      </c>
      <c r="Z119" s="2">
        <v>5133.3395130859935</v>
      </c>
      <c r="AA119" s="2">
        <v>2064.3536279927507</v>
      </c>
      <c r="AB119" s="2">
        <v>797.26865339679944</v>
      </c>
      <c r="AC119" s="2">
        <v>282.87418583142983</v>
      </c>
      <c r="AD119" s="2">
        <v>983.49290668484105</v>
      </c>
      <c r="AE119" s="2">
        <v>572.29091280783769</v>
      </c>
      <c r="AF119" s="2">
        <v>1136.2091749775384</v>
      </c>
      <c r="AG119" s="2">
        <v>160.76976350626126</v>
      </c>
      <c r="AH119" s="2">
        <v>242.59157929496379</v>
      </c>
      <c r="AI119" s="2">
        <v>417174.30988557613</v>
      </c>
      <c r="AJ119" s="2">
        <v>392652.0798817419</v>
      </c>
      <c r="AL119" s="27">
        <v>0.91575112248288237</v>
      </c>
      <c r="AM119" s="27">
        <v>0.91225521910227914</v>
      </c>
      <c r="AN119" s="27">
        <v>0.90304982493473041</v>
      </c>
      <c r="AO119" s="27">
        <v>0.85643589558841882</v>
      </c>
      <c r="AP119" s="27">
        <v>0.78435738149162915</v>
      </c>
      <c r="AQ119" s="27">
        <v>0.91575112248288237</v>
      </c>
      <c r="AR119" s="27">
        <v>0.91225521910227914</v>
      </c>
      <c r="AS119" s="27">
        <v>0.90304982493473041</v>
      </c>
      <c r="AT119" s="27">
        <v>0.85643589558841882</v>
      </c>
      <c r="AU119" s="27">
        <v>0.78435738149162915</v>
      </c>
      <c r="AW119" s="1">
        <v>13.870573777502029</v>
      </c>
      <c r="AX119" s="1">
        <v>15.668932326845775</v>
      </c>
      <c r="AY119" s="2">
        <v>1624617.0670616708</v>
      </c>
      <c r="AZ119" s="1">
        <v>15.495006984142822</v>
      </c>
      <c r="BA119" s="1">
        <v>17.327405328280992</v>
      </c>
      <c r="BB119" s="2">
        <v>1185044.1860493659</v>
      </c>
      <c r="BC119" s="2">
        <f t="shared" si="14"/>
        <v>-439572.88101230492</v>
      </c>
      <c r="BD119" s="292">
        <f t="shared" si="15"/>
        <v>1.6244332066407932</v>
      </c>
      <c r="BF119" s="170">
        <f t="shared" si="10"/>
        <v>594674.737338654</v>
      </c>
      <c r="BG119" s="2">
        <f t="shared" si="11"/>
        <v>1294156.9314134857</v>
      </c>
      <c r="BI119">
        <f t="shared" si="12"/>
        <v>0</v>
      </c>
      <c r="BJ119" s="95">
        <f t="shared" si="13"/>
        <v>1</v>
      </c>
      <c r="BP119" s="217">
        <f t="shared" si="16"/>
        <v>1294156.9314134857</v>
      </c>
    </row>
    <row r="120" spans="1:68">
      <c r="A120" s="11">
        <v>114</v>
      </c>
      <c r="C120" s="27">
        <v>0.91855694278604672</v>
      </c>
      <c r="D120" s="27">
        <v>8.1443057213953285E-2</v>
      </c>
      <c r="E120" s="27">
        <v>0</v>
      </c>
      <c r="F120" s="27">
        <v>0.85859749555809572</v>
      </c>
      <c r="G120" s="27">
        <v>0.14140250444190433</v>
      </c>
      <c r="H120" s="27">
        <v>0</v>
      </c>
      <c r="I120" s="27">
        <v>0.74579035407010907</v>
      </c>
      <c r="J120" s="27">
        <v>0.25420964592989093</v>
      </c>
      <c r="K120" s="27">
        <v>0</v>
      </c>
      <c r="L120" s="27">
        <v>0.12196816964257096</v>
      </c>
      <c r="M120" s="27">
        <v>0.4563551756029996</v>
      </c>
      <c r="N120" s="27">
        <v>0.4216766547544295</v>
      </c>
      <c r="O120" s="27">
        <v>-11.33378183078878</v>
      </c>
      <c r="P120" s="27">
        <v>3.5575567387692547E-2</v>
      </c>
      <c r="Q120" s="27">
        <v>5.3298199891483821E-5</v>
      </c>
      <c r="R120" s="27">
        <v>1.0896217343220171</v>
      </c>
      <c r="S120" s="154"/>
      <c r="T120">
        <v>1.1161852656321911</v>
      </c>
      <c r="U120">
        <v>2.3533399986854864</v>
      </c>
      <c r="V120">
        <v>2.837982762922425</v>
      </c>
      <c r="W120">
        <v>1</v>
      </c>
      <c r="Y120" s="2">
        <v>3050.7839068403118</v>
      </c>
      <c r="Z120" s="2">
        <v>1084.2781921891997</v>
      </c>
      <c r="AA120" s="2">
        <v>3033.9113138764578</v>
      </c>
      <c r="AB120" s="2">
        <v>7496.7469201665517</v>
      </c>
      <c r="AC120" s="2">
        <v>85.510884521174333</v>
      </c>
      <c r="AD120" s="2">
        <v>26.735383546680278</v>
      </c>
      <c r="AE120" s="2">
        <v>528.94953432980424</v>
      </c>
      <c r="AF120" s="2">
        <v>1231.3348318933204</v>
      </c>
      <c r="AG120" s="2">
        <v>143.08076010374589</v>
      </c>
      <c r="AH120" s="2">
        <v>397.13114716631537</v>
      </c>
      <c r="AI120" s="2">
        <v>420083.0421727894</v>
      </c>
      <c r="AJ120" s="2">
        <v>377805.09029478452</v>
      </c>
      <c r="AL120" s="27">
        <v>0.91646057607234876</v>
      </c>
      <c r="AM120" s="27">
        <v>0.91580645688406648</v>
      </c>
      <c r="AN120" s="27">
        <v>0.9220079490880484</v>
      </c>
      <c r="AO120" s="27">
        <v>0.86507700164779178</v>
      </c>
      <c r="AP120" s="27">
        <v>0.77632233423122465</v>
      </c>
      <c r="AQ120" s="27">
        <v>0.91646057607234876</v>
      </c>
      <c r="AR120" s="27">
        <v>0.91580645688406648</v>
      </c>
      <c r="AS120" s="27">
        <v>0.9220079490880484</v>
      </c>
      <c r="AT120" s="27">
        <v>0.86507700164779178</v>
      </c>
      <c r="AU120" s="27">
        <v>0.77632233423122465</v>
      </c>
      <c r="AW120" s="1">
        <v>13.036170061677197</v>
      </c>
      <c r="AX120" s="1">
        <v>14.737703832773059</v>
      </c>
      <c r="AY120" s="2">
        <v>1515764.8383450543</v>
      </c>
      <c r="AZ120" s="1">
        <v>15.273801913512994</v>
      </c>
      <c r="BA120" s="1">
        <v>17.008635560496348</v>
      </c>
      <c r="BB120" s="2">
        <v>1169205.8121258249</v>
      </c>
      <c r="BC120" s="2">
        <f t="shared" si="14"/>
        <v>-346559.02621922945</v>
      </c>
      <c r="BD120" s="292">
        <f t="shared" si="15"/>
        <v>2.2376318518357969</v>
      </c>
      <c r="BF120" s="170">
        <f t="shared" si="10"/>
        <v>570022.37152329716</v>
      </c>
      <c r="BG120" s="2">
        <f t="shared" si="11"/>
        <v>1274602.494036254</v>
      </c>
      <c r="BI120">
        <f t="shared" si="12"/>
        <v>0</v>
      </c>
      <c r="BJ120" s="95">
        <f t="shared" si="13"/>
        <v>1</v>
      </c>
      <c r="BP120" s="217">
        <f t="shared" si="16"/>
        <v>1274602.494036254</v>
      </c>
    </row>
    <row r="121" spans="1:68">
      <c r="A121" s="11">
        <v>115</v>
      </c>
      <c r="C121" s="27">
        <v>0.9238999662582269</v>
      </c>
      <c r="D121" s="27">
        <v>7.6100033741773099E-2</v>
      </c>
      <c r="E121" s="27">
        <v>0</v>
      </c>
      <c r="F121" s="27">
        <v>0.85269957687473608</v>
      </c>
      <c r="G121" s="27">
        <v>0.14730042312526392</v>
      </c>
      <c r="H121" s="27">
        <v>0</v>
      </c>
      <c r="I121" s="27">
        <v>0.75049997691967008</v>
      </c>
      <c r="J121" s="27">
        <v>0.24950002308032992</v>
      </c>
      <c r="K121" s="27">
        <v>0</v>
      </c>
      <c r="L121" s="27">
        <v>0.14726806006030441</v>
      </c>
      <c r="M121" s="27">
        <v>0.48723321387868068</v>
      </c>
      <c r="N121" s="27">
        <v>0.36549872606101491</v>
      </c>
      <c r="O121" s="27">
        <v>-11.394851568246883</v>
      </c>
      <c r="P121" s="27">
        <v>3.7032570353944229E-2</v>
      </c>
      <c r="Q121" s="27">
        <v>5.3304829913643745E-5</v>
      </c>
      <c r="R121" s="27">
        <v>1.0931943195639016</v>
      </c>
      <c r="S121" s="154"/>
      <c r="T121">
        <v>1.042259629556449</v>
      </c>
      <c r="U121">
        <v>2.2488756587555039</v>
      </c>
      <c r="V121">
        <v>3.0748990434492192</v>
      </c>
      <c r="W121">
        <v>1</v>
      </c>
      <c r="Y121" s="2">
        <v>1400.0868847252689</v>
      </c>
      <c r="Z121" s="2">
        <v>1798.8880751372026</v>
      </c>
      <c r="AA121" s="2">
        <v>22.846296549828772</v>
      </c>
      <c r="AB121" s="2">
        <v>8270.8397514517455</v>
      </c>
      <c r="AC121" s="2">
        <v>505.32132622968157</v>
      </c>
      <c r="AD121" s="2">
        <v>65.915904721519141</v>
      </c>
      <c r="AE121" s="2">
        <v>567.32950608201304</v>
      </c>
      <c r="AF121" s="2">
        <v>830.1532383623163</v>
      </c>
      <c r="AG121" s="2">
        <v>141.4965867162208</v>
      </c>
      <c r="AH121" s="2">
        <v>813.29075288623085</v>
      </c>
      <c r="AI121" s="2">
        <v>435017.5921585685</v>
      </c>
      <c r="AJ121" s="2">
        <v>390798.39723907877</v>
      </c>
      <c r="AL121" s="27">
        <v>0.91921999566615686</v>
      </c>
      <c r="AM121" s="27">
        <v>0.9121661039493939</v>
      </c>
      <c r="AN121" s="27">
        <v>0.90433040091237038</v>
      </c>
      <c r="AO121" s="27">
        <v>0.88724487087751847</v>
      </c>
      <c r="AP121" s="27">
        <v>0.6403013547437153</v>
      </c>
      <c r="AQ121" s="27">
        <v>0.91921999566615686</v>
      </c>
      <c r="AR121" s="27">
        <v>0.9121661039493939</v>
      </c>
      <c r="AS121" s="27">
        <v>0.90433040091237038</v>
      </c>
      <c r="AT121" s="27">
        <v>0.88724487087751847</v>
      </c>
      <c r="AU121" s="27">
        <v>0.6403013547437153</v>
      </c>
      <c r="AW121" s="1">
        <v>13.198477727713298</v>
      </c>
      <c r="AX121" s="1">
        <v>15.380474203657107</v>
      </c>
      <c r="AY121" s="2">
        <v>1592708.8364251191</v>
      </c>
      <c r="AZ121" s="1">
        <v>15.207963672772173</v>
      </c>
      <c r="BA121" s="1">
        <v>17.296727905845518</v>
      </c>
      <c r="BB121" s="2">
        <v>1224287.487565628</v>
      </c>
      <c r="BC121" s="2">
        <f t="shared" si="14"/>
        <v>-368421.34885949106</v>
      </c>
      <c r="BD121" s="292">
        <f t="shared" si="15"/>
        <v>2.0094859450588753</v>
      </c>
      <c r="BF121" s="170">
        <f t="shared" si="10"/>
        <v>519047.60000900878</v>
      </c>
      <c r="BG121" s="2">
        <f t="shared" si="11"/>
        <v>1208986.7000779195</v>
      </c>
      <c r="BI121">
        <f t="shared" si="12"/>
        <v>0</v>
      </c>
      <c r="BJ121" s="95">
        <f t="shared" si="13"/>
        <v>1</v>
      </c>
      <c r="BP121" s="217">
        <f t="shared" si="16"/>
        <v>1208986.7000779195</v>
      </c>
    </row>
    <row r="122" spans="1:68">
      <c r="A122" s="11">
        <v>116</v>
      </c>
      <c r="C122" s="27">
        <v>0.92406975714456874</v>
      </c>
      <c r="D122" s="27">
        <v>7.5930242855431263E-2</v>
      </c>
      <c r="E122" s="27">
        <v>0</v>
      </c>
      <c r="F122" s="27">
        <v>0.85187184825414208</v>
      </c>
      <c r="G122" s="27">
        <v>0.14812815174585792</v>
      </c>
      <c r="H122" s="27">
        <v>0</v>
      </c>
      <c r="I122" s="27">
        <v>0.74439300584422829</v>
      </c>
      <c r="J122" s="27">
        <v>0.25560699415577171</v>
      </c>
      <c r="K122" s="27">
        <v>0</v>
      </c>
      <c r="L122" s="27">
        <v>8.865280402214526E-2</v>
      </c>
      <c r="M122" s="27">
        <v>0.46422095091723353</v>
      </c>
      <c r="N122" s="27">
        <v>0.44712624506062126</v>
      </c>
      <c r="O122" s="27">
        <v>-11.174772181803363</v>
      </c>
      <c r="P122" s="27">
        <v>3.3742462567876871E-2</v>
      </c>
      <c r="Q122" s="27">
        <v>5.7853954204157457E-5</v>
      </c>
      <c r="R122" s="27">
        <v>1.0829551066794818</v>
      </c>
      <c r="S122" s="154"/>
      <c r="T122">
        <v>1.0882861503851542</v>
      </c>
      <c r="U122">
        <v>2.2718297994583772</v>
      </c>
      <c r="V122">
        <v>2.72380033365542</v>
      </c>
      <c r="W122">
        <v>1</v>
      </c>
      <c r="Y122" s="2">
        <v>27.138430844787155</v>
      </c>
      <c r="Z122" s="2">
        <v>1212.6082722400813</v>
      </c>
      <c r="AA122" s="2">
        <v>485.36953764155743</v>
      </c>
      <c r="AB122" s="2">
        <v>328.67920408917109</v>
      </c>
      <c r="AC122" s="2">
        <v>407.15044771983571</v>
      </c>
      <c r="AD122" s="2">
        <v>1181.018501967882</v>
      </c>
      <c r="AE122" s="2">
        <v>632.17146606384256</v>
      </c>
      <c r="AF122" s="2">
        <v>1033.2717549833615</v>
      </c>
      <c r="AG122" s="2">
        <v>95.831053563764243</v>
      </c>
      <c r="AH122" s="2">
        <v>437.61015890890337</v>
      </c>
      <c r="AI122" s="2">
        <v>450533.4018999064</v>
      </c>
      <c r="AJ122" s="2">
        <v>416267.22168767039</v>
      </c>
      <c r="AL122" s="27">
        <v>0.91253610596869317</v>
      </c>
      <c r="AM122" s="27">
        <v>0.91040978514870818</v>
      </c>
      <c r="AN122" s="27">
        <v>0.91348434822011848</v>
      </c>
      <c r="AO122" s="27">
        <v>0.85655456417690623</v>
      </c>
      <c r="AP122" s="27">
        <v>0.74832859925825412</v>
      </c>
      <c r="AQ122" s="27">
        <v>0.91253610596869317</v>
      </c>
      <c r="AR122" s="27">
        <v>0.91040978514870818</v>
      </c>
      <c r="AS122" s="27">
        <v>0.91348434822011848</v>
      </c>
      <c r="AT122" s="27">
        <v>0.85655456417690623</v>
      </c>
      <c r="AU122" s="27">
        <v>0.74832859925825412</v>
      </c>
      <c r="AW122" s="1">
        <v>13.106855723496063</v>
      </c>
      <c r="AX122" s="1">
        <v>14.932169751898449</v>
      </c>
      <c r="AY122" s="2">
        <v>1524312.9344088484</v>
      </c>
      <c r="AZ122" s="1">
        <v>15.164847808971507</v>
      </c>
      <c r="BA122" s="1">
        <v>17.018462213330075</v>
      </c>
      <c r="BB122" s="2">
        <v>1079894.5036020339</v>
      </c>
      <c r="BC122" s="2">
        <f t="shared" si="14"/>
        <v>-444418.43080681446</v>
      </c>
      <c r="BD122" s="292">
        <f t="shared" si="15"/>
        <v>2.0579920854754441</v>
      </c>
      <c r="BF122" s="170">
        <f t="shared" si="10"/>
        <v>572783.98135052156</v>
      </c>
      <c r="BG122" s="2">
        <f t="shared" si="11"/>
        <v>1346481.1458334071</v>
      </c>
      <c r="BI122">
        <f t="shared" si="12"/>
        <v>0</v>
      </c>
      <c r="BJ122" s="95">
        <f t="shared" si="13"/>
        <v>1</v>
      </c>
      <c r="BP122" s="217">
        <f t="shared" si="16"/>
        <v>1346481.1458334071</v>
      </c>
    </row>
    <row r="123" spans="1:68">
      <c r="A123" s="11">
        <v>117</v>
      </c>
      <c r="C123" s="27">
        <v>0.92537727240554768</v>
      </c>
      <c r="D123" s="27">
        <v>7.4622727594452362E-2</v>
      </c>
      <c r="E123" s="27">
        <v>0</v>
      </c>
      <c r="F123" s="27">
        <v>0.86209172445876359</v>
      </c>
      <c r="G123" s="27">
        <v>0.13790827554123647</v>
      </c>
      <c r="H123" s="27">
        <v>0</v>
      </c>
      <c r="I123" s="27">
        <v>0.7545864619237781</v>
      </c>
      <c r="J123" s="27">
        <v>0.24541353807622193</v>
      </c>
      <c r="K123" s="27">
        <v>0</v>
      </c>
      <c r="L123" s="27">
        <v>6.1299762011620573E-2</v>
      </c>
      <c r="M123" s="27">
        <v>0.50488898323975184</v>
      </c>
      <c r="N123" s="27">
        <v>0.43381125474862758</v>
      </c>
      <c r="O123" s="27">
        <v>-11.059807252919898</v>
      </c>
      <c r="P123" s="27">
        <v>3.501088856943399E-2</v>
      </c>
      <c r="Q123" s="27">
        <v>6.8453906773814784E-5</v>
      </c>
      <c r="R123" s="27">
        <v>1.0560472548695206</v>
      </c>
      <c r="S123" s="154"/>
      <c r="T123">
        <v>1.0070972446789948</v>
      </c>
      <c r="U123">
        <v>2.1971326702724663</v>
      </c>
      <c r="V123">
        <v>3.1366927533332452</v>
      </c>
      <c r="W123">
        <v>1</v>
      </c>
      <c r="Y123" s="2">
        <v>594.12115267598813</v>
      </c>
      <c r="Z123" s="2">
        <v>1669.6761086603583</v>
      </c>
      <c r="AA123" s="2">
        <v>379.67418116019758</v>
      </c>
      <c r="AB123" s="2">
        <v>2717.8157168814159</v>
      </c>
      <c r="AC123" s="2">
        <v>1773.774863998842</v>
      </c>
      <c r="AD123" s="2">
        <v>118.78854967320463</v>
      </c>
      <c r="AE123" s="2">
        <v>523.53961730491039</v>
      </c>
      <c r="AF123" s="2">
        <v>1044.2136442246074</v>
      </c>
      <c r="AG123" s="2">
        <v>88.765368925154021</v>
      </c>
      <c r="AH123" s="2">
        <v>549.83951875271987</v>
      </c>
      <c r="AI123" s="2">
        <v>429174.60465557565</v>
      </c>
      <c r="AJ123" s="2">
        <v>393194.80883403734</v>
      </c>
      <c r="AL123" s="27">
        <v>0.91508783543215566</v>
      </c>
      <c r="AM123" s="27">
        <v>0.91254789023393967</v>
      </c>
      <c r="AN123" s="27">
        <v>0.91356252921003223</v>
      </c>
      <c r="AO123" s="27">
        <v>0.84449428627260792</v>
      </c>
      <c r="AP123" s="27">
        <v>0.50229145582821089</v>
      </c>
      <c r="AQ123" s="27">
        <v>0.91508783543215566</v>
      </c>
      <c r="AR123" s="27">
        <v>0.91254789023393967</v>
      </c>
      <c r="AS123" s="27">
        <v>0.91356252921003223</v>
      </c>
      <c r="AT123" s="27">
        <v>0.84449428627260792</v>
      </c>
      <c r="AU123" s="27">
        <v>0.50229145582821089</v>
      </c>
      <c r="AW123" s="1">
        <v>12.906863389927533</v>
      </c>
      <c r="AX123" s="1">
        <v>15.524421547718193</v>
      </c>
      <c r="AY123" s="2">
        <v>1528850.0533612166</v>
      </c>
      <c r="AZ123" s="1">
        <v>14.97524967804446</v>
      </c>
      <c r="BA123" s="1">
        <v>17.36830664984733</v>
      </c>
      <c r="BB123" s="2">
        <v>1094713.3361627089</v>
      </c>
      <c r="BC123" s="2">
        <f t="shared" si="14"/>
        <v>-434136.71719850763</v>
      </c>
      <c r="BD123" s="292">
        <f t="shared" si="15"/>
        <v>2.0683862881169262</v>
      </c>
      <c r="BF123" s="170">
        <f t="shared" si="10"/>
        <v>536248.08902718872</v>
      </c>
      <c r="BG123" s="2">
        <f t="shared" si="11"/>
        <v>1301326.6123244048</v>
      </c>
      <c r="BI123">
        <f t="shared" si="12"/>
        <v>0</v>
      </c>
      <c r="BJ123" s="95">
        <f t="shared" si="13"/>
        <v>1</v>
      </c>
      <c r="BP123" s="217">
        <f t="shared" si="16"/>
        <v>1301326.6123244048</v>
      </c>
    </row>
    <row r="124" spans="1:68">
      <c r="A124" s="11">
        <v>118</v>
      </c>
      <c r="C124" s="27">
        <v>0.92375902747779248</v>
      </c>
      <c r="D124" s="27">
        <v>7.6240972522207545E-2</v>
      </c>
      <c r="E124" s="27">
        <v>0</v>
      </c>
      <c r="F124" s="27">
        <v>0.8630920152664151</v>
      </c>
      <c r="G124" s="27">
        <v>0.1369079847335849</v>
      </c>
      <c r="H124" s="27">
        <v>0</v>
      </c>
      <c r="I124" s="27">
        <v>0.74957476777225973</v>
      </c>
      <c r="J124" s="27">
        <v>0.25042523222774027</v>
      </c>
      <c r="K124" s="27">
        <v>0</v>
      </c>
      <c r="L124" s="27">
        <v>0.11620466908286109</v>
      </c>
      <c r="M124" s="27">
        <v>0.50915736478344109</v>
      </c>
      <c r="N124" s="27">
        <v>0.37463796613369782</v>
      </c>
      <c r="O124" s="27">
        <v>-11.287787527650183</v>
      </c>
      <c r="P124" s="27">
        <v>3.4727532172469405E-2</v>
      </c>
      <c r="Q124" s="27">
        <v>5.3854145422449767E-5</v>
      </c>
      <c r="R124" s="27">
        <v>1.090269207868146</v>
      </c>
      <c r="S124" s="154"/>
      <c r="T124">
        <v>1.0106354256574521</v>
      </c>
      <c r="U124">
        <v>2.2893610457866829</v>
      </c>
      <c r="V124">
        <v>3.1120333030068981</v>
      </c>
      <c r="W124">
        <v>1</v>
      </c>
      <c r="Y124" s="2">
        <v>483.68627886918534</v>
      </c>
      <c r="Z124" s="2">
        <v>475.43971689623902</v>
      </c>
      <c r="AA124" s="2">
        <v>3094.663450437135</v>
      </c>
      <c r="AB124" s="2">
        <v>9111.6978163049225</v>
      </c>
      <c r="AC124" s="2">
        <v>516.82682378011566</v>
      </c>
      <c r="AD124" s="2">
        <v>2965.2500161171233</v>
      </c>
      <c r="AE124" s="2">
        <v>587.35119370847247</v>
      </c>
      <c r="AF124" s="2">
        <v>807.17614096846592</v>
      </c>
      <c r="AG124" s="2">
        <v>127.51709238727825</v>
      </c>
      <c r="AH124" s="2">
        <v>330.19991725117507</v>
      </c>
      <c r="AI124" s="2">
        <v>494408.13175186113</v>
      </c>
      <c r="AJ124" s="2">
        <v>461362.75630539458</v>
      </c>
      <c r="AL124" s="27">
        <v>0.91643145148698557</v>
      </c>
      <c r="AM124" s="27">
        <v>0.91456606786147243</v>
      </c>
      <c r="AN124" s="27">
        <v>0.90279206158438385</v>
      </c>
      <c r="AO124" s="27">
        <v>0.88738372725592962</v>
      </c>
      <c r="AP124" s="27">
        <v>0.64322283805054647</v>
      </c>
      <c r="AQ124" s="27">
        <v>0.91643145148698557</v>
      </c>
      <c r="AR124" s="27">
        <v>0.91456606786147243</v>
      </c>
      <c r="AS124" s="27">
        <v>0.90279206158438385</v>
      </c>
      <c r="AT124" s="27">
        <v>0.88738372725592962</v>
      </c>
      <c r="AU124" s="27">
        <v>0.64322283805054647</v>
      </c>
      <c r="AW124" s="1">
        <v>13.343335724182843</v>
      </c>
      <c r="AX124" s="1">
        <v>15.546196374598207</v>
      </c>
      <c r="AY124" s="2">
        <v>1831186.0349788365</v>
      </c>
      <c r="AZ124" s="1">
        <v>15.307662439909979</v>
      </c>
      <c r="BA124" s="1">
        <v>17.414049492916568</v>
      </c>
      <c r="BB124" s="2">
        <v>1513000.0384644836</v>
      </c>
      <c r="BC124" s="2">
        <f t="shared" si="14"/>
        <v>-318185.99651435297</v>
      </c>
      <c r="BD124" s="292">
        <f t="shared" si="15"/>
        <v>1.964326715727136</v>
      </c>
      <c r="BF124" s="170">
        <f t="shared" si="10"/>
        <v>303747.68089041836</v>
      </c>
      <c r="BG124" s="2">
        <f t="shared" si="11"/>
        <v>936225.95192111307</v>
      </c>
      <c r="BI124">
        <f t="shared" si="12"/>
        <v>0</v>
      </c>
      <c r="BJ124" s="95">
        <f t="shared" si="13"/>
        <v>1</v>
      </c>
      <c r="BP124" s="217">
        <f t="shared" si="16"/>
        <v>936225.95192111307</v>
      </c>
    </row>
    <row r="125" spans="1:68">
      <c r="A125" s="11">
        <v>119</v>
      </c>
      <c r="C125" s="27">
        <v>0.92496555715589757</v>
      </c>
      <c r="D125" s="27">
        <v>7.5034442844102392E-2</v>
      </c>
      <c r="E125" s="27">
        <v>0</v>
      </c>
      <c r="F125" s="27">
        <v>0.85353566137755854</v>
      </c>
      <c r="G125" s="27">
        <v>0.14646433862244146</v>
      </c>
      <c r="H125" s="27">
        <v>0</v>
      </c>
      <c r="I125" s="27">
        <v>0.74969969736812359</v>
      </c>
      <c r="J125" s="27">
        <v>0.25030030263187641</v>
      </c>
      <c r="K125" s="27">
        <v>0</v>
      </c>
      <c r="L125" s="27">
        <v>0.16886300837795648</v>
      </c>
      <c r="M125" s="27">
        <v>0.5312752124643364</v>
      </c>
      <c r="N125" s="27">
        <v>0.29986177915770712</v>
      </c>
      <c r="O125" s="27">
        <v>-10.90827423450275</v>
      </c>
      <c r="P125" s="27">
        <v>3.2214720220637046E-2</v>
      </c>
      <c r="Q125" s="27">
        <v>7.0828012039649653E-5</v>
      </c>
      <c r="R125" s="27">
        <v>1.0540984889184966</v>
      </c>
      <c r="S125" s="154"/>
      <c r="T125">
        <v>1.0363177473787668</v>
      </c>
      <c r="U125">
        <v>2.1955932857429761</v>
      </c>
      <c r="V125">
        <v>2.9507300394009812</v>
      </c>
      <c r="W125">
        <v>1</v>
      </c>
      <c r="Y125" s="2">
        <v>1020.6467019010596</v>
      </c>
      <c r="Z125" s="2">
        <v>6502.0325267582921</v>
      </c>
      <c r="AA125" s="2">
        <v>1718.3068693186694</v>
      </c>
      <c r="AB125" s="2">
        <v>1862.7055421537777</v>
      </c>
      <c r="AC125" s="2">
        <v>2450.0869315838308</v>
      </c>
      <c r="AD125" s="2">
        <v>1149.7888169877524</v>
      </c>
      <c r="AE125" s="2">
        <v>579.72063303574407</v>
      </c>
      <c r="AF125" s="2">
        <v>1474.9898623562351</v>
      </c>
      <c r="AG125" s="2">
        <v>183.56829060631182</v>
      </c>
      <c r="AH125" s="2">
        <v>509.89250005576963</v>
      </c>
      <c r="AI125" s="2">
        <v>481856.47790888353</v>
      </c>
      <c r="AJ125" s="2">
        <v>444986.28370084212</v>
      </c>
      <c r="AL125" s="27">
        <v>0.91142262731466828</v>
      </c>
      <c r="AM125" s="27">
        <v>0.91430201847132675</v>
      </c>
      <c r="AN125" s="27">
        <v>0.91324947530815281</v>
      </c>
      <c r="AO125" s="27">
        <v>0.88608400011341026</v>
      </c>
      <c r="AP125" s="27">
        <v>0.68834082731263968</v>
      </c>
      <c r="AQ125" s="27">
        <v>0.91142262731466828</v>
      </c>
      <c r="AR125" s="27">
        <v>0.91430201847132675</v>
      </c>
      <c r="AS125" s="27">
        <v>0.91324947530815281</v>
      </c>
      <c r="AT125" s="27">
        <v>0.88608400011341026</v>
      </c>
      <c r="AU125" s="27">
        <v>0.68834082731263968</v>
      </c>
      <c r="AW125" s="1">
        <v>13.754775420919175</v>
      </c>
      <c r="AX125" s="1">
        <v>15.993705377813173</v>
      </c>
      <c r="AY125" s="2">
        <v>2135706.2953579873</v>
      </c>
      <c r="AZ125" s="1">
        <v>15.54971521629478</v>
      </c>
      <c r="BA125" s="1">
        <v>17.685442375671684</v>
      </c>
      <c r="BB125" s="2">
        <v>1495770.006076094</v>
      </c>
      <c r="BC125" s="2">
        <f t="shared" si="14"/>
        <v>-639936.28928189329</v>
      </c>
      <c r="BD125" s="292">
        <f t="shared" si="15"/>
        <v>1.7949397953756048</v>
      </c>
      <c r="BF125" s="170">
        <f t="shared" si="10"/>
        <v>65057.771989080589</v>
      </c>
      <c r="BG125" s="2">
        <f t="shared" si="11"/>
        <v>992184.42853107094</v>
      </c>
      <c r="BI125">
        <f t="shared" si="12"/>
        <v>0</v>
      </c>
      <c r="BJ125" s="95">
        <f t="shared" si="13"/>
        <v>1</v>
      </c>
      <c r="BP125" s="217">
        <f t="shared" si="16"/>
        <v>992184.42853107094</v>
      </c>
    </row>
    <row r="126" spans="1:68">
      <c r="A126" s="11">
        <v>120</v>
      </c>
      <c r="C126" s="27">
        <v>0.92346665531905736</v>
      </c>
      <c r="D126" s="27">
        <v>7.6533344680942611E-2</v>
      </c>
      <c r="E126" s="27">
        <v>0</v>
      </c>
      <c r="F126" s="27">
        <v>0.85965679882122048</v>
      </c>
      <c r="G126" s="27">
        <v>0.14034320117877955</v>
      </c>
      <c r="H126" s="27">
        <v>0</v>
      </c>
      <c r="I126" s="27">
        <v>0.75067819267336411</v>
      </c>
      <c r="J126" s="27">
        <v>0.24932180732663584</v>
      </c>
      <c r="K126" s="27">
        <v>0</v>
      </c>
      <c r="L126" s="27">
        <v>0.21309578261797962</v>
      </c>
      <c r="M126" s="27">
        <v>0.47155803682912856</v>
      </c>
      <c r="N126" s="27">
        <v>0.31534618055289182</v>
      </c>
      <c r="O126" s="27">
        <v>-11.209135922085244</v>
      </c>
      <c r="P126" s="27">
        <v>3.5104965506212539E-2</v>
      </c>
      <c r="Q126" s="27">
        <v>5.9191809965378022E-5</v>
      </c>
      <c r="R126" s="27">
        <v>1.0762824533558704</v>
      </c>
      <c r="S126" s="154"/>
      <c r="T126">
        <v>1.1528460789986492</v>
      </c>
      <c r="U126">
        <v>2.3573585189214779</v>
      </c>
      <c r="V126">
        <v>3.054894836246612</v>
      </c>
      <c r="W126">
        <v>1</v>
      </c>
      <c r="Y126" s="2">
        <v>932.16065107545899</v>
      </c>
      <c r="Z126" s="2">
        <v>4445.7279209868475</v>
      </c>
      <c r="AA126" s="2">
        <v>905.53935497989562</v>
      </c>
      <c r="AB126" s="2">
        <v>3816.4297869550101</v>
      </c>
      <c r="AC126" s="2">
        <v>15.446818221849721</v>
      </c>
      <c r="AD126" s="2">
        <v>1031.7255588994271</v>
      </c>
      <c r="AE126" s="2">
        <v>570.6588800291853</v>
      </c>
      <c r="AF126" s="2">
        <v>1037.355408893015</v>
      </c>
      <c r="AG126" s="2">
        <v>157.92342934957989</v>
      </c>
      <c r="AH126" s="2">
        <v>244.69389628213975</v>
      </c>
      <c r="AI126" s="2">
        <v>570476.18561624154</v>
      </c>
      <c r="AJ126" s="2">
        <v>542598.49168559955</v>
      </c>
      <c r="AL126" s="27">
        <v>0.91889283816864897</v>
      </c>
      <c r="AM126" s="27">
        <v>0.91382760846180333</v>
      </c>
      <c r="AN126" s="27">
        <v>0.91033809281011635</v>
      </c>
      <c r="AO126" s="27">
        <v>0.86040543592693286</v>
      </c>
      <c r="AP126" s="27">
        <v>0.73283023788929014</v>
      </c>
      <c r="AQ126" s="27">
        <v>0.91889283816864897</v>
      </c>
      <c r="AR126" s="27">
        <v>0.91382760846180333</v>
      </c>
      <c r="AS126" s="27">
        <v>0.91033809281011635</v>
      </c>
      <c r="AT126" s="27">
        <v>0.86040543592693286</v>
      </c>
      <c r="AU126" s="27">
        <v>0.73283023788929014</v>
      </c>
      <c r="AW126" s="1">
        <v>13.385389226221012</v>
      </c>
      <c r="AX126" s="1">
        <v>15.35818886397607</v>
      </c>
      <c r="AY126" s="2">
        <v>2463479.5742487959</v>
      </c>
      <c r="AZ126" s="1">
        <v>15.610982352858802</v>
      </c>
      <c r="BA126" s="1">
        <v>17.535375723892116</v>
      </c>
      <c r="BB126" s="2">
        <v>1660413.8460371878</v>
      </c>
      <c r="BC126" s="2">
        <f t="shared" si="14"/>
        <v>-803065.72821160802</v>
      </c>
      <c r="BD126" s="292">
        <f t="shared" si="15"/>
        <v>2.22559312663779</v>
      </c>
      <c r="BF126" s="170">
        <f t="shared" si="10"/>
        <v>-321817.29805343412</v>
      </c>
      <c r="BG126" s="2">
        <f t="shared" si="11"/>
        <v>837343.3304202205</v>
      </c>
      <c r="BI126">
        <f t="shared" si="12"/>
        <v>0</v>
      </c>
      <c r="BJ126" s="95">
        <f t="shared" si="13"/>
        <v>1</v>
      </c>
      <c r="BP126" s="217">
        <f t="shared" si="16"/>
        <v>837343.3304202205</v>
      </c>
    </row>
    <row r="127" spans="1:68">
      <c r="A127" s="11">
        <v>121</v>
      </c>
      <c r="C127" s="27">
        <v>0.92718132748604132</v>
      </c>
      <c r="D127" s="27">
        <v>7.281867251395864E-2</v>
      </c>
      <c r="E127" s="27">
        <v>0</v>
      </c>
      <c r="F127" s="27">
        <v>0.85637611908468902</v>
      </c>
      <c r="G127" s="27">
        <v>0.14362388091531098</v>
      </c>
      <c r="H127" s="27">
        <v>0</v>
      </c>
      <c r="I127" s="27">
        <v>0.75790666950734975</v>
      </c>
      <c r="J127" s="27">
        <v>0.2420933304926503</v>
      </c>
      <c r="K127" s="27">
        <v>0</v>
      </c>
      <c r="L127" s="27">
        <v>0.14258608360346769</v>
      </c>
      <c r="M127" s="27">
        <v>0.51409690235716987</v>
      </c>
      <c r="N127" s="27">
        <v>0.34331701403936243</v>
      </c>
      <c r="O127" s="27">
        <v>-11.213247780381478</v>
      </c>
      <c r="P127" s="27">
        <v>3.2632500060104798E-2</v>
      </c>
      <c r="Q127" s="27">
        <v>5.3134571482965656E-5</v>
      </c>
      <c r="R127" s="27">
        <v>1.0954565164098187</v>
      </c>
      <c r="S127" s="154"/>
      <c r="T127">
        <v>1.0343940094658268</v>
      </c>
      <c r="U127">
        <v>2.2339569019955925</v>
      </c>
      <c r="V127">
        <v>3.1066107619016536</v>
      </c>
      <c r="W127">
        <v>1</v>
      </c>
      <c r="Y127" s="2">
        <v>727.47380274995089</v>
      </c>
      <c r="Z127" s="2">
        <v>124.330511295759</v>
      </c>
      <c r="AA127" s="2">
        <v>1258.9790004445949</v>
      </c>
      <c r="AB127" s="2">
        <v>3076.8020935767277</v>
      </c>
      <c r="AC127" s="2">
        <v>1396.3846730033499</v>
      </c>
      <c r="AD127" s="2">
        <v>594.72133688767701</v>
      </c>
      <c r="AE127" s="2">
        <v>562.41267744610275</v>
      </c>
      <c r="AF127" s="2">
        <v>864.78001122857791</v>
      </c>
      <c r="AG127" s="2">
        <v>82.469606930528286</v>
      </c>
      <c r="AH127" s="2">
        <v>332.53261173390007</v>
      </c>
      <c r="AI127" s="2">
        <v>846187.60787992738</v>
      </c>
      <c r="AJ127" s="2">
        <v>818123.39148155879</v>
      </c>
      <c r="AL127" s="27">
        <v>0.91292976000204229</v>
      </c>
      <c r="AM127" s="27">
        <v>0.91210362820069268</v>
      </c>
      <c r="AN127" s="27">
        <v>0.90730515107402465</v>
      </c>
      <c r="AO127" s="27">
        <v>0.8593140443942181</v>
      </c>
      <c r="AP127" s="27">
        <v>0.68429218078496534</v>
      </c>
      <c r="AQ127" s="27">
        <v>0.91292976000204229</v>
      </c>
      <c r="AR127" s="27">
        <v>0.91210362820069268</v>
      </c>
      <c r="AS127" s="27">
        <v>0.90730515107402465</v>
      </c>
      <c r="AT127" s="27">
        <v>0.8593140443942181</v>
      </c>
      <c r="AU127" s="27">
        <v>0.68429218078496534</v>
      </c>
      <c r="AW127" s="1">
        <v>13.55161544792918</v>
      </c>
      <c r="AX127" s="1">
        <v>15.699021262960571</v>
      </c>
      <c r="AY127" s="2">
        <v>3271843.8926510173</v>
      </c>
      <c r="AZ127" s="1">
        <v>15.460013873728839</v>
      </c>
      <c r="BA127" s="1">
        <v>17.538376568834664</v>
      </c>
      <c r="BB127" s="2">
        <v>2317660.0358169219</v>
      </c>
      <c r="BC127" s="2">
        <f t="shared" si="14"/>
        <v>-954183.85683409544</v>
      </c>
      <c r="BD127" s="292">
        <f t="shared" si="15"/>
        <v>1.9083984257996587</v>
      </c>
      <c r="BF127" s="170">
        <f t="shared" si="10"/>
        <v>-1103585.4209823483</v>
      </c>
      <c r="BG127" s="2">
        <f t="shared" si="11"/>
        <v>155942.1839796924</v>
      </c>
      <c r="BI127">
        <f t="shared" si="12"/>
        <v>0</v>
      </c>
      <c r="BJ127" s="95">
        <f t="shared" si="13"/>
        <v>1</v>
      </c>
      <c r="BP127" s="217">
        <f t="shared" si="16"/>
        <v>155942.1839796924</v>
      </c>
    </row>
    <row r="128" spans="1:68">
      <c r="A128" s="11">
        <v>122</v>
      </c>
      <c r="C128" s="27">
        <v>0.92248072159125372</v>
      </c>
      <c r="D128" s="27">
        <v>7.7519278408746284E-2</v>
      </c>
      <c r="E128" s="27">
        <v>0</v>
      </c>
      <c r="F128" s="27">
        <v>0.85782682092537588</v>
      </c>
      <c r="G128" s="27">
        <v>0.1421731790746241</v>
      </c>
      <c r="H128" s="27">
        <v>0</v>
      </c>
      <c r="I128" s="27">
        <v>0.75300626078825039</v>
      </c>
      <c r="J128" s="27">
        <v>0.24699373921174966</v>
      </c>
      <c r="K128" s="27">
        <v>0</v>
      </c>
      <c r="L128" s="27">
        <v>0.13951731913223131</v>
      </c>
      <c r="M128" s="27">
        <v>0.48326411250180062</v>
      </c>
      <c r="N128" s="27">
        <v>0.37721856836596801</v>
      </c>
      <c r="O128" s="27">
        <v>-11.207720444179769</v>
      </c>
      <c r="P128" s="27">
        <v>3.5730990736756743E-2</v>
      </c>
      <c r="Q128" s="27">
        <v>6.0854862431450152E-5</v>
      </c>
      <c r="R128" s="27">
        <v>1.0677420733130387</v>
      </c>
      <c r="S128" s="154"/>
      <c r="T128">
        <v>0.95872909727354483</v>
      </c>
      <c r="U128">
        <v>2.3165579004039034</v>
      </c>
      <c r="V128">
        <v>3.2307793101698228</v>
      </c>
      <c r="W128">
        <v>1</v>
      </c>
      <c r="Y128" s="2">
        <v>858.57052882385585</v>
      </c>
      <c r="Z128" s="2">
        <v>2650.3393950468312</v>
      </c>
      <c r="AA128" s="2">
        <v>2697.5306615780378</v>
      </c>
      <c r="AB128" s="2">
        <v>3547.8603083301273</v>
      </c>
      <c r="AC128" s="2">
        <v>0.97966927050758601</v>
      </c>
      <c r="AD128" s="2">
        <v>248.92025944766743</v>
      </c>
      <c r="AE128" s="2">
        <v>646.1043620054013</v>
      </c>
      <c r="AF128" s="2">
        <v>947.13592588253164</v>
      </c>
      <c r="AG128" s="2">
        <v>113.13139394861919</v>
      </c>
      <c r="AH128" s="2">
        <v>509.03082528784557</v>
      </c>
      <c r="AI128" s="2">
        <v>504099.4883968088</v>
      </c>
      <c r="AJ128" s="2">
        <v>471038.0418315116</v>
      </c>
      <c r="AL128" s="27">
        <v>0.91711502660130373</v>
      </c>
      <c r="AM128" s="27">
        <v>0.91690817587602857</v>
      </c>
      <c r="AN128" s="27">
        <v>0.91287424282965046</v>
      </c>
      <c r="AO128" s="27">
        <v>0.86233784452360029</v>
      </c>
      <c r="AP128" s="27">
        <v>0.71917911266048196</v>
      </c>
      <c r="AQ128" s="27">
        <v>0.91711502660130373</v>
      </c>
      <c r="AR128" s="27">
        <v>0.91690817587602857</v>
      </c>
      <c r="AS128" s="27">
        <v>0.91287424282965046</v>
      </c>
      <c r="AT128" s="27">
        <v>0.86233784452360029</v>
      </c>
      <c r="AU128" s="27">
        <v>0.71917911266048196</v>
      </c>
      <c r="AW128" s="1">
        <v>13.662427734490349</v>
      </c>
      <c r="AX128" s="1">
        <v>15.627409873510782</v>
      </c>
      <c r="AY128" s="2">
        <v>1902933.1851499919</v>
      </c>
      <c r="AZ128" s="1">
        <v>15.440563578292316</v>
      </c>
      <c r="BA128" s="1">
        <v>17.365537346782158</v>
      </c>
      <c r="BB128" s="2">
        <v>1434898.7411503003</v>
      </c>
      <c r="BC128" s="2">
        <f t="shared" si="14"/>
        <v>-468034.44399969163</v>
      </c>
      <c r="BD128" s="292">
        <f t="shared" si="15"/>
        <v>1.7781358438019677</v>
      </c>
      <c r="BF128" s="170">
        <f t="shared" si="10"/>
        <v>283055.25236846367</v>
      </c>
      <c r="BG128" s="2">
        <f t="shared" si="11"/>
        <v>1035591.4313764705</v>
      </c>
      <c r="BI128">
        <f t="shared" si="12"/>
        <v>0</v>
      </c>
      <c r="BJ128" s="95">
        <f t="shared" si="13"/>
        <v>1</v>
      </c>
      <c r="BP128" s="217">
        <f t="shared" si="16"/>
        <v>1035591.4313764705</v>
      </c>
    </row>
    <row r="129" spans="1:68">
      <c r="A129" s="11">
        <v>123</v>
      </c>
      <c r="C129" s="27">
        <v>0.92619858270885103</v>
      </c>
      <c r="D129" s="27">
        <v>7.3801417291148988E-2</v>
      </c>
      <c r="E129" s="27">
        <v>0</v>
      </c>
      <c r="F129" s="27">
        <v>0.86134823056022047</v>
      </c>
      <c r="G129" s="27">
        <v>0.1386517694397795</v>
      </c>
      <c r="H129" s="27">
        <v>0</v>
      </c>
      <c r="I129" s="27">
        <v>0.75526431204381539</v>
      </c>
      <c r="J129" s="27">
        <v>0.24473568795618458</v>
      </c>
      <c r="K129" s="27">
        <v>0</v>
      </c>
      <c r="L129" s="27">
        <v>0.18858088859417171</v>
      </c>
      <c r="M129" s="27">
        <v>0.54188394532144468</v>
      </c>
      <c r="N129" s="27">
        <v>0.2695351660843836</v>
      </c>
      <c r="O129" s="27">
        <v>-11.198406379263853</v>
      </c>
      <c r="P129" s="27">
        <v>3.6434952004089222E-2</v>
      </c>
      <c r="Q129" s="27">
        <v>6.3267524907878749E-5</v>
      </c>
      <c r="R129" s="27">
        <v>1.0611038986185235</v>
      </c>
      <c r="S129" s="154"/>
      <c r="T129">
        <v>0.99922440313235561</v>
      </c>
      <c r="U129">
        <v>2.2257063131369841</v>
      </c>
      <c r="V129">
        <v>3.4803174378905979</v>
      </c>
      <c r="W129">
        <v>1</v>
      </c>
      <c r="Y129" s="2">
        <v>1355.6251325536455</v>
      </c>
      <c r="Z129" s="2">
        <v>4490.3693077952639</v>
      </c>
      <c r="AA129" s="2">
        <v>654.00619415521953</v>
      </c>
      <c r="AB129" s="2">
        <v>2270.1641321791144</v>
      </c>
      <c r="AC129" s="2">
        <v>64.436900207092336</v>
      </c>
      <c r="AD129" s="2">
        <v>430.73481346544844</v>
      </c>
      <c r="AE129" s="2">
        <v>586.64381244322817</v>
      </c>
      <c r="AF129" s="2">
        <v>960.90553469541453</v>
      </c>
      <c r="AG129" s="2">
        <v>171.70059765258014</v>
      </c>
      <c r="AH129" s="2">
        <v>429.40290559501187</v>
      </c>
      <c r="AI129" s="2">
        <v>340567.29649840365</v>
      </c>
      <c r="AJ129" s="2">
        <v>301527.13166315458</v>
      </c>
      <c r="AL129" s="27">
        <v>0.91545886040752522</v>
      </c>
      <c r="AM129" s="27">
        <v>0.91461895912581936</v>
      </c>
      <c r="AN129" s="27">
        <v>0.91411992469238501</v>
      </c>
      <c r="AO129" s="27">
        <v>0.85416059833446811</v>
      </c>
      <c r="AP129" s="27">
        <v>0.72504106456772321</v>
      </c>
      <c r="AQ129" s="27">
        <v>0.91545886040752522</v>
      </c>
      <c r="AR129" s="27">
        <v>0.91461895912581936</v>
      </c>
      <c r="AS129" s="27">
        <v>0.91411992469238501</v>
      </c>
      <c r="AT129" s="27">
        <v>0.85416059833446811</v>
      </c>
      <c r="AU129" s="27">
        <v>0.72504106456772321</v>
      </c>
      <c r="AW129" s="1">
        <v>14.196082784022961</v>
      </c>
      <c r="AX129" s="1">
        <v>16.33948953534787</v>
      </c>
      <c r="AY129" s="2">
        <v>1492232.7977240286</v>
      </c>
      <c r="AZ129" s="1">
        <v>15.904677773403208</v>
      </c>
      <c r="BA129" s="1">
        <v>17.957618494538917</v>
      </c>
      <c r="BB129" s="2">
        <v>1041534.2050210849</v>
      </c>
      <c r="BC129" s="2">
        <f t="shared" si="14"/>
        <v>-450698.59270294372</v>
      </c>
      <c r="BD129" s="292">
        <f t="shared" si="15"/>
        <v>1.7085949893802468</v>
      </c>
      <c r="BF129" s="170">
        <f t="shared" si="10"/>
        <v>779140.44771964522</v>
      </c>
      <c r="BG129" s="2">
        <f t="shared" si="11"/>
        <v>1503214.2387234285</v>
      </c>
      <c r="BI129">
        <f t="shared" si="12"/>
        <v>0</v>
      </c>
      <c r="BJ129" s="95">
        <f t="shared" si="13"/>
        <v>1</v>
      </c>
      <c r="BP129" s="217">
        <f t="shared" si="16"/>
        <v>1503214.2387234285</v>
      </c>
    </row>
    <row r="130" spans="1:68">
      <c r="A130" s="11">
        <v>124</v>
      </c>
      <c r="C130" s="27">
        <v>0.92566863391948329</v>
      </c>
      <c r="D130" s="27">
        <v>7.4331366080516714E-2</v>
      </c>
      <c r="E130" s="27">
        <v>0</v>
      </c>
      <c r="F130" s="27">
        <v>0.85900734414339841</v>
      </c>
      <c r="G130" s="27">
        <v>0.14099265585660156</v>
      </c>
      <c r="H130" s="27">
        <v>0</v>
      </c>
      <c r="I130" s="27">
        <v>0.75333813998726062</v>
      </c>
      <c r="J130" s="27">
        <v>0.2466618600127394</v>
      </c>
      <c r="K130" s="27">
        <v>0</v>
      </c>
      <c r="L130" s="27">
        <v>0.15492180259723437</v>
      </c>
      <c r="M130" s="27">
        <v>0.52765558808951751</v>
      </c>
      <c r="N130" s="27">
        <v>0.31742260931324812</v>
      </c>
      <c r="O130" s="27">
        <v>-11.23196197517726</v>
      </c>
      <c r="P130" s="27">
        <v>3.4149616653954412E-2</v>
      </c>
      <c r="Q130" s="27">
        <v>5.5580503442515296E-5</v>
      </c>
      <c r="R130" s="27">
        <v>1.0871506940426368</v>
      </c>
      <c r="S130" s="154"/>
      <c r="T130">
        <v>0.92235723779615109</v>
      </c>
      <c r="U130">
        <v>2.2351577063185064</v>
      </c>
      <c r="V130">
        <v>3.0891095357023834</v>
      </c>
      <c r="W130">
        <v>1</v>
      </c>
      <c r="Y130" s="2">
        <v>421.57066426944095</v>
      </c>
      <c r="Z130" s="2">
        <v>1052.1326099959913</v>
      </c>
      <c r="AA130" s="2">
        <v>265.06155196213905</v>
      </c>
      <c r="AB130" s="2">
        <v>121.11224209294043</v>
      </c>
      <c r="AC130" s="2">
        <v>308.41695036995378</v>
      </c>
      <c r="AD130" s="2">
        <v>255.3135952180352</v>
      </c>
      <c r="AE130" s="2">
        <v>584.16334626912419</v>
      </c>
      <c r="AF130" s="2">
        <v>804.19159143771697</v>
      </c>
      <c r="AG130" s="2">
        <v>107.25737668977307</v>
      </c>
      <c r="AH130" s="2">
        <v>226.92138168052574</v>
      </c>
      <c r="AI130" s="2">
        <v>414408.4978890834</v>
      </c>
      <c r="AJ130" s="2">
        <v>397535.78403507103</v>
      </c>
      <c r="AL130" s="27">
        <v>0.9168053847686336</v>
      </c>
      <c r="AM130" s="27">
        <v>0.91171759445411127</v>
      </c>
      <c r="AN130" s="27">
        <v>0.90229293009133504</v>
      </c>
      <c r="AO130" s="27">
        <v>0.85716373085814512</v>
      </c>
      <c r="AP130" s="27">
        <v>0.66930202708605457</v>
      </c>
      <c r="AQ130" s="27">
        <v>0.9168053847686336</v>
      </c>
      <c r="AR130" s="27">
        <v>0.91171759445411127</v>
      </c>
      <c r="AS130" s="27">
        <v>0.90229293009133504</v>
      </c>
      <c r="AT130" s="27">
        <v>0.85716373085814512</v>
      </c>
      <c r="AU130" s="27">
        <v>0.66930202708605457</v>
      </c>
      <c r="AW130" s="1">
        <v>13.944703602587799</v>
      </c>
      <c r="AX130" s="1">
        <v>16.149866280771239</v>
      </c>
      <c r="AY130" s="2">
        <v>1612830.9914900204</v>
      </c>
      <c r="AZ130" s="1">
        <v>15.503040980854196</v>
      </c>
      <c r="BA130" s="1">
        <v>17.633881142240504</v>
      </c>
      <c r="BB130" s="2">
        <v>1173761.7874527704</v>
      </c>
      <c r="BC130" s="2">
        <f t="shared" si="14"/>
        <v>-439069.20403725002</v>
      </c>
      <c r="BD130" s="292">
        <f t="shared" si="15"/>
        <v>1.5583373782663976</v>
      </c>
      <c r="BF130" s="170">
        <f t="shared" si="10"/>
        <v>618321.58492402732</v>
      </c>
      <c r="BG130" s="2">
        <f t="shared" si="11"/>
        <v>1306724.7694839011</v>
      </c>
      <c r="BI130">
        <f t="shared" si="12"/>
        <v>0</v>
      </c>
      <c r="BJ130" s="95">
        <f t="shared" si="13"/>
        <v>1</v>
      </c>
      <c r="BP130" s="217">
        <f t="shared" si="16"/>
        <v>1306724.7694839011</v>
      </c>
    </row>
    <row r="131" spans="1:68">
      <c r="A131" s="11">
        <v>125</v>
      </c>
      <c r="C131" s="27">
        <v>0.91977841245899838</v>
      </c>
      <c r="D131" s="27">
        <v>8.0221587541001615E-2</v>
      </c>
      <c r="E131" s="27">
        <v>0</v>
      </c>
      <c r="F131" s="27">
        <v>0.85344790203060861</v>
      </c>
      <c r="G131" s="27">
        <v>0.14655209796939139</v>
      </c>
      <c r="H131" s="27">
        <v>0</v>
      </c>
      <c r="I131" s="27">
        <v>0.75183695606607193</v>
      </c>
      <c r="J131" s="27">
        <v>0.24816304393392807</v>
      </c>
      <c r="K131" s="27">
        <v>0</v>
      </c>
      <c r="L131" s="27">
        <v>4.6905104821418298E-2</v>
      </c>
      <c r="M131" s="27">
        <v>0.54830102084168786</v>
      </c>
      <c r="N131" s="27">
        <v>0.40479387433689384</v>
      </c>
      <c r="O131" s="27">
        <v>-11.315788410838008</v>
      </c>
      <c r="P131" s="27">
        <v>3.7241150143606655E-2</v>
      </c>
      <c r="Q131" s="27">
        <v>5.8197968763511433E-5</v>
      </c>
      <c r="R131" s="27">
        <v>1.0788078149863725</v>
      </c>
      <c r="S131" s="154"/>
      <c r="T131">
        <v>0.97811930747598841</v>
      </c>
      <c r="U131">
        <v>2.2852849129238471</v>
      </c>
      <c r="V131">
        <v>2.8722018411877031</v>
      </c>
      <c r="W131">
        <v>1</v>
      </c>
      <c r="Y131" s="2">
        <v>45.631827337425619</v>
      </c>
      <c r="Z131" s="2">
        <v>66.814269559779092</v>
      </c>
      <c r="AA131" s="2">
        <v>628.36513163960012</v>
      </c>
      <c r="AB131" s="2">
        <v>3688.9234926262975</v>
      </c>
      <c r="AC131" s="2">
        <v>939.90133587341495</v>
      </c>
      <c r="AD131" s="2">
        <v>78.626487974754269</v>
      </c>
      <c r="AE131" s="2">
        <v>616.28184946015119</v>
      </c>
      <c r="AF131" s="2">
        <v>1052.492300862335</v>
      </c>
      <c r="AG131" s="2">
        <v>109.70391238207699</v>
      </c>
      <c r="AH131" s="2">
        <v>457.08678324033025</v>
      </c>
      <c r="AI131" s="2">
        <v>464274.73441277299</v>
      </c>
      <c r="AJ131" s="2">
        <v>431063.81859966891</v>
      </c>
      <c r="AL131" s="27">
        <v>0.92374544742758391</v>
      </c>
      <c r="AM131" s="27">
        <v>0.9188116938584483</v>
      </c>
      <c r="AN131" s="27">
        <v>0.90797724566627169</v>
      </c>
      <c r="AO131" s="27">
        <v>0.88734652362021427</v>
      </c>
      <c r="AP131" s="27">
        <v>0.79503406589939285</v>
      </c>
      <c r="AQ131" s="27">
        <v>0.92374544742758391</v>
      </c>
      <c r="AR131" s="27">
        <v>0.9188116938584483</v>
      </c>
      <c r="AS131" s="27">
        <v>0.90797724566627169</v>
      </c>
      <c r="AT131" s="27">
        <v>0.88734652362021427</v>
      </c>
      <c r="AU131" s="27">
        <v>0.79503406589939285</v>
      </c>
      <c r="AW131" s="1">
        <v>13.828551110085446</v>
      </c>
      <c r="AX131" s="1">
        <v>15.474709522296708</v>
      </c>
      <c r="AY131" s="2">
        <v>1757877.9884005089</v>
      </c>
      <c r="AZ131" s="1">
        <v>15.54323367231313</v>
      </c>
      <c r="BA131" s="1">
        <v>17.225742680158941</v>
      </c>
      <c r="BB131" s="2">
        <v>1334426.2236029173</v>
      </c>
      <c r="BC131" s="2">
        <f t="shared" si="14"/>
        <v>-423451.7647975916</v>
      </c>
      <c r="BD131" s="292">
        <f t="shared" si="15"/>
        <v>1.7146825622276847</v>
      </c>
      <c r="BF131" s="170">
        <f t="shared" si="10"/>
        <v>454690.18921316252</v>
      </c>
      <c r="BG131" s="2">
        <f t="shared" si="11"/>
        <v>1152491.1639671836</v>
      </c>
      <c r="BI131">
        <f t="shared" si="12"/>
        <v>0</v>
      </c>
      <c r="BJ131" s="95">
        <f t="shared" si="13"/>
        <v>1</v>
      </c>
      <c r="BP131" s="217">
        <f t="shared" si="16"/>
        <v>1152491.1639671836</v>
      </c>
    </row>
    <row r="132" spans="1:68">
      <c r="A132" s="11">
        <v>126</v>
      </c>
      <c r="C132" s="27">
        <v>0.92266229362365593</v>
      </c>
      <c r="D132" s="27">
        <v>7.7337706376344073E-2</v>
      </c>
      <c r="E132" s="27">
        <v>0</v>
      </c>
      <c r="F132" s="27">
        <v>0.85826088586303184</v>
      </c>
      <c r="G132" s="27">
        <v>0.14173911413696821</v>
      </c>
      <c r="H132" s="27">
        <v>0</v>
      </c>
      <c r="I132" s="27">
        <v>0.75911341193285042</v>
      </c>
      <c r="J132" s="27">
        <v>0.24088658806714955</v>
      </c>
      <c r="K132" s="27">
        <v>0</v>
      </c>
      <c r="L132" s="27">
        <v>-2.5267702509720547E-2</v>
      </c>
      <c r="M132" s="27">
        <v>0.60891373309070773</v>
      </c>
      <c r="N132" s="27">
        <v>0.41635396941901281</v>
      </c>
      <c r="O132" s="27">
        <v>-11.45189401754333</v>
      </c>
      <c r="P132" s="27">
        <v>3.7625727427013166E-2</v>
      </c>
      <c r="Q132" s="27">
        <v>5.1619375301896882E-5</v>
      </c>
      <c r="R132" s="27">
        <v>1.0909846140626422</v>
      </c>
      <c r="S132" s="154"/>
      <c r="T132">
        <v>1.0290608453360119</v>
      </c>
      <c r="U132">
        <v>2.2792505564969479</v>
      </c>
      <c r="V132">
        <v>2.9041973790187248</v>
      </c>
      <c r="W132">
        <v>1</v>
      </c>
      <c r="Y132" s="2">
        <v>2572.0237018280632</v>
      </c>
      <c r="Z132" s="2">
        <v>4403.6419170602567</v>
      </c>
      <c r="AA132" s="2">
        <v>687.80314062627974</v>
      </c>
      <c r="AB132" s="2">
        <v>731.31865773278651</v>
      </c>
      <c r="AC132" s="2">
        <v>2009.8102925183107</v>
      </c>
      <c r="AD132" s="2">
        <v>262.38497876855081</v>
      </c>
      <c r="AE132" s="2">
        <v>579.86635055663203</v>
      </c>
      <c r="AF132" s="2">
        <v>1096.2631298191991</v>
      </c>
      <c r="AG132" s="2">
        <v>68.239956104260145</v>
      </c>
      <c r="AH132" s="2">
        <v>491.59248859195554</v>
      </c>
      <c r="AI132" s="2">
        <v>448947.63513989019</v>
      </c>
      <c r="AJ132" s="2">
        <v>428150.12968420814</v>
      </c>
      <c r="AL132" s="27">
        <v>0.92331260500704349</v>
      </c>
      <c r="AM132" s="27">
        <v>0.91486419323993684</v>
      </c>
      <c r="AN132" s="27">
        <v>0.9054617391356935</v>
      </c>
      <c r="AO132" s="27">
        <v>0.86562012558809243</v>
      </c>
      <c r="AP132" s="27">
        <v>0.71914646658922943</v>
      </c>
      <c r="AQ132" s="27">
        <v>0.92331260500704349</v>
      </c>
      <c r="AR132" s="27">
        <v>0.91486419323993684</v>
      </c>
      <c r="AS132" s="27">
        <v>0.9054617391356935</v>
      </c>
      <c r="AT132" s="27">
        <v>0.86562012558809243</v>
      </c>
      <c r="AU132" s="27">
        <v>0.71914646658922943</v>
      </c>
      <c r="AW132" s="1">
        <v>13.611571400273434</v>
      </c>
      <c r="AX132" s="1">
        <v>15.563025246901633</v>
      </c>
      <c r="AY132" s="2">
        <v>1913850.9526053255</v>
      </c>
      <c r="AZ132" s="1">
        <v>15.520640117372526</v>
      </c>
      <c r="BA132" s="1">
        <v>17.429030668765414</v>
      </c>
      <c r="BB132" s="2">
        <v>1281523.4422944505</v>
      </c>
      <c r="BC132" s="2">
        <f t="shared" si="14"/>
        <v>-632327.51031087502</v>
      </c>
      <c r="BD132" s="292">
        <f t="shared" si="15"/>
        <v>1.9090687170990925</v>
      </c>
      <c r="BF132" s="170">
        <f t="shared" si="10"/>
        <v>264000.47143842396</v>
      </c>
      <c r="BG132" s="2">
        <f t="shared" si="11"/>
        <v>1201778.9764851537</v>
      </c>
      <c r="BI132">
        <f t="shared" si="12"/>
        <v>0</v>
      </c>
      <c r="BJ132" s="95">
        <f t="shared" si="13"/>
        <v>1</v>
      </c>
      <c r="BP132" s="217">
        <f t="shared" si="16"/>
        <v>1201778.9764851537</v>
      </c>
    </row>
    <row r="133" spans="1:68">
      <c r="A133" s="11">
        <v>127</v>
      </c>
      <c r="C133" s="27">
        <v>0.92269554688555544</v>
      </c>
      <c r="D133" s="27">
        <v>7.730445311444456E-2</v>
      </c>
      <c r="E133" s="27">
        <v>0</v>
      </c>
      <c r="F133" s="27">
        <v>0.8599314271754922</v>
      </c>
      <c r="G133" s="27">
        <v>0.1400685728245078</v>
      </c>
      <c r="H133" s="27">
        <v>0</v>
      </c>
      <c r="I133" s="27">
        <v>0.75663459878270911</v>
      </c>
      <c r="J133" s="27">
        <v>0.24336540121729089</v>
      </c>
      <c r="K133" s="27">
        <v>0</v>
      </c>
      <c r="L133" s="27">
        <v>0.16032720651301346</v>
      </c>
      <c r="M133" s="27">
        <v>0.41928476289134003</v>
      </c>
      <c r="N133" s="27">
        <v>0.42038803059564644</v>
      </c>
      <c r="O133" s="27">
        <v>-11.240971826226815</v>
      </c>
      <c r="P133" s="27">
        <v>3.7258597660462231E-2</v>
      </c>
      <c r="Q133" s="27">
        <v>6.2765140606731092E-5</v>
      </c>
      <c r="R133" s="27">
        <v>1.0721142205605403</v>
      </c>
      <c r="S133" s="154"/>
      <c r="T133">
        <v>0.99583107600719878</v>
      </c>
      <c r="U133">
        <v>2.2320117061614515</v>
      </c>
      <c r="V133">
        <v>3.2209017575437113</v>
      </c>
      <c r="W133">
        <v>1</v>
      </c>
      <c r="Y133" s="2">
        <v>768.08339545220372</v>
      </c>
      <c r="Z133" s="2">
        <v>1527.3530498774605</v>
      </c>
      <c r="AA133" s="2">
        <v>79.032625561030912</v>
      </c>
      <c r="AB133" s="2">
        <v>1535.530920655005</v>
      </c>
      <c r="AC133" s="2">
        <v>20.587575964333936</v>
      </c>
      <c r="AD133" s="2">
        <v>417.24457961492851</v>
      </c>
      <c r="AE133" s="2">
        <v>565.71298131233016</v>
      </c>
      <c r="AF133" s="2">
        <v>983.78314804518322</v>
      </c>
      <c r="AG133" s="2">
        <v>109.46092179089123</v>
      </c>
      <c r="AH133" s="2">
        <v>497.26841636332978</v>
      </c>
      <c r="AI133" s="2">
        <v>414234.86839517875</v>
      </c>
      <c r="AJ133" s="2">
        <v>376565.42328987434</v>
      </c>
      <c r="AL133" s="27">
        <v>0.9122898320764129</v>
      </c>
      <c r="AM133" s="27">
        <v>0.9149116855142535</v>
      </c>
      <c r="AN133" s="27">
        <v>0.90805762501705023</v>
      </c>
      <c r="AO133" s="27">
        <v>0.84089928459952679</v>
      </c>
      <c r="AP133" s="27">
        <v>0.67412754762596661</v>
      </c>
      <c r="AQ133" s="27">
        <v>0.9122898320764129</v>
      </c>
      <c r="AR133" s="27">
        <v>0.9149116855142535</v>
      </c>
      <c r="AS133" s="27">
        <v>0.90805762501705023</v>
      </c>
      <c r="AT133" s="27">
        <v>0.84089928459952679</v>
      </c>
      <c r="AU133" s="27">
        <v>0.67412754762596661</v>
      </c>
      <c r="AW133" s="1">
        <v>13.132318908034314</v>
      </c>
      <c r="AX133" s="1">
        <v>15.169769059979446</v>
      </c>
      <c r="AY133" s="2">
        <v>1323144.9375204239</v>
      </c>
      <c r="AZ133" s="1">
        <v>15.117269751062922</v>
      </c>
      <c r="BA133" s="1">
        <v>17.116632213042585</v>
      </c>
      <c r="BB133" s="2">
        <v>949776.80765603052</v>
      </c>
      <c r="BC133" s="2">
        <f t="shared" si="14"/>
        <v>-373368.12986439338</v>
      </c>
      <c r="BD133" s="292">
        <f t="shared" si="15"/>
        <v>1.9849508430286082</v>
      </c>
      <c r="BF133" s="170">
        <f t="shared" si="10"/>
        <v>778026.08776506642</v>
      </c>
      <c r="BG133" s="2">
        <f t="shared" si="11"/>
        <v>1468986.3525140369</v>
      </c>
      <c r="BI133">
        <f t="shared" si="12"/>
        <v>0</v>
      </c>
      <c r="BJ133" s="95">
        <f t="shared" si="13"/>
        <v>1</v>
      </c>
      <c r="BP133" s="217">
        <f t="shared" si="16"/>
        <v>1468986.3525140369</v>
      </c>
    </row>
    <row r="134" spans="1:68">
      <c r="A134" s="11">
        <v>128</v>
      </c>
      <c r="C134" s="27">
        <v>0.92335832592219091</v>
      </c>
      <c r="D134" s="27">
        <v>7.664167407780903E-2</v>
      </c>
      <c r="E134" s="27">
        <v>0</v>
      </c>
      <c r="F134" s="27">
        <v>0.85409642280215603</v>
      </c>
      <c r="G134" s="27">
        <v>0.14590357719784397</v>
      </c>
      <c r="H134" s="27">
        <v>0</v>
      </c>
      <c r="I134" s="27">
        <v>0.74231830859025616</v>
      </c>
      <c r="J134" s="27">
        <v>0.25768169140974384</v>
      </c>
      <c r="K134" s="27">
        <v>0</v>
      </c>
      <c r="L134" s="27">
        <v>0.10974534879962472</v>
      </c>
      <c r="M134" s="27">
        <v>0.48481297182485489</v>
      </c>
      <c r="N134" s="27">
        <v>0.40544167937552045</v>
      </c>
      <c r="O134" s="27">
        <v>-11.162627375514276</v>
      </c>
      <c r="P134" s="27">
        <v>3.3927745908877448E-2</v>
      </c>
      <c r="Q134" s="27">
        <v>5.9018355791100564E-5</v>
      </c>
      <c r="R134" s="27">
        <v>1.0766901195866909</v>
      </c>
      <c r="S134" s="154"/>
      <c r="T134">
        <v>1.0475660681228696</v>
      </c>
      <c r="U134">
        <v>2.3008645944210282</v>
      </c>
      <c r="V134">
        <v>2.7033722923396479</v>
      </c>
      <c r="W134">
        <v>1</v>
      </c>
      <c r="Y134" s="2">
        <v>163.45030737623355</v>
      </c>
      <c r="Z134" s="2">
        <v>9245.3256130713107</v>
      </c>
      <c r="AA134" s="2">
        <v>972.22259913009088</v>
      </c>
      <c r="AB134" s="2">
        <v>11741.345991552698</v>
      </c>
      <c r="AC134" s="2">
        <v>3.1167287156729664</v>
      </c>
      <c r="AD134" s="2">
        <v>2773.3030858943162</v>
      </c>
      <c r="AE134" s="2">
        <v>552.325599810619</v>
      </c>
      <c r="AF134" s="2">
        <v>924.96907636050355</v>
      </c>
      <c r="AG134" s="2">
        <v>118.74093865148129</v>
      </c>
      <c r="AH134" s="2">
        <v>440.02963335790781</v>
      </c>
      <c r="AI134" s="2">
        <v>369061.63029460964</v>
      </c>
      <c r="AJ134" s="2">
        <v>345728.02463443176</v>
      </c>
      <c r="AL134" s="27">
        <v>0.91464373667946641</v>
      </c>
      <c r="AM134" s="27">
        <v>0.91876238448419278</v>
      </c>
      <c r="AN134" s="27">
        <v>0.90247221987176129</v>
      </c>
      <c r="AO134" s="27">
        <v>0.81976578804558242</v>
      </c>
      <c r="AP134" s="27">
        <v>0.77245744981397402</v>
      </c>
      <c r="AQ134" s="27">
        <v>0.91464373667946641</v>
      </c>
      <c r="AR134" s="27">
        <v>0.91876238448419278</v>
      </c>
      <c r="AS134" s="27">
        <v>0.90247221987176129</v>
      </c>
      <c r="AT134" s="27">
        <v>0.81976578804558242</v>
      </c>
      <c r="AU134" s="27">
        <v>0.77245744981397402</v>
      </c>
      <c r="AW134" s="1">
        <v>13.465033412612314</v>
      </c>
      <c r="AX134" s="1">
        <v>15.277422991019968</v>
      </c>
      <c r="AY134" s="2">
        <v>1461578.2230375663</v>
      </c>
      <c r="AZ134" s="1">
        <v>15.358643548083601</v>
      </c>
      <c r="BA134" s="1">
        <v>17.190901551807489</v>
      </c>
      <c r="BB134" s="2">
        <v>1200205.1964391347</v>
      </c>
      <c r="BC134" s="2">
        <f t="shared" si="14"/>
        <v>-261373.02659843164</v>
      </c>
      <c r="BD134" s="292">
        <f t="shared" si="15"/>
        <v>1.8936101354712864</v>
      </c>
      <c r="BF134" s="170">
        <f t="shared" si="10"/>
        <v>692827.12298040395</v>
      </c>
      <c r="BG134" s="2">
        <f t="shared" si="11"/>
        <v>1257177.7712542412</v>
      </c>
      <c r="BI134">
        <f t="shared" si="12"/>
        <v>0</v>
      </c>
      <c r="BJ134" s="95">
        <f t="shared" si="13"/>
        <v>1</v>
      </c>
      <c r="BP134" s="217">
        <f t="shared" si="16"/>
        <v>1257177.7712542412</v>
      </c>
    </row>
    <row r="135" spans="1:68">
      <c r="A135" s="11">
        <v>129</v>
      </c>
      <c r="C135" s="27">
        <v>0.92115778169648099</v>
      </c>
      <c r="D135" s="27">
        <v>7.8842218303519007E-2</v>
      </c>
      <c r="E135" s="27">
        <v>0</v>
      </c>
      <c r="F135" s="27">
        <v>0.85540583469515996</v>
      </c>
      <c r="G135" s="27">
        <v>0.14459416530484004</v>
      </c>
      <c r="H135" s="27">
        <v>0</v>
      </c>
      <c r="I135" s="27">
        <v>0.74635124214391191</v>
      </c>
      <c r="J135" s="27">
        <v>0.25364875785608809</v>
      </c>
      <c r="K135" s="27">
        <v>0</v>
      </c>
      <c r="L135" s="27">
        <v>7.4295181593723836E-2</v>
      </c>
      <c r="M135" s="27">
        <v>0.53760592144918495</v>
      </c>
      <c r="N135" s="27">
        <v>0.38809889695709121</v>
      </c>
      <c r="O135" s="27">
        <v>-11.104719498358754</v>
      </c>
      <c r="P135" s="27">
        <v>3.2469005708113105E-2</v>
      </c>
      <c r="Q135" s="27">
        <v>5.8820433282681031E-5</v>
      </c>
      <c r="R135" s="27">
        <v>1.0805070592307304</v>
      </c>
      <c r="S135" s="154"/>
      <c r="T135">
        <v>1.040288996725947</v>
      </c>
      <c r="U135">
        <v>2.2630375408613537</v>
      </c>
      <c r="V135">
        <v>2.7533561142199958</v>
      </c>
      <c r="W135">
        <v>1</v>
      </c>
      <c r="Y135" s="2">
        <v>2242.9047711944841</v>
      </c>
      <c r="Z135" s="2">
        <v>228.88454240206963</v>
      </c>
      <c r="AA135" s="2">
        <v>1116.9385304756199</v>
      </c>
      <c r="AB135" s="2">
        <v>463.94681724308214</v>
      </c>
      <c r="AC135" s="2">
        <v>734.67975223152848</v>
      </c>
      <c r="AD135" s="2">
        <v>1721.2995608144583</v>
      </c>
      <c r="AE135" s="2">
        <v>555.21764512710627</v>
      </c>
      <c r="AF135" s="2">
        <v>863.66630324394441</v>
      </c>
      <c r="AG135" s="2">
        <v>191.15106616301819</v>
      </c>
      <c r="AH135" s="2">
        <v>346.90421815427737</v>
      </c>
      <c r="AI135" s="2">
        <v>435212.1061260337</v>
      </c>
      <c r="AJ135" s="2">
        <v>394113.51380731893</v>
      </c>
      <c r="AL135" s="27">
        <v>0.91803373268098243</v>
      </c>
      <c r="AM135" s="27">
        <v>0.91712976585074601</v>
      </c>
      <c r="AN135" s="27">
        <v>0.90929458182732026</v>
      </c>
      <c r="AO135" s="27">
        <v>0.82980711818735309</v>
      </c>
      <c r="AP135" s="27">
        <v>0.70981094647349596</v>
      </c>
      <c r="AQ135" s="27">
        <v>0.91803373268098243</v>
      </c>
      <c r="AR135" s="27">
        <v>0.91712976585074601</v>
      </c>
      <c r="AS135" s="27">
        <v>0.90929458182732026</v>
      </c>
      <c r="AT135" s="27">
        <v>0.82980711818735309</v>
      </c>
      <c r="AU135" s="27">
        <v>0.70981094647349596</v>
      </c>
      <c r="AW135" s="1">
        <v>13.375223767641335</v>
      </c>
      <c r="AX135" s="1">
        <v>15.393053656948435</v>
      </c>
      <c r="AY135" s="2">
        <v>1658967.9962526048</v>
      </c>
      <c r="AZ135" s="1">
        <v>15.30467420659938</v>
      </c>
      <c r="BA135" s="1">
        <v>17.268041608588689</v>
      </c>
      <c r="BB135" s="2">
        <v>1193732.7441216351</v>
      </c>
      <c r="BC135" s="2">
        <f t="shared" si="14"/>
        <v>-465235.25213096966</v>
      </c>
      <c r="BD135" s="292">
        <f t="shared" si="15"/>
        <v>1.9294504389580442</v>
      </c>
      <c r="BF135" s="170">
        <f t="shared" ref="BF135:BF198" si="17">AW135*Threshold-AY135</f>
        <v>481067.80657000886</v>
      </c>
      <c r="BG135" s="2">
        <f t="shared" ref="BG135:BG198" si="18">AZ135*Threshold-BB135</f>
        <v>1255015.1289342658</v>
      </c>
      <c r="BI135">
        <f t="shared" ref="BI135:BI198" si="19">IF(MAX($BF135:$BG135)=$BF135,1,0)</f>
        <v>0</v>
      </c>
      <c r="BJ135" s="95">
        <f t="shared" ref="BJ135:BJ198" si="20">IF(MAX($BF135:$BG135)=$BF135,0,1)</f>
        <v>1</v>
      </c>
      <c r="BP135" s="217">
        <f t="shared" si="16"/>
        <v>1255015.1289342658</v>
      </c>
    </row>
    <row r="136" spans="1:68">
      <c r="A136" s="11">
        <v>130</v>
      </c>
      <c r="C136" s="27">
        <v>0.92452327783164323</v>
      </c>
      <c r="D136" s="27">
        <v>7.5476722168356741E-2</v>
      </c>
      <c r="E136" s="27">
        <v>0</v>
      </c>
      <c r="F136" s="27">
        <v>0.85591804241613723</v>
      </c>
      <c r="G136" s="27">
        <v>0.14408195758386277</v>
      </c>
      <c r="H136" s="27">
        <v>0</v>
      </c>
      <c r="I136" s="27">
        <v>0.74514217009766326</v>
      </c>
      <c r="J136" s="27">
        <v>0.25485782990233674</v>
      </c>
      <c r="K136" s="27">
        <v>0</v>
      </c>
      <c r="L136" s="27">
        <v>0.11808284443330241</v>
      </c>
      <c r="M136" s="27">
        <v>0.48723263975576236</v>
      </c>
      <c r="N136" s="27">
        <v>0.39468451581093522</v>
      </c>
      <c r="O136" s="27">
        <v>-10.882774155460062</v>
      </c>
      <c r="P136" s="27">
        <v>3.4922048488317231E-2</v>
      </c>
      <c r="Q136" s="27">
        <v>8.1407095622054317E-5</v>
      </c>
      <c r="R136" s="27">
        <v>1.0359141833314007</v>
      </c>
      <c r="S136" s="154"/>
      <c r="T136">
        <v>1.0579378539120998</v>
      </c>
      <c r="U136">
        <v>2.2533535593292919</v>
      </c>
      <c r="V136">
        <v>3.3450414624239775</v>
      </c>
      <c r="W136">
        <v>1</v>
      </c>
      <c r="Y136" s="2">
        <v>717.47958471581887</v>
      </c>
      <c r="Z136" s="2">
        <v>1213.5393227949471</v>
      </c>
      <c r="AA136" s="2">
        <v>148.23243874573697</v>
      </c>
      <c r="AB136" s="2">
        <v>1352.2364132899763</v>
      </c>
      <c r="AC136" s="2">
        <v>264.79123049251234</v>
      </c>
      <c r="AD136" s="2">
        <v>438.02806774836193</v>
      </c>
      <c r="AE136" s="2">
        <v>598.30028462417772</v>
      </c>
      <c r="AF136" s="2">
        <v>1057.5777070155682</v>
      </c>
      <c r="AG136" s="2">
        <v>139.13298545174695</v>
      </c>
      <c r="AH136" s="2">
        <v>377.64741201746432</v>
      </c>
      <c r="AI136" s="2">
        <v>499017.8247277122</v>
      </c>
      <c r="AJ136" s="2">
        <v>451904.25007242704</v>
      </c>
      <c r="AL136" s="27">
        <v>0.91283621332222231</v>
      </c>
      <c r="AM136" s="27">
        <v>0.9195385702733504</v>
      </c>
      <c r="AN136" s="27">
        <v>0.90659358784139232</v>
      </c>
      <c r="AO136" s="27">
        <v>0.88100506689504388</v>
      </c>
      <c r="AP136" s="27">
        <v>0.67167770997532017</v>
      </c>
      <c r="AQ136" s="27">
        <v>0.91283621332222231</v>
      </c>
      <c r="AR136" s="27">
        <v>0.9195385702733504</v>
      </c>
      <c r="AS136" s="27">
        <v>0.90659358784139232</v>
      </c>
      <c r="AT136" s="27">
        <v>0.88100506689504388</v>
      </c>
      <c r="AU136" s="27">
        <v>0.67167770997532017</v>
      </c>
      <c r="AW136" s="1">
        <v>13.222666272114285</v>
      </c>
      <c r="AX136" s="1">
        <v>15.364278334376699</v>
      </c>
      <c r="AY136" s="2">
        <v>1862495.9547738968</v>
      </c>
      <c r="AZ136" s="1">
        <v>15.286928252282701</v>
      </c>
      <c r="BA136" s="1">
        <v>17.342915813273059</v>
      </c>
      <c r="BB136" s="2">
        <v>1296238.4771288531</v>
      </c>
      <c r="BC136" s="2">
        <f t="shared" ref="BC136:BC199" si="21">BB136-AY136</f>
        <v>-566257.47764504375</v>
      </c>
      <c r="BD136" s="292">
        <f t="shared" ref="BD136:BD199" si="22">AZ136-AW136</f>
        <v>2.0642619801684159</v>
      </c>
      <c r="BF136" s="170">
        <f t="shared" si="17"/>
        <v>253130.64876438864</v>
      </c>
      <c r="BG136" s="2">
        <f t="shared" si="18"/>
        <v>1149670.043236379</v>
      </c>
      <c r="BI136">
        <f t="shared" si="19"/>
        <v>0</v>
      </c>
      <c r="BJ136" s="95">
        <f t="shared" si="20"/>
        <v>1</v>
      </c>
      <c r="BP136" s="217">
        <f t="shared" ref="BP136:BP199" si="23">MAX(BF136,BG136)</f>
        <v>1149670.043236379</v>
      </c>
    </row>
    <row r="137" spans="1:68">
      <c r="A137" s="11">
        <v>131</v>
      </c>
      <c r="C137" s="27">
        <v>0.92322630548672746</v>
      </c>
      <c r="D137" s="27">
        <v>7.6773694513272525E-2</v>
      </c>
      <c r="E137" s="27">
        <v>0</v>
      </c>
      <c r="F137" s="27">
        <v>0.85611115991740816</v>
      </c>
      <c r="G137" s="27">
        <v>0.14388884008259184</v>
      </c>
      <c r="H137" s="27">
        <v>0</v>
      </c>
      <c r="I137" s="27">
        <v>0.75859146755025764</v>
      </c>
      <c r="J137" s="27">
        <v>0.24140853244974234</v>
      </c>
      <c r="K137" s="27">
        <v>0</v>
      </c>
      <c r="L137" s="27">
        <v>0.20934533769005054</v>
      </c>
      <c r="M137" s="27">
        <v>0.45097319343709819</v>
      </c>
      <c r="N137" s="27">
        <v>0.33968146887285128</v>
      </c>
      <c r="O137" s="27">
        <v>-11.129744805992287</v>
      </c>
      <c r="P137" s="27">
        <v>3.4805989102238734E-2</v>
      </c>
      <c r="Q137" s="27">
        <v>6.328303566545366E-5</v>
      </c>
      <c r="R137" s="27">
        <v>1.0670332799662514</v>
      </c>
      <c r="S137" s="154"/>
      <c r="T137">
        <v>0.98443965369370556</v>
      </c>
      <c r="U137">
        <v>2.319522816536459</v>
      </c>
      <c r="V137">
        <v>2.9961195398994778</v>
      </c>
      <c r="W137">
        <v>1</v>
      </c>
      <c r="Y137" s="2">
        <v>60.45726975114647</v>
      </c>
      <c r="Z137" s="2">
        <v>1213.0159949535059</v>
      </c>
      <c r="AA137" s="2">
        <v>11292.229353127097</v>
      </c>
      <c r="AB137" s="2">
        <v>4239.0075422061554</v>
      </c>
      <c r="AC137" s="2">
        <v>1060.4168926297573</v>
      </c>
      <c r="AD137" s="2">
        <v>988.53438498288153</v>
      </c>
      <c r="AE137" s="2">
        <v>593.67109121507997</v>
      </c>
      <c r="AF137" s="2">
        <v>907.66487835214321</v>
      </c>
      <c r="AG137" s="2">
        <v>139.26674757939429</v>
      </c>
      <c r="AH137" s="2">
        <v>257.76856041409127</v>
      </c>
      <c r="AI137" s="2">
        <v>453452.72061394725</v>
      </c>
      <c r="AJ137" s="2">
        <v>414291.18326749385</v>
      </c>
      <c r="AL137" s="27">
        <v>0.91880898358532459</v>
      </c>
      <c r="AM137" s="27">
        <v>0.91793433957926474</v>
      </c>
      <c r="AN137" s="27">
        <v>0.90011367256372399</v>
      </c>
      <c r="AO137" s="27">
        <v>0.87558215323492739</v>
      </c>
      <c r="AP137" s="27">
        <v>0.77356251276863763</v>
      </c>
      <c r="AQ137" s="27">
        <v>0.91880898358532459</v>
      </c>
      <c r="AR137" s="27">
        <v>0.91793433957926474</v>
      </c>
      <c r="AS137" s="27">
        <v>0.90011367256372399</v>
      </c>
      <c r="AT137" s="27">
        <v>0.87558215323492739</v>
      </c>
      <c r="AU137" s="27">
        <v>0.77356251276863763</v>
      </c>
      <c r="AW137" s="1">
        <v>13.879372095633267</v>
      </c>
      <c r="AX137" s="1">
        <v>15.661733855409722</v>
      </c>
      <c r="AY137" s="2">
        <v>1666084.098299281</v>
      </c>
      <c r="AZ137" s="1">
        <v>15.623914588302927</v>
      </c>
      <c r="BA137" s="1">
        <v>17.428072086386734</v>
      </c>
      <c r="BB137" s="2">
        <v>1431912.2596172583</v>
      </c>
      <c r="BC137" s="2">
        <f t="shared" si="21"/>
        <v>-234171.83868202264</v>
      </c>
      <c r="BD137" s="292">
        <f t="shared" si="22"/>
        <v>1.7445424926696607</v>
      </c>
      <c r="BF137" s="170">
        <f t="shared" si="17"/>
        <v>554615.43700204161</v>
      </c>
      <c r="BG137" s="2">
        <f t="shared" si="18"/>
        <v>1067914.07451121</v>
      </c>
      <c r="BI137">
        <f t="shared" si="19"/>
        <v>0</v>
      </c>
      <c r="BJ137" s="95">
        <f t="shared" si="20"/>
        <v>1</v>
      </c>
      <c r="BP137" s="217">
        <f t="shared" si="23"/>
        <v>1067914.07451121</v>
      </c>
    </row>
    <row r="138" spans="1:68">
      <c r="A138" s="11">
        <v>132</v>
      </c>
      <c r="C138" s="27">
        <v>0.92177555182732906</v>
      </c>
      <c r="D138" s="27">
        <v>7.8224448172670935E-2</v>
      </c>
      <c r="E138" s="27">
        <v>0</v>
      </c>
      <c r="F138" s="27">
        <v>0.85923169351481021</v>
      </c>
      <c r="G138" s="27">
        <v>0.14076830648518981</v>
      </c>
      <c r="H138" s="27">
        <v>0</v>
      </c>
      <c r="I138" s="27">
        <v>0.75048118051111845</v>
      </c>
      <c r="J138" s="27">
        <v>0.2495188194888816</v>
      </c>
      <c r="K138" s="27">
        <v>0</v>
      </c>
      <c r="L138" s="27">
        <v>0.11996054597316474</v>
      </c>
      <c r="M138" s="27">
        <v>0.57614650924760724</v>
      </c>
      <c r="N138" s="27">
        <v>0.30389294477922801</v>
      </c>
      <c r="O138" s="27">
        <v>-11.445904162303</v>
      </c>
      <c r="P138" s="27">
        <v>3.5007092376578286E-2</v>
      </c>
      <c r="Q138" s="27">
        <v>4.6521021024121196E-5</v>
      </c>
      <c r="R138" s="27">
        <v>1.1093001221310046</v>
      </c>
      <c r="S138" s="154"/>
      <c r="T138">
        <v>1.1117995118000641</v>
      </c>
      <c r="U138">
        <v>2.2475363610842889</v>
      </c>
      <c r="V138">
        <v>2.9655060738866141</v>
      </c>
      <c r="W138">
        <v>1</v>
      </c>
      <c r="Y138" s="2">
        <v>9.5781460459367018</v>
      </c>
      <c r="Z138" s="2">
        <v>1437.4475647604404</v>
      </c>
      <c r="AA138" s="2">
        <v>663.58258718371872</v>
      </c>
      <c r="AB138" s="2">
        <v>2721.4516438478972</v>
      </c>
      <c r="AC138" s="2">
        <v>5202.1945307008355</v>
      </c>
      <c r="AD138" s="2">
        <v>863.40390833314098</v>
      </c>
      <c r="AE138" s="2">
        <v>548.29424685958168</v>
      </c>
      <c r="AF138" s="2">
        <v>1103.8587420337549</v>
      </c>
      <c r="AG138" s="2">
        <v>80.394621165174897</v>
      </c>
      <c r="AH138" s="2">
        <v>711.52787487548494</v>
      </c>
      <c r="AI138" s="2">
        <v>621353.04058198328</v>
      </c>
      <c r="AJ138" s="2">
        <v>584119.56477595307</v>
      </c>
      <c r="AL138" s="27">
        <v>0.91789503046775267</v>
      </c>
      <c r="AM138" s="27">
        <v>0.91774926034374171</v>
      </c>
      <c r="AN138" s="27">
        <v>0.90841909033764423</v>
      </c>
      <c r="AO138" s="27">
        <v>0.83701710520733108</v>
      </c>
      <c r="AP138" s="27">
        <v>0.69656722721909925</v>
      </c>
      <c r="AQ138" s="27">
        <v>0.91789503046775267</v>
      </c>
      <c r="AR138" s="27">
        <v>0.91774926034374171</v>
      </c>
      <c r="AS138" s="27">
        <v>0.90841909033764423</v>
      </c>
      <c r="AT138" s="27">
        <v>0.83701710520733108</v>
      </c>
      <c r="AU138" s="27">
        <v>0.69656722721909925</v>
      </c>
      <c r="AW138" s="1">
        <v>13.44668261749929</v>
      </c>
      <c r="AX138" s="1">
        <v>15.625907043422975</v>
      </c>
      <c r="AY138" s="2">
        <v>2788397.107488764</v>
      </c>
      <c r="AZ138" s="1">
        <v>15.53636264200704</v>
      </c>
      <c r="BA138" s="1">
        <v>17.60109894959276</v>
      </c>
      <c r="BB138" s="2">
        <v>1896348.5190753962</v>
      </c>
      <c r="BC138" s="2">
        <f t="shared" si="21"/>
        <v>-892048.58841336775</v>
      </c>
      <c r="BD138" s="292">
        <f t="shared" si="22"/>
        <v>2.08968002450775</v>
      </c>
      <c r="BF138" s="170">
        <f t="shared" si="17"/>
        <v>-636927.88868887769</v>
      </c>
      <c r="BG138" s="2">
        <f t="shared" si="18"/>
        <v>589469.50364572997</v>
      </c>
      <c r="BI138">
        <f t="shared" si="19"/>
        <v>0</v>
      </c>
      <c r="BJ138" s="95">
        <f t="shared" si="20"/>
        <v>1</v>
      </c>
      <c r="BP138" s="217">
        <f t="shared" si="23"/>
        <v>589469.50364572997</v>
      </c>
    </row>
    <row r="139" spans="1:68">
      <c r="A139" s="11">
        <v>133</v>
      </c>
      <c r="C139" s="27">
        <v>0.92406009256161314</v>
      </c>
      <c r="D139" s="27">
        <v>7.5939907438386869E-2</v>
      </c>
      <c r="E139" s="27">
        <v>0</v>
      </c>
      <c r="F139" s="27">
        <v>0.86267999359836989</v>
      </c>
      <c r="G139" s="27">
        <v>0.13732000640163014</v>
      </c>
      <c r="H139" s="27">
        <v>0</v>
      </c>
      <c r="I139" s="27">
        <v>0.75027130018953925</v>
      </c>
      <c r="J139" s="27">
        <v>0.24972869981046072</v>
      </c>
      <c r="K139" s="27">
        <v>0</v>
      </c>
      <c r="L139" s="27">
        <v>0.2302391927718434</v>
      </c>
      <c r="M139" s="27">
        <v>0.43682547818864487</v>
      </c>
      <c r="N139" s="27">
        <v>0.33293532903951167</v>
      </c>
      <c r="O139" s="27">
        <v>-11.016517604999683</v>
      </c>
      <c r="P139" s="27">
        <v>3.5464145337871802E-2</v>
      </c>
      <c r="Q139" s="27">
        <v>7.2856157871086275E-5</v>
      </c>
      <c r="R139" s="27">
        <v>1.0432631605100731</v>
      </c>
      <c r="S139" s="154"/>
      <c r="T139">
        <v>0.93174466482236806</v>
      </c>
      <c r="U139">
        <v>2.269828294746421</v>
      </c>
      <c r="V139">
        <v>3.2836466302292404</v>
      </c>
      <c r="W139">
        <v>1</v>
      </c>
      <c r="Y139" s="2">
        <v>421.30748717038796</v>
      </c>
      <c r="Z139" s="2">
        <v>850.47958118500787</v>
      </c>
      <c r="AA139" s="2">
        <v>1427.7934538580569</v>
      </c>
      <c r="AB139" s="2">
        <v>8069.2196336948246</v>
      </c>
      <c r="AC139" s="2">
        <v>555.1704092401601</v>
      </c>
      <c r="AD139" s="2">
        <v>4220.9539370866678</v>
      </c>
      <c r="AE139" s="2">
        <v>557.72036019850646</v>
      </c>
      <c r="AF139" s="2">
        <v>1161.3549217907523</v>
      </c>
      <c r="AG139" s="2">
        <v>97.437139159544046</v>
      </c>
      <c r="AH139" s="2">
        <v>362.62862902383188</v>
      </c>
      <c r="AI139" s="2">
        <v>515078.70400140731</v>
      </c>
      <c r="AJ139" s="2">
        <v>482381.58701255725</v>
      </c>
      <c r="AL139" s="27">
        <v>0.92183000179036068</v>
      </c>
      <c r="AM139" s="27">
        <v>0.9103486371703754</v>
      </c>
      <c r="AN139" s="27">
        <v>0.91401937001323708</v>
      </c>
      <c r="AO139" s="27">
        <v>0.85947161501784652</v>
      </c>
      <c r="AP139" s="27">
        <v>0.62301738337844725</v>
      </c>
      <c r="AQ139" s="27">
        <v>0.92183000179036068</v>
      </c>
      <c r="AR139" s="27">
        <v>0.9103486371703754</v>
      </c>
      <c r="AS139" s="27">
        <v>0.91401937001323708</v>
      </c>
      <c r="AT139" s="27">
        <v>0.85947161501784652</v>
      </c>
      <c r="AU139" s="27">
        <v>0.62301738337844725</v>
      </c>
      <c r="AW139" s="1">
        <v>13.688748155003095</v>
      </c>
      <c r="AX139" s="1">
        <v>15.950135649176174</v>
      </c>
      <c r="AY139" s="2">
        <v>1908661.1026588175</v>
      </c>
      <c r="AZ139" s="1">
        <v>15.403551231788025</v>
      </c>
      <c r="BA139" s="1">
        <v>17.546394023290816</v>
      </c>
      <c r="BB139" s="2">
        <v>1592831.5044977439</v>
      </c>
      <c r="BC139" s="2">
        <f t="shared" si="21"/>
        <v>-315829.59816107363</v>
      </c>
      <c r="BD139" s="292">
        <f t="shared" si="22"/>
        <v>1.7148030767849303</v>
      </c>
      <c r="BF139" s="170">
        <f t="shared" si="17"/>
        <v>281538.60214167787</v>
      </c>
      <c r="BG139" s="2">
        <f t="shared" si="18"/>
        <v>871736.69258834026</v>
      </c>
      <c r="BI139">
        <f t="shared" si="19"/>
        <v>0</v>
      </c>
      <c r="BJ139" s="95">
        <f t="shared" si="20"/>
        <v>1</v>
      </c>
      <c r="BP139" s="217">
        <f t="shared" si="23"/>
        <v>871736.69258834026</v>
      </c>
    </row>
    <row r="140" spans="1:68">
      <c r="A140" s="11">
        <v>134</v>
      </c>
      <c r="C140" s="27">
        <v>0.91981674914908718</v>
      </c>
      <c r="D140" s="27">
        <v>8.0183250850912824E-2</v>
      </c>
      <c r="E140" s="27">
        <v>0</v>
      </c>
      <c r="F140" s="27">
        <v>0.85029827504080746</v>
      </c>
      <c r="G140" s="27">
        <v>0.14970172495919254</v>
      </c>
      <c r="H140" s="27">
        <v>0</v>
      </c>
      <c r="I140" s="27">
        <v>0.74547118204497931</v>
      </c>
      <c r="J140" s="27">
        <v>0.25452881795502069</v>
      </c>
      <c r="K140" s="27">
        <v>0</v>
      </c>
      <c r="L140" s="27">
        <v>0.12552099072492179</v>
      </c>
      <c r="M140" s="27">
        <v>0.52323624133099134</v>
      </c>
      <c r="N140" s="27">
        <v>0.35124276794408688</v>
      </c>
      <c r="O140" s="27">
        <v>-11.114268879859143</v>
      </c>
      <c r="P140" s="27">
        <v>3.6002688147509586E-2</v>
      </c>
      <c r="Q140" s="27">
        <v>6.7582872144423715E-5</v>
      </c>
      <c r="R140" s="27">
        <v>1.0604011109250155</v>
      </c>
      <c r="S140" s="154"/>
      <c r="T140">
        <v>1.0369055977508066</v>
      </c>
      <c r="U140">
        <v>2.3282323035924293</v>
      </c>
      <c r="V140">
        <v>2.956502922858137</v>
      </c>
      <c r="W140">
        <v>1</v>
      </c>
      <c r="Y140" s="2">
        <v>6260.2927976478568</v>
      </c>
      <c r="Z140" s="2">
        <v>3962.5250015423685</v>
      </c>
      <c r="AA140" s="2">
        <v>2739.15498780499</v>
      </c>
      <c r="AB140" s="2">
        <v>13851.976273618391</v>
      </c>
      <c r="AC140" s="2">
        <v>400.29124318903456</v>
      </c>
      <c r="AD140" s="2">
        <v>894.20345847402723</v>
      </c>
      <c r="AE140" s="2">
        <v>527.79444155548606</v>
      </c>
      <c r="AF140" s="2">
        <v>1069.5126435298469</v>
      </c>
      <c r="AG140" s="2">
        <v>92.034709135777121</v>
      </c>
      <c r="AH140" s="2">
        <v>505.41809797515918</v>
      </c>
      <c r="AI140" s="2">
        <v>461402.72808093164</v>
      </c>
      <c r="AJ140" s="2">
        <v>421413.69321535859</v>
      </c>
      <c r="AL140" s="27">
        <v>0.9144540159994321</v>
      </c>
      <c r="AM140" s="27">
        <v>0.91236972798492999</v>
      </c>
      <c r="AN140" s="27">
        <v>0.90686587857429346</v>
      </c>
      <c r="AO140" s="27">
        <v>0.8503902305465002</v>
      </c>
      <c r="AP140" s="27">
        <v>0.6045473897492043</v>
      </c>
      <c r="AQ140" s="27">
        <v>0.9144540159994321</v>
      </c>
      <c r="AR140" s="27">
        <v>0.91236972798492999</v>
      </c>
      <c r="AS140" s="27">
        <v>0.90686587857429346</v>
      </c>
      <c r="AT140" s="27">
        <v>0.8503902305465002</v>
      </c>
      <c r="AU140" s="27">
        <v>0.6045473897492043</v>
      </c>
      <c r="AW140" s="1">
        <v>12.973237422858043</v>
      </c>
      <c r="AX140" s="1">
        <v>15.450192919370442</v>
      </c>
      <c r="AY140" s="2">
        <v>1990060.0746012952</v>
      </c>
      <c r="AZ140" s="1">
        <v>15.009540413506647</v>
      </c>
      <c r="BA140" s="1">
        <v>17.319976628931631</v>
      </c>
      <c r="BB140" s="2">
        <v>1593780.7936866104</v>
      </c>
      <c r="BC140" s="2">
        <f t="shared" si="21"/>
        <v>-396279.28091468476</v>
      </c>
      <c r="BD140" s="292">
        <f t="shared" si="22"/>
        <v>2.0363029906486041</v>
      </c>
      <c r="BF140" s="170">
        <f t="shared" si="17"/>
        <v>85657.913055991754</v>
      </c>
      <c r="BG140" s="2">
        <f t="shared" si="18"/>
        <v>807745.67247445299</v>
      </c>
      <c r="BI140">
        <f t="shared" si="19"/>
        <v>0</v>
      </c>
      <c r="BJ140" s="95">
        <f t="shared" si="20"/>
        <v>1</v>
      </c>
      <c r="BP140" s="217">
        <f t="shared" si="23"/>
        <v>807745.67247445299</v>
      </c>
    </row>
    <row r="141" spans="1:68">
      <c r="A141" s="11">
        <v>135</v>
      </c>
      <c r="C141" s="27">
        <v>0.92666808392399702</v>
      </c>
      <c r="D141" s="27">
        <v>7.3331916076002937E-2</v>
      </c>
      <c r="E141" s="27">
        <v>0</v>
      </c>
      <c r="F141" s="27">
        <v>0.85385296228562702</v>
      </c>
      <c r="G141" s="27">
        <v>0.14614703771437298</v>
      </c>
      <c r="H141" s="27">
        <v>0</v>
      </c>
      <c r="I141" s="27">
        <v>0.7495118944438075</v>
      </c>
      <c r="J141" s="27">
        <v>0.2504881055561925</v>
      </c>
      <c r="K141" s="27">
        <v>0</v>
      </c>
      <c r="L141" s="27">
        <v>0.10334047428353504</v>
      </c>
      <c r="M141" s="27">
        <v>0.56532567749193863</v>
      </c>
      <c r="N141" s="27">
        <v>0.33133384822452633</v>
      </c>
      <c r="O141" s="27">
        <v>-11.255741372914846</v>
      </c>
      <c r="P141" s="27">
        <v>3.3593899011877051E-2</v>
      </c>
      <c r="Q141" s="27">
        <v>5.3022319288010739E-5</v>
      </c>
      <c r="R141" s="27">
        <v>1.0891295498988773</v>
      </c>
      <c r="S141" s="154"/>
      <c r="T141">
        <v>0.90068425412433062</v>
      </c>
      <c r="U141">
        <v>2.2588573892608959</v>
      </c>
      <c r="V141">
        <v>2.9187059889580036</v>
      </c>
      <c r="W141">
        <v>1</v>
      </c>
      <c r="Y141" s="2">
        <v>760.29811117283464</v>
      </c>
      <c r="Z141" s="2">
        <v>183.29936372390162</v>
      </c>
      <c r="AA141" s="2">
        <v>135.38799531107304</v>
      </c>
      <c r="AB141" s="2">
        <v>8136.4965354520045</v>
      </c>
      <c r="AC141" s="2">
        <v>431.27899643551615</v>
      </c>
      <c r="AD141" s="2">
        <v>196.55903525171465</v>
      </c>
      <c r="AE141" s="2">
        <v>552.48100122933681</v>
      </c>
      <c r="AF141" s="2">
        <v>841.82019849506685</v>
      </c>
      <c r="AG141" s="2">
        <v>282.15378623552346</v>
      </c>
      <c r="AH141" s="2">
        <v>377.30792320639785</v>
      </c>
      <c r="AI141" s="2">
        <v>478940.05871316273</v>
      </c>
      <c r="AJ141" s="2">
        <v>456375.04194429686</v>
      </c>
      <c r="AL141" s="27">
        <v>0.92585855759840996</v>
      </c>
      <c r="AM141" s="27">
        <v>0.91587053344702429</v>
      </c>
      <c r="AN141" s="27">
        <v>0.90727887749870273</v>
      </c>
      <c r="AO141" s="27">
        <v>0.87855579216162971</v>
      </c>
      <c r="AP141" s="27">
        <v>0.79920875886204357</v>
      </c>
      <c r="AQ141" s="27">
        <v>0.92585855759840996</v>
      </c>
      <c r="AR141" s="27">
        <v>0.91587053344702429</v>
      </c>
      <c r="AS141" s="27">
        <v>0.90727887749870273</v>
      </c>
      <c r="AT141" s="27">
        <v>0.87855579216162971</v>
      </c>
      <c r="AU141" s="27">
        <v>0.79920875886204357</v>
      </c>
      <c r="AW141" s="1">
        <v>14.587964644870056</v>
      </c>
      <c r="AX141" s="1">
        <v>16.268490072263052</v>
      </c>
      <c r="AY141" s="2">
        <v>1860872.2756753454</v>
      </c>
      <c r="AZ141" s="1">
        <v>15.918488419938846</v>
      </c>
      <c r="BA141" s="1">
        <v>17.628519751350641</v>
      </c>
      <c r="BB141" s="2">
        <v>1522411.7347819973</v>
      </c>
      <c r="BC141" s="2">
        <f t="shared" si="21"/>
        <v>-338460.54089334817</v>
      </c>
      <c r="BD141" s="292">
        <f t="shared" si="22"/>
        <v>1.3305237750687908</v>
      </c>
      <c r="BF141" s="170">
        <f t="shared" si="17"/>
        <v>473202.06750386325</v>
      </c>
      <c r="BG141" s="2">
        <f t="shared" si="18"/>
        <v>1024546.4124082183</v>
      </c>
      <c r="BI141">
        <f t="shared" si="19"/>
        <v>0</v>
      </c>
      <c r="BJ141" s="95">
        <f t="shared" si="20"/>
        <v>1</v>
      </c>
      <c r="BP141" s="217">
        <f t="shared" si="23"/>
        <v>1024546.4124082183</v>
      </c>
    </row>
    <row r="142" spans="1:68">
      <c r="A142" s="11">
        <v>136</v>
      </c>
      <c r="C142" s="27">
        <v>0.9237912923312217</v>
      </c>
      <c r="D142" s="27">
        <v>7.6208707668778256E-2</v>
      </c>
      <c r="E142" s="27">
        <v>0</v>
      </c>
      <c r="F142" s="27">
        <v>0.85784217543683872</v>
      </c>
      <c r="G142" s="27">
        <v>0.14215782456316128</v>
      </c>
      <c r="H142" s="27">
        <v>0</v>
      </c>
      <c r="I142" s="27">
        <v>0.74755034675513732</v>
      </c>
      <c r="J142" s="27">
        <v>0.25244965324486268</v>
      </c>
      <c r="K142" s="27">
        <v>0</v>
      </c>
      <c r="L142" s="27">
        <v>9.0191397203745916E-2</v>
      </c>
      <c r="M142" s="27">
        <v>0.49680429620169042</v>
      </c>
      <c r="N142" s="27">
        <v>0.41300430659456366</v>
      </c>
      <c r="O142" s="27">
        <v>-11.433206526694262</v>
      </c>
      <c r="P142" s="27">
        <v>3.7518194587884648E-2</v>
      </c>
      <c r="Q142" s="27">
        <v>5.235608691269154E-5</v>
      </c>
      <c r="R142" s="27">
        <v>1.0908251493503642</v>
      </c>
      <c r="S142" s="154"/>
      <c r="T142">
        <v>0.94356903564300687</v>
      </c>
      <c r="U142">
        <v>2.2163110733264775</v>
      </c>
      <c r="V142">
        <v>3.3772602226157296</v>
      </c>
      <c r="W142">
        <v>1</v>
      </c>
      <c r="Y142" s="2">
        <v>161.64662992775172</v>
      </c>
      <c r="Z142" s="2">
        <v>1909.4084772646686</v>
      </c>
      <c r="AA142" s="2">
        <v>1167.9377320392025</v>
      </c>
      <c r="AB142" s="2">
        <v>4450.8196667091388</v>
      </c>
      <c r="AC142" s="2">
        <v>193.35545942948045</v>
      </c>
      <c r="AD142" s="2">
        <v>1106.0889772640699</v>
      </c>
      <c r="AE142" s="2">
        <v>618.91554776855446</v>
      </c>
      <c r="AF142" s="2">
        <v>1034.3771530368479</v>
      </c>
      <c r="AG142" s="2">
        <v>99.426726731693847</v>
      </c>
      <c r="AH142" s="2">
        <v>187.23060810443687</v>
      </c>
      <c r="AI142" s="2">
        <v>530492.35481710534</v>
      </c>
      <c r="AJ142" s="2">
        <v>492600.59475065477</v>
      </c>
      <c r="AL142" s="27">
        <v>0.92129756451527989</v>
      </c>
      <c r="AM142" s="27">
        <v>0.91774880949016779</v>
      </c>
      <c r="AN142" s="27">
        <v>0.91703448800260556</v>
      </c>
      <c r="AO142" s="27">
        <v>0.87784926739436775</v>
      </c>
      <c r="AP142" s="27">
        <v>0.69772003140242478</v>
      </c>
      <c r="AQ142" s="27">
        <v>0.92129756451527989</v>
      </c>
      <c r="AR142" s="27">
        <v>0.91774880949016779</v>
      </c>
      <c r="AS142" s="27">
        <v>0.91703448800260556</v>
      </c>
      <c r="AT142" s="27">
        <v>0.87784926739436775</v>
      </c>
      <c r="AU142" s="27">
        <v>0.69772003140242478</v>
      </c>
      <c r="AW142" s="1">
        <v>13.625890547914626</v>
      </c>
      <c r="AX142" s="1">
        <v>15.550136766450326</v>
      </c>
      <c r="AY142" s="2">
        <v>1835309.9241734159</v>
      </c>
      <c r="AZ142" s="1">
        <v>15.364462719896826</v>
      </c>
      <c r="BA142" s="1">
        <v>17.24466818209633</v>
      </c>
      <c r="BB142" s="2">
        <v>1420338.1304973785</v>
      </c>
      <c r="BC142" s="2">
        <f t="shared" si="21"/>
        <v>-414971.79367603734</v>
      </c>
      <c r="BD142" s="292">
        <f t="shared" si="22"/>
        <v>1.7385721719822005</v>
      </c>
      <c r="BF142" s="170">
        <f t="shared" si="17"/>
        <v>344832.56349292421</v>
      </c>
      <c r="BG142" s="2">
        <f t="shared" si="18"/>
        <v>1037975.9046861136</v>
      </c>
      <c r="BI142">
        <f t="shared" si="19"/>
        <v>0</v>
      </c>
      <c r="BJ142" s="95">
        <f t="shared" si="20"/>
        <v>1</v>
      </c>
      <c r="BP142" s="217">
        <f t="shared" si="23"/>
        <v>1037975.9046861136</v>
      </c>
    </row>
    <row r="143" spans="1:68">
      <c r="A143" s="11">
        <v>137</v>
      </c>
      <c r="C143" s="27">
        <v>0.9223915859201719</v>
      </c>
      <c r="D143" s="27">
        <v>7.7608414079828103E-2</v>
      </c>
      <c r="E143" s="27">
        <v>0</v>
      </c>
      <c r="F143" s="27">
        <v>0.85749747828744005</v>
      </c>
      <c r="G143" s="27">
        <v>0.14250252171255998</v>
      </c>
      <c r="H143" s="27">
        <v>0</v>
      </c>
      <c r="I143" s="27">
        <v>0.74592679665667494</v>
      </c>
      <c r="J143" s="27">
        <v>0.25407320334332506</v>
      </c>
      <c r="K143" s="27">
        <v>0</v>
      </c>
      <c r="L143" s="27">
        <v>9.9742361008274549E-2</v>
      </c>
      <c r="M143" s="27">
        <v>0.53514009159758924</v>
      </c>
      <c r="N143" s="27">
        <v>0.36511754739413621</v>
      </c>
      <c r="O143" s="27">
        <v>-11.156764376690681</v>
      </c>
      <c r="P143" s="27">
        <v>3.507736321872558E-2</v>
      </c>
      <c r="Q143" s="27">
        <v>6.2302118900565271E-5</v>
      </c>
      <c r="R143" s="27">
        <v>1.0691368425595473</v>
      </c>
      <c r="S143" s="154"/>
      <c r="T143">
        <v>0.89333088030321128</v>
      </c>
      <c r="U143">
        <v>2.162140900557143</v>
      </c>
      <c r="V143">
        <v>3.402264358343285</v>
      </c>
      <c r="W143">
        <v>1</v>
      </c>
      <c r="Y143" s="2">
        <v>287.23072243773834</v>
      </c>
      <c r="Z143" s="2">
        <v>3218.3832584678175</v>
      </c>
      <c r="AA143" s="2">
        <v>215.66586859819199</v>
      </c>
      <c r="AB143" s="2">
        <v>4468.6695940085119</v>
      </c>
      <c r="AC143" s="2">
        <v>183.81557057284155</v>
      </c>
      <c r="AD143" s="2">
        <v>318.39436028076938</v>
      </c>
      <c r="AE143" s="2">
        <v>570.51060645392852</v>
      </c>
      <c r="AF143" s="2">
        <v>932.18013439141271</v>
      </c>
      <c r="AG143" s="2">
        <v>125.53188390504752</v>
      </c>
      <c r="AH143" s="2">
        <v>225.30978870175295</v>
      </c>
      <c r="AI143" s="2">
        <v>434048.97827529145</v>
      </c>
      <c r="AJ143" s="2">
        <v>386104.55487453117</v>
      </c>
      <c r="AL143" s="27">
        <v>0.91737654336677954</v>
      </c>
      <c r="AM143" s="27">
        <v>0.90596175900587972</v>
      </c>
      <c r="AN143" s="27">
        <v>0.90610308187388977</v>
      </c>
      <c r="AO143" s="27">
        <v>0.86471747634722818</v>
      </c>
      <c r="AP143" s="27">
        <v>0.67161479386117906</v>
      </c>
      <c r="AQ143" s="27">
        <v>0.91737654336677954</v>
      </c>
      <c r="AR143" s="27">
        <v>0.90596175900587972</v>
      </c>
      <c r="AS143" s="27">
        <v>0.90610308187388977</v>
      </c>
      <c r="AT143" s="27">
        <v>0.86471747634722818</v>
      </c>
      <c r="AU143" s="27">
        <v>0.67161479386117906</v>
      </c>
      <c r="AW143" s="1">
        <v>13.808753464589604</v>
      </c>
      <c r="AX143" s="1">
        <v>15.977732353721979</v>
      </c>
      <c r="AY143" s="2">
        <v>1582263.6628090069</v>
      </c>
      <c r="AZ143" s="1">
        <v>15.306200584238095</v>
      </c>
      <c r="BA143" s="1">
        <v>17.424864614557205</v>
      </c>
      <c r="BB143" s="2">
        <v>1231313.466407042</v>
      </c>
      <c r="BC143" s="2">
        <f t="shared" si="21"/>
        <v>-350950.19640196487</v>
      </c>
      <c r="BD143" s="292">
        <f t="shared" si="22"/>
        <v>1.4974471196484913</v>
      </c>
      <c r="BF143" s="170">
        <f t="shared" si="17"/>
        <v>627136.89152532956</v>
      </c>
      <c r="BG143" s="2">
        <f t="shared" si="18"/>
        <v>1217678.6270710533</v>
      </c>
      <c r="BI143">
        <f t="shared" si="19"/>
        <v>0</v>
      </c>
      <c r="BJ143" s="95">
        <f t="shared" si="20"/>
        <v>1</v>
      </c>
      <c r="BP143" s="217">
        <f t="shared" si="23"/>
        <v>1217678.6270710533</v>
      </c>
    </row>
    <row r="144" spans="1:68">
      <c r="A144" s="11">
        <v>138</v>
      </c>
      <c r="C144" s="27">
        <v>0.92133674659694942</v>
      </c>
      <c r="D144" s="27">
        <v>7.8663253403050581E-2</v>
      </c>
      <c r="E144" s="27">
        <v>0</v>
      </c>
      <c r="F144" s="27">
        <v>0.84773529256904745</v>
      </c>
      <c r="G144" s="27">
        <v>0.15226470743095255</v>
      </c>
      <c r="H144" s="27">
        <v>0</v>
      </c>
      <c r="I144" s="27">
        <v>0.74741322738874116</v>
      </c>
      <c r="J144" s="27">
        <v>0.25258677261125884</v>
      </c>
      <c r="K144" s="27">
        <v>0</v>
      </c>
      <c r="L144" s="27">
        <v>0.11996842616123687</v>
      </c>
      <c r="M144" s="27">
        <v>0.52674824248044005</v>
      </c>
      <c r="N144" s="27">
        <v>0.35328333135832307</v>
      </c>
      <c r="O144" s="27">
        <v>-10.865840488048933</v>
      </c>
      <c r="P144" s="27">
        <v>3.4704472139478783E-2</v>
      </c>
      <c r="Q144" s="27">
        <v>8.2044181403897955E-5</v>
      </c>
      <c r="R144" s="27">
        <v>1.0333023050214809</v>
      </c>
      <c r="S144" s="154"/>
      <c r="T144">
        <v>1.010049273901251</v>
      </c>
      <c r="U144">
        <v>2.2351948727365705</v>
      </c>
      <c r="V144">
        <v>3.2155553948885212</v>
      </c>
      <c r="W144">
        <v>1</v>
      </c>
      <c r="Y144" s="2">
        <v>210.08391584255602</v>
      </c>
      <c r="Z144" s="2">
        <v>625.48756678749214</v>
      </c>
      <c r="AA144" s="2">
        <v>2527.6556238941807</v>
      </c>
      <c r="AB144" s="2">
        <v>2241.3994916169613</v>
      </c>
      <c r="AC144" s="2">
        <v>858.81516772389375</v>
      </c>
      <c r="AD144" s="2">
        <v>3275.6451074138595</v>
      </c>
      <c r="AE144" s="2">
        <v>605.38645046341878</v>
      </c>
      <c r="AF144" s="2">
        <v>827.99975430618815</v>
      </c>
      <c r="AG144" s="2">
        <v>135.93397771258392</v>
      </c>
      <c r="AH144" s="2">
        <v>367.47452368151068</v>
      </c>
      <c r="AI144" s="2">
        <v>436863.81518687884</v>
      </c>
      <c r="AJ144" s="2">
        <v>406753.78015641792</v>
      </c>
      <c r="AL144" s="27">
        <v>0.90961742411769719</v>
      </c>
      <c r="AM144" s="27">
        <v>0.919599349209824</v>
      </c>
      <c r="AN144" s="27">
        <v>0.91490124682228158</v>
      </c>
      <c r="AO144" s="27">
        <v>0.87276724114472581</v>
      </c>
      <c r="AP144" s="27">
        <v>0.58027686619519114</v>
      </c>
      <c r="AQ144" s="27">
        <v>0.90961742411769719</v>
      </c>
      <c r="AR144" s="27">
        <v>0.919599349209824</v>
      </c>
      <c r="AS144" s="27">
        <v>0.91490124682228158</v>
      </c>
      <c r="AT144" s="27">
        <v>0.87276724114472581</v>
      </c>
      <c r="AU144" s="27">
        <v>0.58027686619519114</v>
      </c>
      <c r="AW144" s="1">
        <v>13.053731882426556</v>
      </c>
      <c r="AX144" s="1">
        <v>15.647985321446175</v>
      </c>
      <c r="AY144" s="2">
        <v>1823913.6302773678</v>
      </c>
      <c r="AZ144" s="1">
        <v>15.016072908547757</v>
      </c>
      <c r="BA144" s="1">
        <v>17.399883781914809</v>
      </c>
      <c r="BB144" s="2">
        <v>1414973.666736498</v>
      </c>
      <c r="BC144" s="2">
        <f t="shared" si="21"/>
        <v>-408939.96354086976</v>
      </c>
      <c r="BD144" s="292">
        <f t="shared" si="22"/>
        <v>1.9623410261212015</v>
      </c>
      <c r="BF144" s="170">
        <f t="shared" si="17"/>
        <v>264683.47091088118</v>
      </c>
      <c r="BG144" s="2">
        <f t="shared" si="18"/>
        <v>987597.99863114301</v>
      </c>
      <c r="BI144">
        <f t="shared" si="19"/>
        <v>0</v>
      </c>
      <c r="BJ144" s="95">
        <f t="shared" si="20"/>
        <v>1</v>
      </c>
      <c r="BP144" s="217">
        <f t="shared" si="23"/>
        <v>987597.99863114301</v>
      </c>
    </row>
    <row r="145" spans="1:68">
      <c r="A145" s="11">
        <v>139</v>
      </c>
      <c r="C145" s="27">
        <v>0.92669294800051283</v>
      </c>
      <c r="D145" s="27">
        <v>7.3307051999487186E-2</v>
      </c>
      <c r="E145" s="27">
        <v>0</v>
      </c>
      <c r="F145" s="27">
        <v>0.85371709941384388</v>
      </c>
      <c r="G145" s="27">
        <v>0.14628290058615612</v>
      </c>
      <c r="H145" s="27">
        <v>0</v>
      </c>
      <c r="I145" s="27">
        <v>0.75607853508390344</v>
      </c>
      <c r="J145" s="27">
        <v>0.24392146491609659</v>
      </c>
      <c r="K145" s="27">
        <v>0</v>
      </c>
      <c r="L145" s="27">
        <v>0.15561754074241901</v>
      </c>
      <c r="M145" s="27">
        <v>0.48765928280179599</v>
      </c>
      <c r="N145" s="27">
        <v>0.35672317645578494</v>
      </c>
      <c r="O145" s="27">
        <v>-11.142288297162246</v>
      </c>
      <c r="P145" s="27">
        <v>3.5497542791895709E-2</v>
      </c>
      <c r="Q145" s="27">
        <v>6.4335981207890098E-5</v>
      </c>
      <c r="R145" s="27">
        <v>1.0621378895609137</v>
      </c>
      <c r="S145" s="154"/>
      <c r="T145">
        <v>1.0257261492167</v>
      </c>
      <c r="U145">
        <v>2.2059469576008182</v>
      </c>
      <c r="V145">
        <v>3.0081577158084198</v>
      </c>
      <c r="W145">
        <v>1</v>
      </c>
      <c r="Y145" s="2">
        <v>74.353373260056756</v>
      </c>
      <c r="Z145" s="2">
        <v>229.09052376555104</v>
      </c>
      <c r="AA145" s="2">
        <v>1284.0058575059138</v>
      </c>
      <c r="AB145" s="2">
        <v>6165.9279884838234</v>
      </c>
      <c r="AC145" s="2">
        <v>284.1922595990888</v>
      </c>
      <c r="AD145" s="2">
        <v>1167.603449589187</v>
      </c>
      <c r="AE145" s="2">
        <v>557.20737847262603</v>
      </c>
      <c r="AF145" s="2">
        <v>979.45510316581328</v>
      </c>
      <c r="AG145" s="2">
        <v>167.98651550431754</v>
      </c>
      <c r="AH145" s="2">
        <v>588.09934367342169</v>
      </c>
      <c r="AI145" s="2">
        <v>494905.11813480296</v>
      </c>
      <c r="AJ145" s="2">
        <v>453019.62918194226</v>
      </c>
      <c r="AL145" s="27">
        <v>0.91547834441163611</v>
      </c>
      <c r="AM145" s="27">
        <v>0.91345786676199603</v>
      </c>
      <c r="AN145" s="27">
        <v>0.91203459531013453</v>
      </c>
      <c r="AO145" s="27">
        <v>0.86238439780400944</v>
      </c>
      <c r="AP145" s="27">
        <v>0.71956413030433941</v>
      </c>
      <c r="AQ145" s="27">
        <v>0.91547834441163611</v>
      </c>
      <c r="AR145" s="27">
        <v>0.91345786676199603</v>
      </c>
      <c r="AS145" s="27">
        <v>0.91203459531013453</v>
      </c>
      <c r="AT145" s="27">
        <v>0.86238439780400944</v>
      </c>
      <c r="AU145" s="27">
        <v>0.71956413030433941</v>
      </c>
      <c r="AW145" s="1">
        <v>13.738129608930874</v>
      </c>
      <c r="AX145" s="1">
        <v>15.749482525552811</v>
      </c>
      <c r="AY145" s="2">
        <v>1833497.701049255</v>
      </c>
      <c r="AZ145" s="1">
        <v>15.549762641508622</v>
      </c>
      <c r="BA145" s="1">
        <v>17.517417486957257</v>
      </c>
      <c r="BB145" s="2">
        <v>1429368.9986873651</v>
      </c>
      <c r="BC145" s="2">
        <f t="shared" si="21"/>
        <v>-404128.70236188988</v>
      </c>
      <c r="BD145" s="292">
        <f t="shared" si="22"/>
        <v>1.8116330325777472</v>
      </c>
      <c r="BF145" s="170">
        <f t="shared" si="17"/>
        <v>364603.03637968493</v>
      </c>
      <c r="BG145" s="2">
        <f t="shared" si="18"/>
        <v>1058593.0239540143</v>
      </c>
      <c r="BI145">
        <f t="shared" si="19"/>
        <v>0</v>
      </c>
      <c r="BJ145" s="95">
        <f t="shared" si="20"/>
        <v>1</v>
      </c>
      <c r="BP145" s="217">
        <f t="shared" si="23"/>
        <v>1058593.0239540143</v>
      </c>
    </row>
    <row r="146" spans="1:68">
      <c r="A146" s="11">
        <v>140</v>
      </c>
      <c r="C146" s="27">
        <v>0.92331940198863749</v>
      </c>
      <c r="D146" s="27">
        <v>7.6680598011362511E-2</v>
      </c>
      <c r="E146" s="27">
        <v>0</v>
      </c>
      <c r="F146" s="27">
        <v>0.85569035309009744</v>
      </c>
      <c r="G146" s="27">
        <v>0.14430964690990256</v>
      </c>
      <c r="H146" s="27">
        <v>0</v>
      </c>
      <c r="I146" s="27">
        <v>0.74716266733285097</v>
      </c>
      <c r="J146" s="27">
        <v>0.25283733266714903</v>
      </c>
      <c r="K146" s="27">
        <v>0</v>
      </c>
      <c r="L146" s="27">
        <v>8.2192245659220897E-2</v>
      </c>
      <c r="M146" s="27">
        <v>0.53506181378803264</v>
      </c>
      <c r="N146" s="27">
        <v>0.38274594055274647</v>
      </c>
      <c r="O146" s="27">
        <v>-11.388617488354079</v>
      </c>
      <c r="P146" s="27">
        <v>3.6246023214405593E-2</v>
      </c>
      <c r="Q146" s="27">
        <v>5.1895186728820025E-5</v>
      </c>
      <c r="R146" s="27">
        <v>1.0901762985693588</v>
      </c>
      <c r="S146" s="154"/>
      <c r="T146">
        <v>0.97215075929410388</v>
      </c>
      <c r="U146">
        <v>2.399727443621297</v>
      </c>
      <c r="V146">
        <v>3.1109846279880711</v>
      </c>
      <c r="W146">
        <v>1</v>
      </c>
      <c r="Y146" s="2">
        <v>3432.5837308331043</v>
      </c>
      <c r="Z146" s="2">
        <v>4405.4830138188199</v>
      </c>
      <c r="AA146" s="2">
        <v>54.272291245812667</v>
      </c>
      <c r="AB146" s="2">
        <v>4303.0459278053313</v>
      </c>
      <c r="AC146" s="2">
        <v>834.36323726091098</v>
      </c>
      <c r="AD146" s="2">
        <v>1918.8532273502462</v>
      </c>
      <c r="AE146" s="2">
        <v>576.19791240657537</v>
      </c>
      <c r="AF146" s="2">
        <v>1094.7540361868816</v>
      </c>
      <c r="AG146" s="2">
        <v>180.02213060389036</v>
      </c>
      <c r="AH146" s="2">
        <v>440.92749326465184</v>
      </c>
      <c r="AI146" s="2">
        <v>381668.96693044371</v>
      </c>
      <c r="AJ146" s="2">
        <v>355989.51217645971</v>
      </c>
      <c r="AL146" s="27">
        <v>0.91280284207453966</v>
      </c>
      <c r="AM146" s="27">
        <v>0.91510841331702286</v>
      </c>
      <c r="AN146" s="27">
        <v>0.912661935280768</v>
      </c>
      <c r="AO146" s="27">
        <v>0.90722196778304454</v>
      </c>
      <c r="AP146" s="27">
        <v>0.67167158324985676</v>
      </c>
      <c r="AQ146" s="27">
        <v>0.91280284207453966</v>
      </c>
      <c r="AR146" s="27">
        <v>0.91510841331702286</v>
      </c>
      <c r="AS146" s="27">
        <v>0.912661935280768</v>
      </c>
      <c r="AT146" s="27">
        <v>0.90722196778304454</v>
      </c>
      <c r="AU146" s="27">
        <v>0.67167158324985676</v>
      </c>
      <c r="AW146" s="1">
        <v>13.453819016044022</v>
      </c>
      <c r="AX146" s="1">
        <v>15.605091225266975</v>
      </c>
      <c r="AY146" s="2">
        <v>1560273.7526264342</v>
      </c>
      <c r="AZ146" s="1">
        <v>15.294097457236942</v>
      </c>
      <c r="BA146" s="1">
        <v>17.365032016797635</v>
      </c>
      <c r="BB146" s="2">
        <v>1138442.6116359392</v>
      </c>
      <c r="BC146" s="2">
        <f t="shared" si="21"/>
        <v>-421831.14099049498</v>
      </c>
      <c r="BD146" s="292">
        <f t="shared" si="22"/>
        <v>1.8402784411929201</v>
      </c>
      <c r="BF146" s="170">
        <f t="shared" si="17"/>
        <v>592337.28994060936</v>
      </c>
      <c r="BG146" s="2">
        <f t="shared" si="18"/>
        <v>1308612.9815219715</v>
      </c>
      <c r="BI146">
        <f t="shared" si="19"/>
        <v>0</v>
      </c>
      <c r="BJ146" s="95">
        <f t="shared" si="20"/>
        <v>1</v>
      </c>
      <c r="BP146" s="217">
        <f t="shared" si="23"/>
        <v>1308612.9815219715</v>
      </c>
    </row>
    <row r="147" spans="1:68">
      <c r="A147" s="11">
        <v>141</v>
      </c>
      <c r="C147" s="27">
        <v>0.92445849850453665</v>
      </c>
      <c r="D147" s="27">
        <v>7.554150149546339E-2</v>
      </c>
      <c r="E147" s="27">
        <v>0</v>
      </c>
      <c r="F147" s="27">
        <v>0.86132403237537736</v>
      </c>
      <c r="G147" s="27">
        <v>0.13867596762462261</v>
      </c>
      <c r="H147" s="27">
        <v>0</v>
      </c>
      <c r="I147" s="27">
        <v>0.74978391713801917</v>
      </c>
      <c r="J147" s="27">
        <v>0.25021608286198083</v>
      </c>
      <c r="K147" s="27">
        <v>0</v>
      </c>
      <c r="L147" s="27">
        <v>0.1694089454843975</v>
      </c>
      <c r="M147" s="27">
        <v>0.46797374897051686</v>
      </c>
      <c r="N147" s="27">
        <v>0.36261730554508559</v>
      </c>
      <c r="O147" s="27">
        <v>-11.256475565553171</v>
      </c>
      <c r="P147" s="27">
        <v>4.0398615394782511E-2</v>
      </c>
      <c r="Q147" s="27">
        <v>7.0511572056379131E-5</v>
      </c>
      <c r="R147" s="27">
        <v>1.0376766477357582</v>
      </c>
      <c r="S147" s="154"/>
      <c r="T147">
        <v>0.92563831260698426</v>
      </c>
      <c r="U147">
        <v>2.3196118478301329</v>
      </c>
      <c r="V147">
        <v>2.9189314125431136</v>
      </c>
      <c r="W147">
        <v>1</v>
      </c>
      <c r="Y147" s="2">
        <v>207.87575324490606</v>
      </c>
      <c r="Z147" s="2">
        <v>4919.7880051257571</v>
      </c>
      <c r="AA147" s="2">
        <v>104.13878244034007</v>
      </c>
      <c r="AB147" s="2">
        <v>4105.9860262416169</v>
      </c>
      <c r="AC147" s="2">
        <v>777.44154584940702</v>
      </c>
      <c r="AD147" s="2">
        <v>134.72496461576043</v>
      </c>
      <c r="AE147" s="2">
        <v>565.89396108980384</v>
      </c>
      <c r="AF147" s="2">
        <v>959.23793897722692</v>
      </c>
      <c r="AG147" s="2">
        <v>94.105308257713531</v>
      </c>
      <c r="AH147" s="2">
        <v>259.40080464753919</v>
      </c>
      <c r="AI147" s="2">
        <v>473130.36754299549</v>
      </c>
      <c r="AJ147" s="2">
        <v>445991.01643233164</v>
      </c>
      <c r="AL147" s="27">
        <v>0.91421844519131878</v>
      </c>
      <c r="AM147" s="27">
        <v>0.91202684779714571</v>
      </c>
      <c r="AN147" s="27">
        <v>0.91137037747994276</v>
      </c>
      <c r="AO147" s="27">
        <v>0.84155200064453506</v>
      </c>
      <c r="AP147" s="27">
        <v>0.64122535134898351</v>
      </c>
      <c r="AQ147" s="27">
        <v>0.91421844519131878</v>
      </c>
      <c r="AR147" s="27">
        <v>0.91202684779714571</v>
      </c>
      <c r="AS147" s="27">
        <v>0.91137037747994276</v>
      </c>
      <c r="AT147" s="27">
        <v>0.84155200064453506</v>
      </c>
      <c r="AU147" s="27">
        <v>0.64122535134898351</v>
      </c>
      <c r="AW147" s="1">
        <v>13.730796594473288</v>
      </c>
      <c r="AX147" s="1">
        <v>16.036378384323299</v>
      </c>
      <c r="AY147" s="2">
        <v>1859109.4354616499</v>
      </c>
      <c r="AZ147" s="1">
        <v>15.366844282129334</v>
      </c>
      <c r="BA147" s="1">
        <v>17.560275004034807</v>
      </c>
      <c r="BB147" s="2">
        <v>1365096.0980712073</v>
      </c>
      <c r="BC147" s="2">
        <f t="shared" si="21"/>
        <v>-494013.33739044261</v>
      </c>
      <c r="BD147" s="292">
        <f t="shared" si="22"/>
        <v>1.6360476876560455</v>
      </c>
      <c r="BF147" s="170">
        <f t="shared" si="17"/>
        <v>337818.01965407631</v>
      </c>
      <c r="BG147" s="2">
        <f t="shared" si="18"/>
        <v>1093598.9870694862</v>
      </c>
      <c r="BI147">
        <f t="shared" si="19"/>
        <v>0</v>
      </c>
      <c r="BJ147" s="95">
        <f t="shared" si="20"/>
        <v>1</v>
      </c>
      <c r="BP147" s="217">
        <f t="shared" si="23"/>
        <v>1093598.9870694862</v>
      </c>
    </row>
    <row r="148" spans="1:68">
      <c r="A148" s="11">
        <v>142</v>
      </c>
      <c r="C148" s="27">
        <v>0.92149518737860148</v>
      </c>
      <c r="D148" s="27">
        <v>7.8504812621398523E-2</v>
      </c>
      <c r="E148" s="27">
        <v>0</v>
      </c>
      <c r="F148" s="27">
        <v>0.85281646736298655</v>
      </c>
      <c r="G148" s="27">
        <v>0.14718353263701345</v>
      </c>
      <c r="H148" s="27">
        <v>0</v>
      </c>
      <c r="I148" s="27">
        <v>0.75040316995048217</v>
      </c>
      <c r="J148" s="27">
        <v>0.24959683004951783</v>
      </c>
      <c r="K148" s="27">
        <v>0</v>
      </c>
      <c r="L148" s="27">
        <v>0.14654311650139251</v>
      </c>
      <c r="M148" s="27">
        <v>0.45885372550002201</v>
      </c>
      <c r="N148" s="27">
        <v>0.39460315799858547</v>
      </c>
      <c r="O148" s="27">
        <v>-11.045251388459718</v>
      </c>
      <c r="P148" s="27">
        <v>3.3271925616432566E-2</v>
      </c>
      <c r="Q148" s="27">
        <v>6.4565489217063686E-5</v>
      </c>
      <c r="R148" s="27">
        <v>1.0723992939563289</v>
      </c>
      <c r="S148" s="154"/>
      <c r="T148">
        <v>0.99754856943601389</v>
      </c>
      <c r="U148">
        <v>2.2255803442179913</v>
      </c>
      <c r="V148">
        <v>2.9217596190808437</v>
      </c>
      <c r="W148">
        <v>1</v>
      </c>
      <c r="Y148" s="2">
        <v>1904.0526532814099</v>
      </c>
      <c r="Z148" s="2">
        <v>2291.7310581119809</v>
      </c>
      <c r="AA148" s="2">
        <v>486.98572448299353</v>
      </c>
      <c r="AB148" s="2">
        <v>12559.652945246509</v>
      </c>
      <c r="AC148" s="2">
        <v>1628.1935165954164</v>
      </c>
      <c r="AD148" s="2">
        <v>266.43591079590243</v>
      </c>
      <c r="AE148" s="2">
        <v>574.64647863971993</v>
      </c>
      <c r="AF148" s="2">
        <v>1006.2592006706029</v>
      </c>
      <c r="AG148" s="2">
        <v>151.20501835547873</v>
      </c>
      <c r="AH148" s="2">
        <v>604.68536869649654</v>
      </c>
      <c r="AI148" s="2">
        <v>409362.20478762873</v>
      </c>
      <c r="AJ148" s="2">
        <v>381168.65987225296</v>
      </c>
      <c r="AL148" s="27">
        <v>0.91062360857893798</v>
      </c>
      <c r="AM148" s="27">
        <v>0.91190884510161119</v>
      </c>
      <c r="AN148" s="27">
        <v>0.9148817523472158</v>
      </c>
      <c r="AO148" s="27">
        <v>0.91040415306701661</v>
      </c>
      <c r="AP148" s="27">
        <v>0.71299324189993707</v>
      </c>
      <c r="AQ148" s="27">
        <v>0.91062360857893798</v>
      </c>
      <c r="AR148" s="27">
        <v>0.91190884510161119</v>
      </c>
      <c r="AS148" s="27">
        <v>0.9148817523472158</v>
      </c>
      <c r="AT148" s="27">
        <v>0.91040415306701661</v>
      </c>
      <c r="AU148" s="27">
        <v>0.71299324189993707</v>
      </c>
      <c r="AW148" s="1">
        <v>13.325890161678817</v>
      </c>
      <c r="AX148" s="1">
        <v>15.276444346677799</v>
      </c>
      <c r="AY148" s="2">
        <v>1483711.4166868418</v>
      </c>
      <c r="AZ148" s="1">
        <v>15.169218803362195</v>
      </c>
      <c r="BA148" s="1">
        <v>17.109243019313595</v>
      </c>
      <c r="BB148" s="2">
        <v>1236807.2102124565</v>
      </c>
      <c r="BC148" s="2">
        <f t="shared" si="21"/>
        <v>-246904.20647438522</v>
      </c>
      <c r="BD148" s="292">
        <f t="shared" si="22"/>
        <v>1.8433286416833781</v>
      </c>
      <c r="BF148" s="170">
        <f t="shared" si="17"/>
        <v>648431.0091817691</v>
      </c>
      <c r="BG148" s="2">
        <f t="shared" si="18"/>
        <v>1190267.7983254949</v>
      </c>
      <c r="BI148">
        <f t="shared" si="19"/>
        <v>0</v>
      </c>
      <c r="BJ148" s="95">
        <f t="shared" si="20"/>
        <v>1</v>
      </c>
      <c r="BP148" s="217">
        <f t="shared" si="23"/>
        <v>1190267.7983254949</v>
      </c>
    </row>
    <row r="149" spans="1:68">
      <c r="A149" s="11">
        <v>143</v>
      </c>
      <c r="C149" s="27">
        <v>0.92116622343417121</v>
      </c>
      <c r="D149" s="27">
        <v>7.8833776565828795E-2</v>
      </c>
      <c r="E149" s="27">
        <v>0</v>
      </c>
      <c r="F149" s="27">
        <v>0.85398029383510576</v>
      </c>
      <c r="G149" s="27">
        <v>0.14601970616489424</v>
      </c>
      <c r="H149" s="27">
        <v>0</v>
      </c>
      <c r="I149" s="27">
        <v>0.75069998398426496</v>
      </c>
      <c r="J149" s="27">
        <v>0.24930001601573501</v>
      </c>
      <c r="K149" s="27">
        <v>0</v>
      </c>
      <c r="L149" s="27">
        <v>9.463691755805359E-2</v>
      </c>
      <c r="M149" s="27">
        <v>0.53790289543291192</v>
      </c>
      <c r="N149" s="27">
        <v>0.36746018700903449</v>
      </c>
      <c r="O149" s="27">
        <v>-11.032928848295215</v>
      </c>
      <c r="P149" s="27">
        <v>3.3779414471190414E-2</v>
      </c>
      <c r="Q149" s="27">
        <v>6.6774222640893753E-5</v>
      </c>
      <c r="R149" s="27">
        <v>1.0605042653456693</v>
      </c>
      <c r="S149" s="154"/>
      <c r="T149">
        <v>1.0276541545501399</v>
      </c>
      <c r="U149">
        <v>2.1445948429373933</v>
      </c>
      <c r="V149">
        <v>2.9597638617191406</v>
      </c>
      <c r="W149">
        <v>1</v>
      </c>
      <c r="Y149" s="2">
        <v>334.91512672070695</v>
      </c>
      <c r="Z149" s="2">
        <v>655.14441576622642</v>
      </c>
      <c r="AA149" s="2">
        <v>1287.507152578612</v>
      </c>
      <c r="AB149" s="2">
        <v>12296.067956211715</v>
      </c>
      <c r="AC149" s="2">
        <v>1219.299480128361</v>
      </c>
      <c r="AD149" s="2">
        <v>26.848778418358368</v>
      </c>
      <c r="AE149" s="2">
        <v>602.29723550585288</v>
      </c>
      <c r="AF149" s="2">
        <v>1103.7763765576651</v>
      </c>
      <c r="AG149" s="2">
        <v>128.69009547920734</v>
      </c>
      <c r="AH149" s="2">
        <v>282.7549381517515</v>
      </c>
      <c r="AI149" s="2">
        <v>500216.68971298385</v>
      </c>
      <c r="AJ149" s="2">
        <v>473402.77089217858</v>
      </c>
      <c r="AL149" s="27">
        <v>0.912872872099729</v>
      </c>
      <c r="AM149" s="27">
        <v>0.9157332050303576</v>
      </c>
      <c r="AN149" s="27">
        <v>0.91238343818549417</v>
      </c>
      <c r="AO149" s="27">
        <v>0.8913149814466621</v>
      </c>
      <c r="AP149" s="27">
        <v>0.77632736671520974</v>
      </c>
      <c r="AQ149" s="27">
        <v>0.912872872099729</v>
      </c>
      <c r="AR149" s="27">
        <v>0.9157332050303576</v>
      </c>
      <c r="AS149" s="27">
        <v>0.91238343818549417</v>
      </c>
      <c r="AT149" s="27">
        <v>0.8913149814466621</v>
      </c>
      <c r="AU149" s="27">
        <v>0.77632736671520974</v>
      </c>
      <c r="AW149" s="1">
        <v>13.773914714012697</v>
      </c>
      <c r="AX149" s="1">
        <v>15.613545676907881</v>
      </c>
      <c r="AY149" s="2">
        <v>2044069.0160413983</v>
      </c>
      <c r="AZ149" s="1">
        <v>15.538377761849594</v>
      </c>
      <c r="BA149" s="1">
        <v>17.3875764256425</v>
      </c>
      <c r="BB149" s="2">
        <v>1654056.6551554517</v>
      </c>
      <c r="BC149" s="2">
        <f t="shared" si="21"/>
        <v>-390012.36088594655</v>
      </c>
      <c r="BD149" s="292">
        <f t="shared" si="22"/>
        <v>1.7644630478368963</v>
      </c>
      <c r="BF149" s="170">
        <f t="shared" si="17"/>
        <v>159757.33820063318</v>
      </c>
      <c r="BG149" s="2">
        <f t="shared" si="18"/>
        <v>832083.78674048348</v>
      </c>
      <c r="BI149">
        <f t="shared" si="19"/>
        <v>0</v>
      </c>
      <c r="BJ149" s="95">
        <f t="shared" si="20"/>
        <v>1</v>
      </c>
      <c r="BP149" s="217">
        <f t="shared" si="23"/>
        <v>832083.78674048348</v>
      </c>
    </row>
    <row r="150" spans="1:68">
      <c r="A150" s="11">
        <v>144</v>
      </c>
      <c r="C150" s="27">
        <v>0.92097697132284939</v>
      </c>
      <c r="D150" s="27">
        <v>7.9023028677150609E-2</v>
      </c>
      <c r="E150" s="27">
        <v>0</v>
      </c>
      <c r="F150" s="27">
        <v>0.8613622971585092</v>
      </c>
      <c r="G150" s="27">
        <v>0.1386377028414908</v>
      </c>
      <c r="H150" s="27">
        <v>0</v>
      </c>
      <c r="I150" s="27">
        <v>0.75169256008072094</v>
      </c>
      <c r="J150" s="27">
        <v>0.24830743991927903</v>
      </c>
      <c r="K150" s="27">
        <v>0</v>
      </c>
      <c r="L150" s="27">
        <v>0.15424687313105007</v>
      </c>
      <c r="M150" s="27">
        <v>0.5258639797031619</v>
      </c>
      <c r="N150" s="27">
        <v>0.31988914716578803</v>
      </c>
      <c r="O150" s="27">
        <v>-11.114211160883396</v>
      </c>
      <c r="P150" s="27">
        <v>3.5698683333547795E-2</v>
      </c>
      <c r="Q150" s="27">
        <v>6.6729297348435145E-5</v>
      </c>
      <c r="R150" s="27">
        <v>1.0602898127196285</v>
      </c>
      <c r="S150" s="154"/>
      <c r="T150">
        <v>0.87336097286698511</v>
      </c>
      <c r="U150">
        <v>2.2591797350644405</v>
      </c>
      <c r="V150">
        <v>2.7834677610791152</v>
      </c>
      <c r="W150">
        <v>1</v>
      </c>
      <c r="Y150" s="2">
        <v>1002.4456403599015</v>
      </c>
      <c r="Z150" s="2">
        <v>7064.6821096870326</v>
      </c>
      <c r="AA150" s="2">
        <v>38.434108916072454</v>
      </c>
      <c r="AB150" s="2">
        <v>4463.2875728061999</v>
      </c>
      <c r="AC150" s="2">
        <v>834.31748410351122</v>
      </c>
      <c r="AD150" s="2">
        <v>2943.0909134615681</v>
      </c>
      <c r="AE150" s="2">
        <v>624.18991419430654</v>
      </c>
      <c r="AF150" s="2">
        <v>972.12500545470948</v>
      </c>
      <c r="AG150" s="2">
        <v>125.43201273885633</v>
      </c>
      <c r="AH150" s="2">
        <v>438.04198526481059</v>
      </c>
      <c r="AI150" s="2">
        <v>371292.52201640728</v>
      </c>
      <c r="AJ150" s="2">
        <v>338859.86247444036</v>
      </c>
      <c r="AL150" s="27">
        <v>0.91035714439063864</v>
      </c>
      <c r="AM150" s="27">
        <v>0.91417309920695422</v>
      </c>
      <c r="AN150" s="27">
        <v>0.91039456439831135</v>
      </c>
      <c r="AO150" s="27">
        <v>0.8729904691500977</v>
      </c>
      <c r="AP150" s="27">
        <v>0.71645666395359187</v>
      </c>
      <c r="AQ150" s="27">
        <v>0.91035714439063864</v>
      </c>
      <c r="AR150" s="27">
        <v>0.91417309920695422</v>
      </c>
      <c r="AS150" s="27">
        <v>0.91039456439831135</v>
      </c>
      <c r="AT150" s="27">
        <v>0.8729904691500977</v>
      </c>
      <c r="AU150" s="27">
        <v>0.71645666395359187</v>
      </c>
      <c r="AW150" s="1">
        <v>14.143155955659086</v>
      </c>
      <c r="AX150" s="1">
        <v>16.258550587300803</v>
      </c>
      <c r="AY150" s="2">
        <v>1513812.4949007363</v>
      </c>
      <c r="AZ150" s="1">
        <v>15.525666758072003</v>
      </c>
      <c r="BA150" s="1">
        <v>17.591913782348495</v>
      </c>
      <c r="BB150" s="2">
        <v>1179320.5868598025</v>
      </c>
      <c r="BC150" s="2">
        <f t="shared" si="21"/>
        <v>-334491.90804093378</v>
      </c>
      <c r="BD150" s="292">
        <f t="shared" si="22"/>
        <v>1.3825108024129165</v>
      </c>
      <c r="BF150" s="170">
        <f t="shared" si="17"/>
        <v>749092.45800471748</v>
      </c>
      <c r="BG150" s="2">
        <f t="shared" si="18"/>
        <v>1304786.0944317181</v>
      </c>
      <c r="BI150">
        <f t="shared" si="19"/>
        <v>0</v>
      </c>
      <c r="BJ150" s="95">
        <f t="shared" si="20"/>
        <v>1</v>
      </c>
      <c r="BP150" s="217">
        <f t="shared" si="23"/>
        <v>1304786.0944317181</v>
      </c>
    </row>
    <row r="151" spans="1:68">
      <c r="A151" s="11">
        <v>145</v>
      </c>
      <c r="C151" s="27">
        <v>0.92505447769319049</v>
      </c>
      <c r="D151" s="27">
        <v>7.4945522306809537E-2</v>
      </c>
      <c r="E151" s="27">
        <v>0</v>
      </c>
      <c r="F151" s="27">
        <v>0.85544460901759067</v>
      </c>
      <c r="G151" s="27">
        <v>0.14455539098240933</v>
      </c>
      <c r="H151" s="27">
        <v>0</v>
      </c>
      <c r="I151" s="27">
        <v>0.74960058493308201</v>
      </c>
      <c r="J151" s="27">
        <v>0.25039941506691799</v>
      </c>
      <c r="K151" s="27">
        <v>0</v>
      </c>
      <c r="L151" s="27">
        <v>0.16313491237566696</v>
      </c>
      <c r="M151" s="27">
        <v>0.50213125974925599</v>
      </c>
      <c r="N151" s="27">
        <v>0.33473382787507705</v>
      </c>
      <c r="O151" s="27">
        <v>-11.442642494568288</v>
      </c>
      <c r="P151" s="27">
        <v>3.4774630992594764E-2</v>
      </c>
      <c r="Q151" s="27">
        <v>4.621953596456363E-5</v>
      </c>
      <c r="R151" s="27">
        <v>1.109593050796581</v>
      </c>
      <c r="S151" s="154"/>
      <c r="T151">
        <v>1.0663835180151209</v>
      </c>
      <c r="U151">
        <v>2.1850278737389663</v>
      </c>
      <c r="V151">
        <v>3.3951528693553783</v>
      </c>
      <c r="W151">
        <v>1</v>
      </c>
      <c r="Y151" s="2">
        <v>182.07980756407983</v>
      </c>
      <c r="Z151" s="2">
        <v>433.81588805557277</v>
      </c>
      <c r="AA151" s="2">
        <v>61.426107894851555</v>
      </c>
      <c r="AB151" s="2">
        <v>1446.4604115783741</v>
      </c>
      <c r="AC151" s="2">
        <v>31.928116553582836</v>
      </c>
      <c r="AD151" s="2">
        <v>796.12322253122522</v>
      </c>
      <c r="AE151" s="2">
        <v>485.91304790261472</v>
      </c>
      <c r="AF151" s="2">
        <v>1021.2253490214035</v>
      </c>
      <c r="AG151" s="2">
        <v>103.35069625435764</v>
      </c>
      <c r="AH151" s="2">
        <v>280.25543932673622</v>
      </c>
      <c r="AI151" s="2">
        <v>567231.76190527168</v>
      </c>
      <c r="AJ151" s="2">
        <v>535785.75960371853</v>
      </c>
      <c r="AL151" s="27">
        <v>0.91175167763234755</v>
      </c>
      <c r="AM151" s="27">
        <v>0.91774090510185991</v>
      </c>
      <c r="AN151" s="27">
        <v>0.91115691225525408</v>
      </c>
      <c r="AO151" s="27">
        <v>0.84696751630706268</v>
      </c>
      <c r="AP151" s="27">
        <v>0.57383640998827168</v>
      </c>
      <c r="AQ151" s="27">
        <v>0.91175167763234755</v>
      </c>
      <c r="AR151" s="27">
        <v>0.91774090510185991</v>
      </c>
      <c r="AS151" s="27">
        <v>0.91115691225525408</v>
      </c>
      <c r="AT151" s="27">
        <v>0.84696751630706268</v>
      </c>
      <c r="AU151" s="27">
        <v>0.57383640998827168</v>
      </c>
      <c r="AW151" s="1">
        <v>12.977630253033954</v>
      </c>
      <c r="AX151" s="1">
        <v>15.510842096998555</v>
      </c>
      <c r="AY151" s="2">
        <v>2210440.4159850273</v>
      </c>
      <c r="AZ151" s="1">
        <v>15.124841059906201</v>
      </c>
      <c r="BA151" s="1">
        <v>17.45201585671759</v>
      </c>
      <c r="BB151" s="2">
        <v>1547774.4209548461</v>
      </c>
      <c r="BC151" s="2">
        <f t="shared" si="21"/>
        <v>-662665.99503018125</v>
      </c>
      <c r="BD151" s="292">
        <f t="shared" si="22"/>
        <v>2.1472108068722466</v>
      </c>
      <c r="BF151" s="170">
        <f t="shared" si="17"/>
        <v>-134019.57549959468</v>
      </c>
      <c r="BG151" s="2">
        <f t="shared" si="18"/>
        <v>872200.14863014617</v>
      </c>
      <c r="BI151">
        <f t="shared" si="19"/>
        <v>0</v>
      </c>
      <c r="BJ151" s="95">
        <f t="shared" si="20"/>
        <v>1</v>
      </c>
      <c r="BP151" s="217">
        <f t="shared" si="23"/>
        <v>872200.14863014617</v>
      </c>
    </row>
    <row r="152" spans="1:68">
      <c r="A152" s="11">
        <v>146</v>
      </c>
      <c r="C152" s="27">
        <v>0.92304310468380624</v>
      </c>
      <c r="D152" s="27">
        <v>7.6956895316193763E-2</v>
      </c>
      <c r="E152" s="27">
        <v>0</v>
      </c>
      <c r="F152" s="27">
        <v>0.85723228943210739</v>
      </c>
      <c r="G152" s="27">
        <v>0.14276771056789259</v>
      </c>
      <c r="H152" s="27">
        <v>0</v>
      </c>
      <c r="I152" s="27">
        <v>0.74498743591609595</v>
      </c>
      <c r="J152" s="27">
        <v>0.25501256408390405</v>
      </c>
      <c r="K152" s="27">
        <v>0</v>
      </c>
      <c r="L152" s="27">
        <v>0.1124133921500442</v>
      </c>
      <c r="M152" s="27">
        <v>0.50568081228620954</v>
      </c>
      <c r="N152" s="27">
        <v>0.38190579556374626</v>
      </c>
      <c r="O152" s="27">
        <v>-11.117230673648086</v>
      </c>
      <c r="P152" s="27">
        <v>3.1216072005806863E-2</v>
      </c>
      <c r="Q152" s="27">
        <v>5.511130726134888E-5</v>
      </c>
      <c r="R152" s="27">
        <v>1.0888113261069567</v>
      </c>
      <c r="S152" s="154"/>
      <c r="T152">
        <v>1.165376072930876</v>
      </c>
      <c r="U152">
        <v>2.1660399169772613</v>
      </c>
      <c r="V152">
        <v>3.084680103026169</v>
      </c>
      <c r="W152">
        <v>1</v>
      </c>
      <c r="Y152" s="2">
        <v>786.22652575458824</v>
      </c>
      <c r="Z152" s="2">
        <v>1403.0995976757147</v>
      </c>
      <c r="AA152" s="2">
        <v>1759.0796996051038</v>
      </c>
      <c r="AB152" s="2">
        <v>7017.1330022606462</v>
      </c>
      <c r="AC152" s="2">
        <v>104.78651951072852</v>
      </c>
      <c r="AD152" s="2">
        <v>893.9172923865973</v>
      </c>
      <c r="AE152" s="2">
        <v>597.94727875696242</v>
      </c>
      <c r="AF152" s="2">
        <v>1437.9052062270566</v>
      </c>
      <c r="AG152" s="2">
        <v>158.32149720727779</v>
      </c>
      <c r="AH152" s="2">
        <v>501.90675003921234</v>
      </c>
      <c r="AI152" s="2">
        <v>591157.12036384689</v>
      </c>
      <c r="AJ152" s="2">
        <v>550411.8462261539</v>
      </c>
      <c r="AL152" s="27">
        <v>0.92071484456297581</v>
      </c>
      <c r="AM152" s="27">
        <v>0.916109548451989</v>
      </c>
      <c r="AN152" s="27">
        <v>0.90703500962968531</v>
      </c>
      <c r="AO152" s="27">
        <v>0.85508836925910414</v>
      </c>
      <c r="AP152" s="27">
        <v>0.71341290619549558</v>
      </c>
      <c r="AQ152" s="27">
        <v>0.92071484456297581</v>
      </c>
      <c r="AR152" s="27">
        <v>0.916109548451989</v>
      </c>
      <c r="AS152" s="27">
        <v>0.90703500962968531</v>
      </c>
      <c r="AT152" s="27">
        <v>0.85508836925910414</v>
      </c>
      <c r="AU152" s="27">
        <v>0.71341290619549558</v>
      </c>
      <c r="AW152" s="1">
        <v>13.119589040603421</v>
      </c>
      <c r="AX152" s="1">
        <v>15.07667401385978</v>
      </c>
      <c r="AY152" s="2">
        <v>2308529.4148193644</v>
      </c>
      <c r="AZ152" s="1">
        <v>15.37767403330891</v>
      </c>
      <c r="BA152" s="1">
        <v>17.28605487591873</v>
      </c>
      <c r="BB152" s="2">
        <v>1686815.186619794</v>
      </c>
      <c r="BC152" s="2">
        <f t="shared" si="21"/>
        <v>-621714.22819957044</v>
      </c>
      <c r="BD152" s="292">
        <f t="shared" si="22"/>
        <v>2.2580849927054896</v>
      </c>
      <c r="BF152" s="170">
        <f t="shared" si="17"/>
        <v>-209395.16832281696</v>
      </c>
      <c r="BG152" s="2">
        <f t="shared" si="18"/>
        <v>773612.65870963177</v>
      </c>
      <c r="BI152">
        <f t="shared" si="19"/>
        <v>0</v>
      </c>
      <c r="BJ152" s="95">
        <f t="shared" si="20"/>
        <v>1</v>
      </c>
      <c r="BP152" s="217">
        <f t="shared" si="23"/>
        <v>773612.65870963177</v>
      </c>
    </row>
    <row r="153" spans="1:68">
      <c r="A153" s="11">
        <v>147</v>
      </c>
      <c r="C153" s="27">
        <v>0.91964373165774593</v>
      </c>
      <c r="D153" s="27">
        <v>8.0356268342254067E-2</v>
      </c>
      <c r="E153" s="27">
        <v>0</v>
      </c>
      <c r="F153" s="27">
        <v>0.85818351699892093</v>
      </c>
      <c r="G153" s="27">
        <v>0.14181648300107913</v>
      </c>
      <c r="H153" s="27">
        <v>0</v>
      </c>
      <c r="I153" s="27">
        <v>0.75411834752307039</v>
      </c>
      <c r="J153" s="27">
        <v>0.24588165247692961</v>
      </c>
      <c r="K153" s="27">
        <v>0</v>
      </c>
      <c r="L153" s="27">
        <v>0.16241848464832037</v>
      </c>
      <c r="M153" s="27">
        <v>0.48091942053625963</v>
      </c>
      <c r="N153" s="27">
        <v>0.35666209481541994</v>
      </c>
      <c r="O153" s="27">
        <v>-10.964561316562753</v>
      </c>
      <c r="P153" s="27">
        <v>3.3521471110590076E-2</v>
      </c>
      <c r="Q153" s="27">
        <v>7.0728671490774041E-5</v>
      </c>
      <c r="R153" s="27">
        <v>1.0573031395674071</v>
      </c>
      <c r="S153" s="154"/>
      <c r="T153">
        <v>0.99866813808162946</v>
      </c>
      <c r="U153">
        <v>2.2844851782137008</v>
      </c>
      <c r="V153">
        <v>2.6590732279322311</v>
      </c>
      <c r="W153">
        <v>1</v>
      </c>
      <c r="Y153" s="2">
        <v>34.313886607625655</v>
      </c>
      <c r="Z153" s="2">
        <v>4902.3698829644791</v>
      </c>
      <c r="AA153" s="2">
        <v>1943.2758981440927</v>
      </c>
      <c r="AB153" s="2">
        <v>8572.4781432531236</v>
      </c>
      <c r="AC153" s="2">
        <v>1733.0715412096099</v>
      </c>
      <c r="AD153" s="2">
        <v>927.03362421664724</v>
      </c>
      <c r="AE153" s="2">
        <v>552.45148034226338</v>
      </c>
      <c r="AF153" s="2">
        <v>949.74420999583197</v>
      </c>
      <c r="AG153" s="2">
        <v>112.88111245524375</v>
      </c>
      <c r="AH153" s="2">
        <v>283.25500470219851</v>
      </c>
      <c r="AI153" s="2">
        <v>348205.59458569897</v>
      </c>
      <c r="AJ153" s="2">
        <v>318257.01055567322</v>
      </c>
      <c r="AL153" s="27">
        <v>0.92270965401795957</v>
      </c>
      <c r="AM153" s="27">
        <v>0.91085632725850929</v>
      </c>
      <c r="AN153" s="27">
        <v>0.906181491473386</v>
      </c>
      <c r="AO153" s="27">
        <v>0.89837065128882732</v>
      </c>
      <c r="AP153" s="27">
        <v>0.58610672619298676</v>
      </c>
      <c r="AQ153" s="27">
        <v>0.92270965401795957</v>
      </c>
      <c r="AR153" s="27">
        <v>0.91085632725850929</v>
      </c>
      <c r="AS153" s="27">
        <v>0.906181491473386</v>
      </c>
      <c r="AT153" s="27">
        <v>0.89837065128882732</v>
      </c>
      <c r="AU153" s="27">
        <v>0.58610672619298676</v>
      </c>
      <c r="AW153" s="1">
        <v>13.1987838742596</v>
      </c>
      <c r="AX153" s="1">
        <v>15.5521223244829</v>
      </c>
      <c r="AY153" s="2">
        <v>1372140.1140046315</v>
      </c>
      <c r="AZ153" s="1">
        <v>15.11676913688585</v>
      </c>
      <c r="BA153" s="1">
        <v>17.325900143089779</v>
      </c>
      <c r="BB153" s="2">
        <v>1107550.720989577</v>
      </c>
      <c r="BC153" s="2">
        <f t="shared" si="21"/>
        <v>-264589.39301505452</v>
      </c>
      <c r="BD153" s="292">
        <f t="shared" si="22"/>
        <v>1.9179852626262495</v>
      </c>
      <c r="BF153" s="170">
        <f t="shared" si="17"/>
        <v>739665.30587690463</v>
      </c>
      <c r="BG153" s="2">
        <f t="shared" si="18"/>
        <v>1311132.3409121591</v>
      </c>
      <c r="BI153">
        <f t="shared" si="19"/>
        <v>0</v>
      </c>
      <c r="BJ153" s="95">
        <f t="shared" si="20"/>
        <v>1</v>
      </c>
      <c r="BP153" s="217">
        <f t="shared" si="23"/>
        <v>1311132.3409121591</v>
      </c>
    </row>
    <row r="154" spans="1:68">
      <c r="A154" s="11">
        <v>148</v>
      </c>
      <c r="C154" s="27">
        <v>0.92312926346726332</v>
      </c>
      <c r="D154" s="27">
        <v>7.6870736532736725E-2</v>
      </c>
      <c r="E154" s="27">
        <v>0</v>
      </c>
      <c r="F154" s="27">
        <v>0.86087985306576909</v>
      </c>
      <c r="G154" s="27">
        <v>0.13912014693423089</v>
      </c>
      <c r="H154" s="27">
        <v>0</v>
      </c>
      <c r="I154" s="27">
        <v>0.75432604900092581</v>
      </c>
      <c r="J154" s="27">
        <v>0.24567395099907419</v>
      </c>
      <c r="K154" s="27">
        <v>0</v>
      </c>
      <c r="L154" s="27">
        <v>0.17271606687057695</v>
      </c>
      <c r="M154" s="27">
        <v>0.44068673130066249</v>
      </c>
      <c r="N154" s="27">
        <v>0.38659720182876056</v>
      </c>
      <c r="O154" s="27">
        <v>-11.602733462915733</v>
      </c>
      <c r="P154" s="27">
        <v>3.5275781816050199E-2</v>
      </c>
      <c r="Q154" s="27">
        <v>4.0219820899859721E-5</v>
      </c>
      <c r="R154" s="27">
        <v>1.1285527521559431</v>
      </c>
      <c r="S154" s="154"/>
      <c r="T154">
        <v>0.97876757134964776</v>
      </c>
      <c r="U154">
        <v>2.1849319708286061</v>
      </c>
      <c r="V154">
        <v>3.2546210041241928</v>
      </c>
      <c r="W154">
        <v>1</v>
      </c>
      <c r="Y154" s="2">
        <v>169.0261427975905</v>
      </c>
      <c r="Z154" s="2">
        <v>49.447398156644226</v>
      </c>
      <c r="AA154" s="2">
        <v>298.99772276023725</v>
      </c>
      <c r="AB154" s="2">
        <v>1981.0421136769824</v>
      </c>
      <c r="AC154" s="2">
        <v>119.30987289733693</v>
      </c>
      <c r="AD154" s="2">
        <v>856.64564004502142</v>
      </c>
      <c r="AE154" s="2">
        <v>540.86297758360411</v>
      </c>
      <c r="AF154" s="2">
        <v>935.74778954963892</v>
      </c>
      <c r="AG154" s="2">
        <v>99.88431251217304</v>
      </c>
      <c r="AH154" s="2">
        <v>328.47113984487004</v>
      </c>
      <c r="AI154" s="2">
        <v>494500.90018941555</v>
      </c>
      <c r="AJ154" s="2">
        <v>456399.33904697641</v>
      </c>
      <c r="AL154" s="27">
        <v>0.91657698790103526</v>
      </c>
      <c r="AM154" s="27">
        <v>0.91981242900939542</v>
      </c>
      <c r="AN154" s="27">
        <v>0.90889697787083679</v>
      </c>
      <c r="AO154" s="27">
        <v>0.85773127271189697</v>
      </c>
      <c r="AP154" s="27">
        <v>0.76321079686269222</v>
      </c>
      <c r="AQ154" s="27">
        <v>0.91657698790103526</v>
      </c>
      <c r="AR154" s="27">
        <v>0.91981242900939542</v>
      </c>
      <c r="AS154" s="27">
        <v>0.90889697787083679</v>
      </c>
      <c r="AT154" s="27">
        <v>0.85773127271189697</v>
      </c>
      <c r="AU154" s="27">
        <v>0.76321079686269222</v>
      </c>
      <c r="AW154" s="1">
        <v>13.592763997577588</v>
      </c>
      <c r="AX154" s="1">
        <v>15.341724386777734</v>
      </c>
      <c r="AY154" s="2">
        <v>1577718.2073767406</v>
      </c>
      <c r="AZ154" s="1">
        <v>15.415269143031475</v>
      </c>
      <c r="BA154" s="1">
        <v>17.186414090800433</v>
      </c>
      <c r="BB154" s="2">
        <v>1172269.4331175778</v>
      </c>
      <c r="BC154" s="2">
        <f t="shared" si="21"/>
        <v>-405448.77425916283</v>
      </c>
      <c r="BD154" s="292">
        <f t="shared" si="22"/>
        <v>1.8225051454538868</v>
      </c>
      <c r="BF154" s="170">
        <f t="shared" si="17"/>
        <v>597124.0322356734</v>
      </c>
      <c r="BG154" s="2">
        <f t="shared" si="18"/>
        <v>1294173.6297674584</v>
      </c>
      <c r="BI154">
        <f t="shared" si="19"/>
        <v>0</v>
      </c>
      <c r="BJ154" s="95">
        <f t="shared" si="20"/>
        <v>1</v>
      </c>
      <c r="BP154" s="217">
        <f t="shared" si="23"/>
        <v>1294173.6297674584</v>
      </c>
    </row>
    <row r="155" spans="1:68">
      <c r="A155" s="11">
        <v>149</v>
      </c>
      <c r="C155" s="27">
        <v>0.92211344892970948</v>
      </c>
      <c r="D155" s="27">
        <v>7.7886551070290522E-2</v>
      </c>
      <c r="E155" s="27">
        <v>0</v>
      </c>
      <c r="F155" s="27">
        <v>0.85337177140348364</v>
      </c>
      <c r="G155" s="27">
        <v>0.14662822859651636</v>
      </c>
      <c r="H155" s="27">
        <v>0</v>
      </c>
      <c r="I155" s="27">
        <v>0.75669282779628266</v>
      </c>
      <c r="J155" s="27">
        <v>0.24330717220371731</v>
      </c>
      <c r="K155" s="27">
        <v>0</v>
      </c>
      <c r="L155" s="27">
        <v>0.11003467176658932</v>
      </c>
      <c r="M155" s="27">
        <v>0.49211371648605456</v>
      </c>
      <c r="N155" s="27">
        <v>0.39785161174735617</v>
      </c>
      <c r="O155" s="27">
        <v>-11.409652742691494</v>
      </c>
      <c r="P155" s="27">
        <v>3.5534545391540773E-2</v>
      </c>
      <c r="Q155" s="27">
        <v>4.9318966432371038E-5</v>
      </c>
      <c r="R155" s="27">
        <v>1.1019232761250701</v>
      </c>
      <c r="S155" s="154"/>
      <c r="T155">
        <v>1.1038279543189757</v>
      </c>
      <c r="U155">
        <v>2.2163182234528591</v>
      </c>
      <c r="V155">
        <v>2.9121750211170445</v>
      </c>
      <c r="W155">
        <v>1</v>
      </c>
      <c r="Y155" s="2">
        <v>1425.377500632273</v>
      </c>
      <c r="Z155" s="2">
        <v>4709.1283239113154</v>
      </c>
      <c r="AA155" s="2">
        <v>923.49683250688088</v>
      </c>
      <c r="AB155" s="2">
        <v>641.47342661536845</v>
      </c>
      <c r="AC155" s="2">
        <v>106.52552719094895</v>
      </c>
      <c r="AD155" s="2">
        <v>3554.1204825746136</v>
      </c>
      <c r="AE155" s="2">
        <v>537.0438106609347</v>
      </c>
      <c r="AF155" s="2">
        <v>828.6368678728046</v>
      </c>
      <c r="AG155" s="2">
        <v>98.36775297066518</v>
      </c>
      <c r="AH155" s="2">
        <v>229.40908174324099</v>
      </c>
      <c r="AI155" s="2">
        <v>507263.82111533516</v>
      </c>
      <c r="AJ155" s="2">
        <v>454046.15787716192</v>
      </c>
      <c r="AL155" s="27">
        <v>0.92099981019969013</v>
      </c>
      <c r="AM155" s="27">
        <v>0.91548030938236469</v>
      </c>
      <c r="AN155" s="27">
        <v>0.91394029662778409</v>
      </c>
      <c r="AO155" s="27">
        <v>0.91149702958709722</v>
      </c>
      <c r="AP155" s="27">
        <v>0.67966879257722046</v>
      </c>
      <c r="AQ155" s="27">
        <v>0.92099981019969013</v>
      </c>
      <c r="AR155" s="27">
        <v>0.91548030938236469</v>
      </c>
      <c r="AS155" s="27">
        <v>0.91394029662778409</v>
      </c>
      <c r="AT155" s="27">
        <v>0.91149702958709722</v>
      </c>
      <c r="AU155" s="27">
        <v>0.67966879257722046</v>
      </c>
      <c r="AW155" s="1">
        <v>13.093490021250146</v>
      </c>
      <c r="AX155" s="1">
        <v>15.077350438256717</v>
      </c>
      <c r="AY155" s="2">
        <v>1864413.1867921192</v>
      </c>
      <c r="AZ155" s="1">
        <v>15.268088879037281</v>
      </c>
      <c r="BA155" s="1">
        <v>17.188011484921088</v>
      </c>
      <c r="BB155" s="2">
        <v>1297965.7735827854</v>
      </c>
      <c r="BC155" s="2">
        <f t="shared" si="21"/>
        <v>-566447.41320933378</v>
      </c>
      <c r="BD155" s="292">
        <f t="shared" si="22"/>
        <v>2.1745988577871351</v>
      </c>
      <c r="BF155" s="170">
        <f t="shared" si="17"/>
        <v>230545.21660790406</v>
      </c>
      <c r="BG155" s="2">
        <f t="shared" si="18"/>
        <v>1144928.4470631797</v>
      </c>
      <c r="BI155">
        <f t="shared" si="19"/>
        <v>0</v>
      </c>
      <c r="BJ155" s="95">
        <f t="shared" si="20"/>
        <v>1</v>
      </c>
      <c r="BP155" s="217">
        <f t="shared" si="23"/>
        <v>1144928.4470631797</v>
      </c>
    </row>
    <row r="156" spans="1:68">
      <c r="A156" s="11">
        <v>150</v>
      </c>
      <c r="C156" s="27">
        <v>0.92382933904745423</v>
      </c>
      <c r="D156" s="27">
        <v>7.617066095254578E-2</v>
      </c>
      <c r="E156" s="27">
        <v>0</v>
      </c>
      <c r="F156" s="27">
        <v>0.85724292628660004</v>
      </c>
      <c r="G156" s="27">
        <v>0.14275707371339993</v>
      </c>
      <c r="H156" s="27">
        <v>0</v>
      </c>
      <c r="I156" s="27">
        <v>0.74958970687481907</v>
      </c>
      <c r="J156" s="27">
        <v>0.25041029312518093</v>
      </c>
      <c r="K156" s="27">
        <v>0</v>
      </c>
      <c r="L156" s="27">
        <v>0.16316015978826615</v>
      </c>
      <c r="M156" s="27">
        <v>0.53251109995347146</v>
      </c>
      <c r="N156" s="27">
        <v>0.3043287402582624</v>
      </c>
      <c r="O156" s="27">
        <v>-11.240050149775614</v>
      </c>
      <c r="P156" s="27">
        <v>3.5521258839252841E-2</v>
      </c>
      <c r="Q156" s="27">
        <v>5.8402183593642541E-5</v>
      </c>
      <c r="R156" s="27">
        <v>1.0818760272732948</v>
      </c>
      <c r="S156" s="154"/>
      <c r="T156">
        <v>1.0301450272078592</v>
      </c>
      <c r="U156">
        <v>2.2464427529176603</v>
      </c>
      <c r="V156">
        <v>3.2431924489166817</v>
      </c>
      <c r="W156">
        <v>1</v>
      </c>
      <c r="Y156" s="2">
        <v>1619.2053447228125</v>
      </c>
      <c r="Z156" s="2">
        <v>4028.6574823942829</v>
      </c>
      <c r="AA156" s="2">
        <v>213.09625377049468</v>
      </c>
      <c r="AB156" s="2">
        <v>2664.2917298124526</v>
      </c>
      <c r="AC156" s="2">
        <v>1446.9708281252401</v>
      </c>
      <c r="AD156" s="2">
        <v>4270.9411282520659</v>
      </c>
      <c r="AE156" s="2">
        <v>569.65879973903873</v>
      </c>
      <c r="AF156" s="2">
        <v>1173.498919265973</v>
      </c>
      <c r="AG156" s="2">
        <v>55.041710454667921</v>
      </c>
      <c r="AH156" s="2">
        <v>442.90365462428252</v>
      </c>
      <c r="AI156" s="2">
        <v>537898.66570149409</v>
      </c>
      <c r="AJ156" s="2">
        <v>486228.87355219712</v>
      </c>
      <c r="AL156" s="27">
        <v>0.91656876564418743</v>
      </c>
      <c r="AM156" s="27">
        <v>0.91557928168152292</v>
      </c>
      <c r="AN156" s="27">
        <v>0.90846409427874075</v>
      </c>
      <c r="AO156" s="27">
        <v>0.87145478272496213</v>
      </c>
      <c r="AP156" s="27">
        <v>0.71450694899356726</v>
      </c>
      <c r="AQ156" s="27">
        <v>0.91656876564418743</v>
      </c>
      <c r="AR156" s="27">
        <v>0.91557928168152292</v>
      </c>
      <c r="AS156" s="27">
        <v>0.90846409427874075</v>
      </c>
      <c r="AT156" s="27">
        <v>0.87145478272496213</v>
      </c>
      <c r="AU156" s="27">
        <v>0.71450694899356726</v>
      </c>
      <c r="AW156" s="1">
        <v>13.734477967728967</v>
      </c>
      <c r="AX156" s="1">
        <v>15.812268823379091</v>
      </c>
      <c r="AY156" s="2">
        <v>2228397.1372100841</v>
      </c>
      <c r="AZ156" s="1">
        <v>15.598481052314659</v>
      </c>
      <c r="BA156" s="1">
        <v>17.609207609334774</v>
      </c>
      <c r="BB156" s="2">
        <v>1607219.0771600115</v>
      </c>
      <c r="BC156" s="2">
        <f t="shared" si="21"/>
        <v>-621178.06005007261</v>
      </c>
      <c r="BD156" s="292">
        <f t="shared" si="22"/>
        <v>1.8640030845856916</v>
      </c>
      <c r="BF156" s="170">
        <f t="shared" si="17"/>
        <v>-30880.662373449188</v>
      </c>
      <c r="BG156" s="2">
        <f t="shared" si="18"/>
        <v>888537.89121033391</v>
      </c>
      <c r="BI156">
        <f t="shared" si="19"/>
        <v>0</v>
      </c>
      <c r="BJ156" s="95">
        <f t="shared" si="20"/>
        <v>1</v>
      </c>
      <c r="BP156" s="217">
        <f t="shared" si="23"/>
        <v>888537.89121033391</v>
      </c>
    </row>
    <row r="157" spans="1:68">
      <c r="A157" s="11">
        <v>151</v>
      </c>
      <c r="C157" s="27">
        <v>0.91878060592680455</v>
      </c>
      <c r="D157" s="27">
        <v>8.121939407319545E-2</v>
      </c>
      <c r="E157" s="27">
        <v>0</v>
      </c>
      <c r="F157" s="27">
        <v>0.8585635793205455</v>
      </c>
      <c r="G157" s="27">
        <v>0.1414364206794545</v>
      </c>
      <c r="H157" s="27">
        <v>0</v>
      </c>
      <c r="I157" s="27">
        <v>0.76100518871246126</v>
      </c>
      <c r="J157" s="27">
        <v>0.23899481128753877</v>
      </c>
      <c r="K157" s="27">
        <v>0</v>
      </c>
      <c r="L157" s="27">
        <v>2.8740212746353966E-2</v>
      </c>
      <c r="M157" s="27">
        <v>0.52670382625661905</v>
      </c>
      <c r="N157" s="27">
        <v>0.44455596099702699</v>
      </c>
      <c r="O157" s="27">
        <v>-10.901899747392543</v>
      </c>
      <c r="P157" s="27">
        <v>3.4757220752121405E-2</v>
      </c>
      <c r="Q157" s="27">
        <v>7.9313954341759973E-5</v>
      </c>
      <c r="R157" s="27">
        <v>1.0429941700974374</v>
      </c>
      <c r="S157" s="154"/>
      <c r="T157">
        <v>1.1311658898615697</v>
      </c>
      <c r="U157">
        <v>2.285115413765666</v>
      </c>
      <c r="V157">
        <v>3.21438119971392</v>
      </c>
      <c r="W157">
        <v>1</v>
      </c>
      <c r="Y157" s="2">
        <v>3638.6539403918396</v>
      </c>
      <c r="Z157" s="2">
        <v>1564.0565619111919</v>
      </c>
      <c r="AA157" s="2">
        <v>955.24515825198375</v>
      </c>
      <c r="AB157" s="2">
        <v>5861.1322243440854</v>
      </c>
      <c r="AC157" s="2">
        <v>1902.3526220434096</v>
      </c>
      <c r="AD157" s="2">
        <v>1471.7420319179862</v>
      </c>
      <c r="AE157" s="2">
        <v>560.56906886922502</v>
      </c>
      <c r="AF157" s="2">
        <v>1053.8781600004918</v>
      </c>
      <c r="AG157" s="2">
        <v>82.547431289549749</v>
      </c>
      <c r="AH157" s="2">
        <v>553.54385985658143</v>
      </c>
      <c r="AI157" s="2">
        <v>490916.19650103187</v>
      </c>
      <c r="AJ157" s="2">
        <v>447290.03909389628</v>
      </c>
      <c r="AL157" s="27">
        <v>0.9113342901985616</v>
      </c>
      <c r="AM157" s="27">
        <v>0.9163038617281799</v>
      </c>
      <c r="AN157" s="27">
        <v>0.9063755616371425</v>
      </c>
      <c r="AO157" s="27">
        <v>0.88160807802570829</v>
      </c>
      <c r="AP157" s="27">
        <v>0.82869823717178692</v>
      </c>
      <c r="AQ157" s="27">
        <v>0.9113342901985616</v>
      </c>
      <c r="AR157" s="27">
        <v>0.9163038617281799</v>
      </c>
      <c r="AS157" s="27">
        <v>0.9063755616371425</v>
      </c>
      <c r="AT157" s="27">
        <v>0.88160807802570829</v>
      </c>
      <c r="AU157" s="27">
        <v>0.82869823717178692</v>
      </c>
      <c r="AW157" s="1">
        <v>13.255030131539403</v>
      </c>
      <c r="AX157" s="1">
        <v>14.863455119393606</v>
      </c>
      <c r="AY157" s="2">
        <v>1950959.2499243328</v>
      </c>
      <c r="AZ157" s="1">
        <v>15.469440054447707</v>
      </c>
      <c r="BA157" s="1">
        <v>17.180677034666591</v>
      </c>
      <c r="BB157" s="2">
        <v>1376835.3160509523</v>
      </c>
      <c r="BC157" s="2">
        <f t="shared" si="21"/>
        <v>-574123.93387338053</v>
      </c>
      <c r="BD157" s="292">
        <f t="shared" si="22"/>
        <v>2.2144099229083043</v>
      </c>
      <c r="BF157" s="170">
        <f t="shared" si="17"/>
        <v>169845.57112197159</v>
      </c>
      <c r="BG157" s="2">
        <f t="shared" si="18"/>
        <v>1098275.0926606809</v>
      </c>
      <c r="BI157">
        <f t="shared" si="19"/>
        <v>0</v>
      </c>
      <c r="BJ157" s="95">
        <f t="shared" si="20"/>
        <v>1</v>
      </c>
      <c r="BP157" s="217">
        <f t="shared" si="23"/>
        <v>1098275.0926606809</v>
      </c>
    </row>
    <row r="158" spans="1:68">
      <c r="A158" s="11">
        <v>152</v>
      </c>
      <c r="C158" s="27">
        <v>0.92377411248087204</v>
      </c>
      <c r="D158" s="27">
        <v>7.6225887519127997E-2</v>
      </c>
      <c r="E158" s="27">
        <v>0</v>
      </c>
      <c r="F158" s="27">
        <v>0.8623333847056871</v>
      </c>
      <c r="G158" s="27">
        <v>0.13766661529431293</v>
      </c>
      <c r="H158" s="27">
        <v>0</v>
      </c>
      <c r="I158" s="27">
        <v>0.74883275623542467</v>
      </c>
      <c r="J158" s="27">
        <v>0.25116724376457533</v>
      </c>
      <c r="K158" s="27">
        <v>0</v>
      </c>
      <c r="L158" s="27">
        <v>0.12550879665369613</v>
      </c>
      <c r="M158" s="27">
        <v>0.51525084302935742</v>
      </c>
      <c r="N158" s="27">
        <v>0.35924036031694645</v>
      </c>
      <c r="O158" s="27">
        <v>-11.368617867609048</v>
      </c>
      <c r="P158" s="27">
        <v>3.3926289187712622E-2</v>
      </c>
      <c r="Q158" s="27">
        <v>4.8028608137780986E-5</v>
      </c>
      <c r="R158" s="27">
        <v>1.1083025105083502</v>
      </c>
      <c r="S158" s="154"/>
      <c r="T158">
        <v>1.0808515970144106</v>
      </c>
      <c r="U158">
        <v>2.3451779805347317</v>
      </c>
      <c r="V158">
        <v>2.7894599837305183</v>
      </c>
      <c r="W158">
        <v>1</v>
      </c>
      <c r="Y158" s="2">
        <v>1533.3703523752604</v>
      </c>
      <c r="Z158" s="2">
        <v>3949.7856642367019</v>
      </c>
      <c r="AA158" s="2">
        <v>448.91193084350857</v>
      </c>
      <c r="AB158" s="2">
        <v>1350.8125994640488</v>
      </c>
      <c r="AC158" s="2">
        <v>669.09506785757594</v>
      </c>
      <c r="AD158" s="2">
        <v>2200.3731840993655</v>
      </c>
      <c r="AE158" s="2">
        <v>473.10629575923042</v>
      </c>
      <c r="AF158" s="2">
        <v>815.11182086694168</v>
      </c>
      <c r="AG158" s="2">
        <v>85.079674335274717</v>
      </c>
      <c r="AH158" s="2">
        <v>392.17771596314554</v>
      </c>
      <c r="AI158" s="2">
        <v>509042.16561581317</v>
      </c>
      <c r="AJ158" s="2">
        <v>469458.19157821237</v>
      </c>
      <c r="AL158" s="27">
        <v>0.91579867613337584</v>
      </c>
      <c r="AM158" s="27">
        <v>0.91490389098346903</v>
      </c>
      <c r="AN158" s="27">
        <v>0.90713894641090798</v>
      </c>
      <c r="AO158" s="27">
        <v>0.9022460154292804</v>
      </c>
      <c r="AP158" s="27">
        <v>0.80037282794369347</v>
      </c>
      <c r="AQ158" s="27">
        <v>0.91579867613337584</v>
      </c>
      <c r="AR158" s="27">
        <v>0.91490389098346903</v>
      </c>
      <c r="AS158" s="27">
        <v>0.90713894641090798</v>
      </c>
      <c r="AT158" s="27">
        <v>0.9022460154292804</v>
      </c>
      <c r="AU158" s="27">
        <v>0.80037282794369347</v>
      </c>
      <c r="AW158" s="1">
        <v>13.689639711069773</v>
      </c>
      <c r="AX158" s="1">
        <v>15.381222548625935</v>
      </c>
      <c r="AY158" s="2">
        <v>1970409.2567306296</v>
      </c>
      <c r="AZ158" s="1">
        <v>15.660534115703605</v>
      </c>
      <c r="BA158" s="1">
        <v>17.408277288967788</v>
      </c>
      <c r="BB158" s="2">
        <v>1349074.6614657128</v>
      </c>
      <c r="BC158" s="2">
        <f t="shared" si="21"/>
        <v>-621334.59526491677</v>
      </c>
      <c r="BD158" s="292">
        <f t="shared" si="22"/>
        <v>1.9708944046338317</v>
      </c>
      <c r="BF158" s="170">
        <f t="shared" si="17"/>
        <v>219933.09704053402</v>
      </c>
      <c r="BG158" s="2">
        <f t="shared" si="18"/>
        <v>1156610.7970468639</v>
      </c>
      <c r="BI158">
        <f t="shared" si="19"/>
        <v>0</v>
      </c>
      <c r="BJ158" s="95">
        <f t="shared" si="20"/>
        <v>1</v>
      </c>
      <c r="BP158" s="217">
        <f t="shared" si="23"/>
        <v>1156610.7970468639</v>
      </c>
    </row>
    <row r="159" spans="1:68">
      <c r="A159" s="11">
        <v>153</v>
      </c>
      <c r="C159" s="27">
        <v>0.92313692039563522</v>
      </c>
      <c r="D159" s="27">
        <v>7.6863079604364754E-2</v>
      </c>
      <c r="E159" s="27">
        <v>0</v>
      </c>
      <c r="F159" s="27">
        <v>0.86166485141494986</v>
      </c>
      <c r="G159" s="27">
        <v>0.13833514858505011</v>
      </c>
      <c r="H159" s="27">
        <v>0</v>
      </c>
      <c r="I159" s="27">
        <v>0.75423920715873183</v>
      </c>
      <c r="J159" s="27">
        <v>0.24576079284126817</v>
      </c>
      <c r="K159" s="27">
        <v>0</v>
      </c>
      <c r="L159" s="27">
        <v>0.10937251710063367</v>
      </c>
      <c r="M159" s="27">
        <v>0.45634315487110161</v>
      </c>
      <c r="N159" s="27">
        <v>0.43428432802826467</v>
      </c>
      <c r="O159" s="27">
        <v>-11.234940311907406</v>
      </c>
      <c r="P159" s="27">
        <v>3.5757609537545462E-2</v>
      </c>
      <c r="Q159" s="27">
        <v>5.9286987487275965E-5</v>
      </c>
      <c r="R159" s="27">
        <v>1.0717011966579089</v>
      </c>
      <c r="S159" s="154"/>
      <c r="T159">
        <v>1.0768638928649694</v>
      </c>
      <c r="U159">
        <v>2.2461657228562206</v>
      </c>
      <c r="V159">
        <v>3.0448512135409551</v>
      </c>
      <c r="W159">
        <v>1</v>
      </c>
      <c r="Y159" s="2">
        <v>249.47784094906237</v>
      </c>
      <c r="Z159" s="2">
        <v>12590.136836365507</v>
      </c>
      <c r="AA159" s="2">
        <v>1141.1747393647117</v>
      </c>
      <c r="AB159" s="2">
        <v>6483.6780220608644</v>
      </c>
      <c r="AC159" s="2">
        <v>1630.4495377926953</v>
      </c>
      <c r="AD159" s="2">
        <v>887.01354305832911</v>
      </c>
      <c r="AE159" s="2">
        <v>535.04879849979181</v>
      </c>
      <c r="AF159" s="2">
        <v>1149.829882888668</v>
      </c>
      <c r="AG159" s="2">
        <v>246.22923154619505</v>
      </c>
      <c r="AH159" s="2">
        <v>235.72549149645198</v>
      </c>
      <c r="AI159" s="2">
        <v>535989.44919599022</v>
      </c>
      <c r="AJ159" s="2">
        <v>494279.24519907369</v>
      </c>
      <c r="AL159" s="27">
        <v>0.91649941953843894</v>
      </c>
      <c r="AM159" s="27">
        <v>0.91916311215240176</v>
      </c>
      <c r="AN159" s="27">
        <v>0.90056557507739365</v>
      </c>
      <c r="AO159" s="27">
        <v>0.85241738691323388</v>
      </c>
      <c r="AP159" s="27">
        <v>0.70557679813737273</v>
      </c>
      <c r="AQ159" s="27">
        <v>0.91649941953843894</v>
      </c>
      <c r="AR159" s="27">
        <v>0.91916311215240176</v>
      </c>
      <c r="AS159" s="27">
        <v>0.90056557507739365</v>
      </c>
      <c r="AT159" s="27">
        <v>0.85241738691323388</v>
      </c>
      <c r="AU159" s="27">
        <v>0.70557679813737273</v>
      </c>
      <c r="AW159" s="1">
        <v>13.150871137457044</v>
      </c>
      <c r="AX159" s="1">
        <v>15.095339341188469</v>
      </c>
      <c r="AY159" s="2">
        <v>2032894.3042372135</v>
      </c>
      <c r="AZ159" s="1">
        <v>15.293544835115222</v>
      </c>
      <c r="BA159" s="1">
        <v>17.209935120231833</v>
      </c>
      <c r="BB159" s="2">
        <v>1391229.1518356977</v>
      </c>
      <c r="BC159" s="2">
        <f t="shared" si="21"/>
        <v>-641665.15240151575</v>
      </c>
      <c r="BD159" s="292">
        <f t="shared" si="22"/>
        <v>2.1426736976581786</v>
      </c>
      <c r="BF159" s="170">
        <f t="shared" si="17"/>
        <v>71245.077755913604</v>
      </c>
      <c r="BG159" s="2">
        <f t="shared" si="18"/>
        <v>1055738.0217827377</v>
      </c>
      <c r="BI159">
        <f t="shared" si="19"/>
        <v>0</v>
      </c>
      <c r="BJ159" s="95">
        <f t="shared" si="20"/>
        <v>1</v>
      </c>
      <c r="BP159" s="217">
        <f t="shared" si="23"/>
        <v>1055738.0217827377</v>
      </c>
    </row>
    <row r="160" spans="1:68">
      <c r="A160" s="11">
        <v>154</v>
      </c>
      <c r="C160" s="27">
        <v>0.9257107967193352</v>
      </c>
      <c r="D160" s="27">
        <v>7.4289203280664809E-2</v>
      </c>
      <c r="E160" s="27">
        <v>0</v>
      </c>
      <c r="F160" s="27">
        <v>0.86002081557547427</v>
      </c>
      <c r="G160" s="27">
        <v>0.13997918442452578</v>
      </c>
      <c r="H160" s="27">
        <v>0</v>
      </c>
      <c r="I160" s="27">
        <v>0.74856887401374039</v>
      </c>
      <c r="J160" s="27">
        <v>0.25143112598625961</v>
      </c>
      <c r="K160" s="27">
        <v>0</v>
      </c>
      <c r="L160" s="27">
        <v>9.42804340198522E-2</v>
      </c>
      <c r="M160" s="27">
        <v>0.48872776704009585</v>
      </c>
      <c r="N160" s="27">
        <v>0.41699179894005201</v>
      </c>
      <c r="O160" s="27">
        <v>-11.24014369043668</v>
      </c>
      <c r="P160" s="27">
        <v>3.4456016084869312E-2</v>
      </c>
      <c r="Q160" s="27">
        <v>5.5841624109803507E-5</v>
      </c>
      <c r="R160" s="27">
        <v>1.0839302635884016</v>
      </c>
      <c r="S160" s="154"/>
      <c r="T160">
        <v>1.0114601566069923</v>
      </c>
      <c r="U160">
        <v>2.1925149961608623</v>
      </c>
      <c r="V160">
        <v>3.2900315543079381</v>
      </c>
      <c r="W160">
        <v>1</v>
      </c>
      <c r="Y160" s="2">
        <v>2479.5287854870685</v>
      </c>
      <c r="Z160" s="2">
        <v>3182.7509002803727</v>
      </c>
      <c r="AA160" s="2">
        <v>2543.1709223334278</v>
      </c>
      <c r="AB160" s="2">
        <v>8847.220536250903</v>
      </c>
      <c r="AC160" s="2">
        <v>1074.827891392908</v>
      </c>
      <c r="AD160" s="2">
        <v>1547.1216724850685</v>
      </c>
      <c r="AE160" s="2">
        <v>527.6848015909809</v>
      </c>
      <c r="AF160" s="2">
        <v>903.44427042199231</v>
      </c>
      <c r="AG160" s="2">
        <v>117.43578862101343</v>
      </c>
      <c r="AH160" s="2">
        <v>489.95664626417465</v>
      </c>
      <c r="AI160" s="2">
        <v>499616.81408547144</v>
      </c>
      <c r="AJ160" s="2">
        <v>476126.25220471103</v>
      </c>
      <c r="AL160" s="27">
        <v>0.91666531092513681</v>
      </c>
      <c r="AM160" s="27">
        <v>0.90732824948731761</v>
      </c>
      <c r="AN160" s="27">
        <v>0.91164378873869145</v>
      </c>
      <c r="AO160" s="27">
        <v>0.83811707253402989</v>
      </c>
      <c r="AP160" s="27">
        <v>0.67961162530894192</v>
      </c>
      <c r="AQ160" s="27">
        <v>0.91666531092513681</v>
      </c>
      <c r="AR160" s="27">
        <v>0.90732824948731761</v>
      </c>
      <c r="AS160" s="27">
        <v>0.91164378873869145</v>
      </c>
      <c r="AT160" s="27">
        <v>0.83811707253402989</v>
      </c>
      <c r="AU160" s="27">
        <v>0.67961162530894192</v>
      </c>
      <c r="AW160" s="1">
        <v>13.367197078909022</v>
      </c>
      <c r="AX160" s="1">
        <v>15.430883852683534</v>
      </c>
      <c r="AY160" s="2">
        <v>1841348.6296738603</v>
      </c>
      <c r="AZ160" s="1">
        <v>15.284182765646014</v>
      </c>
      <c r="BA160" s="1">
        <v>17.301801767097444</v>
      </c>
      <c r="BB160" s="2">
        <v>1446292.3892681827</v>
      </c>
      <c r="BC160" s="2">
        <f t="shared" si="21"/>
        <v>-395056.24040567758</v>
      </c>
      <c r="BD160" s="292">
        <f t="shared" si="22"/>
        <v>1.9169856867369912</v>
      </c>
      <c r="BF160" s="170">
        <f t="shared" si="17"/>
        <v>297402.9029515835</v>
      </c>
      <c r="BG160" s="2">
        <f t="shared" si="18"/>
        <v>999176.85323517956</v>
      </c>
      <c r="BI160">
        <f t="shared" si="19"/>
        <v>0</v>
      </c>
      <c r="BJ160" s="95">
        <f t="shared" si="20"/>
        <v>1</v>
      </c>
      <c r="BP160" s="217">
        <f t="shared" si="23"/>
        <v>999176.85323517956</v>
      </c>
    </row>
    <row r="161" spans="1:68">
      <c r="A161" s="11">
        <v>155</v>
      </c>
      <c r="C161" s="27">
        <v>0.92107039872259278</v>
      </c>
      <c r="D161" s="27">
        <v>7.8929601277407224E-2</v>
      </c>
      <c r="E161" s="27">
        <v>0</v>
      </c>
      <c r="F161" s="27">
        <v>0.86059988627460104</v>
      </c>
      <c r="G161" s="27">
        <v>0.13940011372539896</v>
      </c>
      <c r="H161" s="27">
        <v>0</v>
      </c>
      <c r="I161" s="27">
        <v>0.75029040152393556</v>
      </c>
      <c r="J161" s="27">
        <v>0.24970959847606439</v>
      </c>
      <c r="K161" s="27">
        <v>0</v>
      </c>
      <c r="L161" s="27">
        <v>7.7257790068536281E-2</v>
      </c>
      <c r="M161" s="27">
        <v>0.55304825970337546</v>
      </c>
      <c r="N161" s="27">
        <v>0.36969395022808826</v>
      </c>
      <c r="O161" s="27">
        <v>-11.123460903876657</v>
      </c>
      <c r="P161" s="27">
        <v>3.4380695068744631E-2</v>
      </c>
      <c r="Q161" s="27">
        <v>6.2554541924269021E-5</v>
      </c>
      <c r="R161" s="27">
        <v>1.062242423260525</v>
      </c>
      <c r="S161" s="154"/>
      <c r="T161">
        <v>0.88428921105465408</v>
      </c>
      <c r="U161">
        <v>2.2719822820692248</v>
      </c>
      <c r="V161">
        <v>3.0640944003048252</v>
      </c>
      <c r="W161">
        <v>1</v>
      </c>
      <c r="Y161" s="2">
        <v>1964.447124061945</v>
      </c>
      <c r="Z161" s="2">
        <v>2310.1732914259096</v>
      </c>
      <c r="AA161" s="2">
        <v>3918.766482677021</v>
      </c>
      <c r="AB161" s="2">
        <v>7978.1071795076177</v>
      </c>
      <c r="AC161" s="2">
        <v>3990.1206882518727</v>
      </c>
      <c r="AD161" s="2">
        <v>6166.4888794815015</v>
      </c>
      <c r="AE161" s="2">
        <v>560.93698549980377</v>
      </c>
      <c r="AF161" s="2">
        <v>1489.5698739288875</v>
      </c>
      <c r="AG161" s="2">
        <v>111.36810170288476</v>
      </c>
      <c r="AH161" s="2">
        <v>359.9234799374043</v>
      </c>
      <c r="AI161" s="2">
        <v>477964.16869166424</v>
      </c>
      <c r="AJ161" s="2">
        <v>435801.01790430892</v>
      </c>
      <c r="AL161" s="27">
        <v>0.91637332289173379</v>
      </c>
      <c r="AM161" s="27">
        <v>0.91249829184072517</v>
      </c>
      <c r="AN161" s="27">
        <v>0.91259414578084697</v>
      </c>
      <c r="AO161" s="27">
        <v>0.88847001969651973</v>
      </c>
      <c r="AP161" s="27">
        <v>0.69684174661911058</v>
      </c>
      <c r="AQ161" s="27">
        <v>0.91637332289173379</v>
      </c>
      <c r="AR161" s="27">
        <v>0.91249829184072517</v>
      </c>
      <c r="AS161" s="27">
        <v>0.91259414578084697</v>
      </c>
      <c r="AT161" s="27">
        <v>0.88847001969651973</v>
      </c>
      <c r="AU161" s="27">
        <v>0.69684174661911058</v>
      </c>
      <c r="AW161" s="1">
        <v>13.974599335511886</v>
      </c>
      <c r="AX161" s="1">
        <v>16.071362164534371</v>
      </c>
      <c r="AY161" s="2">
        <v>1899087.1967034701</v>
      </c>
      <c r="AZ161" s="1">
        <v>15.460758842498652</v>
      </c>
      <c r="BA161" s="1">
        <v>17.501200772218137</v>
      </c>
      <c r="BB161" s="2">
        <v>1641875.8328975132</v>
      </c>
      <c r="BC161" s="2">
        <f t="shared" si="21"/>
        <v>-257211.36380595691</v>
      </c>
      <c r="BD161" s="292">
        <f t="shared" si="22"/>
        <v>1.4861595069867661</v>
      </c>
      <c r="BF161" s="170">
        <f t="shared" si="17"/>
        <v>336848.69697843189</v>
      </c>
      <c r="BG161" s="2">
        <f t="shared" si="18"/>
        <v>831845.58190227114</v>
      </c>
      <c r="BI161">
        <f t="shared" si="19"/>
        <v>0</v>
      </c>
      <c r="BJ161" s="95">
        <f t="shared" si="20"/>
        <v>1</v>
      </c>
      <c r="BP161" s="217">
        <f t="shared" si="23"/>
        <v>831845.58190227114</v>
      </c>
    </row>
    <row r="162" spans="1:68">
      <c r="A162" s="11">
        <v>156</v>
      </c>
      <c r="C162" s="27">
        <v>0.92618552343847815</v>
      </c>
      <c r="D162" s="27">
        <v>7.3814476561521805E-2</v>
      </c>
      <c r="E162" s="27">
        <v>0</v>
      </c>
      <c r="F162" s="27">
        <v>0.85146714956266945</v>
      </c>
      <c r="G162" s="27">
        <v>0.14853285043733055</v>
      </c>
      <c r="H162" s="27">
        <v>0</v>
      </c>
      <c r="I162" s="27">
        <v>0.73923673043838589</v>
      </c>
      <c r="J162" s="27">
        <v>0.26076326956161411</v>
      </c>
      <c r="K162" s="27">
        <v>0</v>
      </c>
      <c r="L162" s="27">
        <v>0.14045937058767799</v>
      </c>
      <c r="M162" s="27">
        <v>0.47548982685216673</v>
      </c>
      <c r="N162" s="27">
        <v>0.38405080256015522</v>
      </c>
      <c r="O162" s="27">
        <v>-11.39058395019647</v>
      </c>
      <c r="P162" s="27">
        <v>3.6339385182643812E-2</v>
      </c>
      <c r="Q162" s="27">
        <v>5.1996727579558601E-5</v>
      </c>
      <c r="R162" s="27">
        <v>1.0878848216763592</v>
      </c>
      <c r="S162" s="154"/>
      <c r="T162">
        <v>1.0531276470632907</v>
      </c>
      <c r="U162">
        <v>2.2870469595642904</v>
      </c>
      <c r="V162">
        <v>2.9828781175429304</v>
      </c>
      <c r="W162">
        <v>1</v>
      </c>
      <c r="Y162" s="2">
        <v>929.63310611052043</v>
      </c>
      <c r="Z162" s="2">
        <v>3307.5620876011735</v>
      </c>
      <c r="AA162" s="2">
        <v>2581.684536587215</v>
      </c>
      <c r="AB162" s="2">
        <v>3830.1847213573774</v>
      </c>
      <c r="AC162" s="2">
        <v>981.3653988894722</v>
      </c>
      <c r="AD162" s="2">
        <v>2671.5150570689157</v>
      </c>
      <c r="AE162" s="2">
        <v>598.56082006819997</v>
      </c>
      <c r="AF162" s="2">
        <v>1009.5344509719675</v>
      </c>
      <c r="AG162" s="2">
        <v>200.38108726797262</v>
      </c>
      <c r="AH162" s="2">
        <v>336.42605330777656</v>
      </c>
      <c r="AI162" s="2">
        <v>476241.74925822788</v>
      </c>
      <c r="AJ162" s="2">
        <v>443809.82737187168</v>
      </c>
      <c r="AL162" s="27">
        <v>0.91316606769731978</v>
      </c>
      <c r="AM162" s="27">
        <v>0.91504744615322053</v>
      </c>
      <c r="AN162" s="27">
        <v>0.89567480003510802</v>
      </c>
      <c r="AO162" s="27">
        <v>0.89758949614465067</v>
      </c>
      <c r="AP162" s="27">
        <v>0.78780807117409657</v>
      </c>
      <c r="AQ162" s="27">
        <v>0.91316606769731978</v>
      </c>
      <c r="AR162" s="27">
        <v>0.91504744615322053</v>
      </c>
      <c r="AS162" s="27">
        <v>0.89567480003510802</v>
      </c>
      <c r="AT162" s="27">
        <v>0.89758949614465067</v>
      </c>
      <c r="AU162" s="27">
        <v>0.78780807117409657</v>
      </c>
      <c r="AW162" s="1">
        <v>13.634791822379297</v>
      </c>
      <c r="AX162" s="1">
        <v>15.389349010364448</v>
      </c>
      <c r="AY162" s="2">
        <v>1810845.8277647749</v>
      </c>
      <c r="AZ162" s="1">
        <v>15.48045826586131</v>
      </c>
      <c r="BA162" s="1">
        <v>17.290583833609634</v>
      </c>
      <c r="BB162" s="2">
        <v>1366639.7385915692</v>
      </c>
      <c r="BC162" s="2">
        <f t="shared" si="21"/>
        <v>-444206.08917320566</v>
      </c>
      <c r="BD162" s="292">
        <f t="shared" si="22"/>
        <v>1.8456664434820134</v>
      </c>
      <c r="BF162" s="170">
        <f t="shared" si="17"/>
        <v>370720.86381591274</v>
      </c>
      <c r="BG162" s="2">
        <f t="shared" si="18"/>
        <v>1110233.5839462404</v>
      </c>
      <c r="BI162">
        <f t="shared" si="19"/>
        <v>0</v>
      </c>
      <c r="BJ162" s="95">
        <f t="shared" si="20"/>
        <v>1</v>
      </c>
      <c r="BP162" s="217">
        <f t="shared" si="23"/>
        <v>1110233.5839462404</v>
      </c>
    </row>
    <row r="163" spans="1:68">
      <c r="A163" s="11">
        <v>157</v>
      </c>
      <c r="C163" s="27">
        <v>0.91823765283954084</v>
      </c>
      <c r="D163" s="27">
        <v>8.1762347160459159E-2</v>
      </c>
      <c r="E163" s="27">
        <v>0</v>
      </c>
      <c r="F163" s="27">
        <v>0.85721228506629998</v>
      </c>
      <c r="G163" s="27">
        <v>0.14278771493369999</v>
      </c>
      <c r="H163" s="27">
        <v>0</v>
      </c>
      <c r="I163" s="27">
        <v>0.74585849582942065</v>
      </c>
      <c r="J163" s="27">
        <v>0.25414150417057935</v>
      </c>
      <c r="K163" s="27">
        <v>0</v>
      </c>
      <c r="L163" s="27">
        <v>0.13476575658345813</v>
      </c>
      <c r="M163" s="27">
        <v>0.52281449674834835</v>
      </c>
      <c r="N163" s="27">
        <v>0.34241974666819353</v>
      </c>
      <c r="O163" s="27">
        <v>-11.480166379210218</v>
      </c>
      <c r="P163" s="27">
        <v>3.8381273224164687E-2</v>
      </c>
      <c r="Q163" s="27">
        <v>5.1798316781351518E-5</v>
      </c>
      <c r="R163" s="27">
        <v>1.0778181416546988</v>
      </c>
      <c r="S163" s="154"/>
      <c r="T163">
        <v>1.0693179922040164</v>
      </c>
      <c r="U163">
        <v>2.241166705713511</v>
      </c>
      <c r="V163">
        <v>2.9478646811057678</v>
      </c>
      <c r="W163">
        <v>1</v>
      </c>
      <c r="Y163" s="2">
        <v>245.01680475345461</v>
      </c>
      <c r="Z163" s="2">
        <v>3642.4111417577465</v>
      </c>
      <c r="AA163" s="2">
        <v>268.07427687278567</v>
      </c>
      <c r="AB163" s="2">
        <v>8476.4434614808179</v>
      </c>
      <c r="AC163" s="2">
        <v>124.09664354058621</v>
      </c>
      <c r="AD163" s="2">
        <v>226.78723315774943</v>
      </c>
      <c r="AE163" s="2">
        <v>544.30398186818115</v>
      </c>
      <c r="AF163" s="2">
        <v>733.60760387133507</v>
      </c>
      <c r="AG163" s="2">
        <v>135.06968172240855</v>
      </c>
      <c r="AH163" s="2">
        <v>378.40214800043833</v>
      </c>
      <c r="AI163" s="2">
        <v>436765.16824233491</v>
      </c>
      <c r="AJ163" s="2">
        <v>402899.06358224433</v>
      </c>
      <c r="AL163" s="27">
        <v>0.91527560627602333</v>
      </c>
      <c r="AM163" s="27">
        <v>0.91488452441725088</v>
      </c>
      <c r="AN163" s="27">
        <v>0.90391321693811633</v>
      </c>
      <c r="AO163" s="27">
        <v>0.90938425095979747</v>
      </c>
      <c r="AP163" s="27">
        <v>0.67506397619798719</v>
      </c>
      <c r="AQ163" s="27">
        <v>0.91527560627602333</v>
      </c>
      <c r="AR163" s="27">
        <v>0.91488452441725088</v>
      </c>
      <c r="AS163" s="27">
        <v>0.90391321693811633</v>
      </c>
      <c r="AT163" s="27">
        <v>0.90938425095979747</v>
      </c>
      <c r="AU163" s="27">
        <v>0.67506397619798719</v>
      </c>
      <c r="AW163" s="1">
        <v>13.332029345559055</v>
      </c>
      <c r="AX163" s="1">
        <v>15.565381713114085</v>
      </c>
      <c r="AY163" s="2">
        <v>1923338.477365532</v>
      </c>
      <c r="AZ163" s="1">
        <v>15.328954385032441</v>
      </c>
      <c r="BA163" s="1">
        <v>17.453184879961292</v>
      </c>
      <c r="BB163" s="2">
        <v>1435670.8000695549</v>
      </c>
      <c r="BC163" s="2">
        <f t="shared" si="21"/>
        <v>-487667.67729597702</v>
      </c>
      <c r="BD163" s="292">
        <f t="shared" si="22"/>
        <v>1.9969250394733855</v>
      </c>
      <c r="BF163" s="170">
        <f t="shared" si="17"/>
        <v>209786.21792391688</v>
      </c>
      <c r="BG163" s="2">
        <f t="shared" si="18"/>
        <v>1016961.9015356356</v>
      </c>
      <c r="BI163">
        <f t="shared" si="19"/>
        <v>0</v>
      </c>
      <c r="BJ163" s="95">
        <f t="shared" si="20"/>
        <v>1</v>
      </c>
      <c r="BP163" s="217">
        <f t="shared" si="23"/>
        <v>1016961.9015356356</v>
      </c>
    </row>
    <row r="164" spans="1:68">
      <c r="A164" s="11">
        <v>158</v>
      </c>
      <c r="C164" s="27">
        <v>0.92606039702631904</v>
      </c>
      <c r="D164" s="27">
        <v>7.393960297368099E-2</v>
      </c>
      <c r="E164" s="27">
        <v>0</v>
      </c>
      <c r="F164" s="27">
        <v>0.8546359932577926</v>
      </c>
      <c r="G164" s="27">
        <v>0.1453640067422074</v>
      </c>
      <c r="H164" s="27">
        <v>0</v>
      </c>
      <c r="I164" s="27">
        <v>0.74033375435299142</v>
      </c>
      <c r="J164" s="27">
        <v>0.25966624564700858</v>
      </c>
      <c r="K164" s="27">
        <v>0</v>
      </c>
      <c r="L164" s="27">
        <v>8.2326407350180486E-2</v>
      </c>
      <c r="M164" s="27">
        <v>0.53954555287848338</v>
      </c>
      <c r="N164" s="27">
        <v>0.37812803977133613</v>
      </c>
      <c r="O164" s="27">
        <v>-10.80264663593567</v>
      </c>
      <c r="P164" s="27">
        <v>3.1550758235544554E-2</v>
      </c>
      <c r="Q164" s="27">
        <v>7.6553953589443571E-5</v>
      </c>
      <c r="R164" s="27">
        <v>1.0524550941200068</v>
      </c>
      <c r="S164" s="154"/>
      <c r="T164">
        <v>0.90290121725518824</v>
      </c>
      <c r="U164">
        <v>2.189245834207139</v>
      </c>
      <c r="V164">
        <v>2.9964627348776505</v>
      </c>
      <c r="W164">
        <v>1</v>
      </c>
      <c r="Y164" s="2">
        <v>1744.4307451219347</v>
      </c>
      <c r="Z164" s="2">
        <v>14060.046373900912</v>
      </c>
      <c r="AA164" s="2">
        <v>550.54341044564512</v>
      </c>
      <c r="AB164" s="2">
        <v>1386.0462319014232</v>
      </c>
      <c r="AC164" s="2">
        <v>831.1395520021473</v>
      </c>
      <c r="AD164" s="2">
        <v>389.66859734745748</v>
      </c>
      <c r="AE164" s="2">
        <v>603.44503258324505</v>
      </c>
      <c r="AF164" s="2">
        <v>1079.2022082414362</v>
      </c>
      <c r="AG164" s="2">
        <v>164.30221344387843</v>
      </c>
      <c r="AH164" s="2">
        <v>301.78138327546714</v>
      </c>
      <c r="AI164" s="2">
        <v>1126388.2563054881</v>
      </c>
      <c r="AJ164" s="2">
        <v>1094705.8469575832</v>
      </c>
      <c r="AL164" s="27">
        <v>0.91519602894857133</v>
      </c>
      <c r="AM164" s="27">
        <v>0.91339161653027989</v>
      </c>
      <c r="AN164" s="27">
        <v>0.91374559887387408</v>
      </c>
      <c r="AO164" s="27">
        <v>0.85852640939048896</v>
      </c>
      <c r="AP164" s="27">
        <v>0.7473298486056752</v>
      </c>
      <c r="AQ164" s="27">
        <v>0.91519602894857133</v>
      </c>
      <c r="AR164" s="27">
        <v>0.91339161653027989</v>
      </c>
      <c r="AS164" s="27">
        <v>0.91374559887387408</v>
      </c>
      <c r="AT164" s="27">
        <v>0.85852640939048896</v>
      </c>
      <c r="AU164" s="27">
        <v>0.7473298486056752</v>
      </c>
      <c r="AW164" s="1">
        <v>14.095300947468834</v>
      </c>
      <c r="AX164" s="1">
        <v>16.003062765750418</v>
      </c>
      <c r="AY164" s="2">
        <v>4341872.047111433</v>
      </c>
      <c r="AZ164" s="1">
        <v>15.509075227784878</v>
      </c>
      <c r="BA164" s="1">
        <v>17.409486984471812</v>
      </c>
      <c r="BB164" s="2">
        <v>3133261.9195201313</v>
      </c>
      <c r="BC164" s="2">
        <f t="shared" si="21"/>
        <v>-1208610.1275913017</v>
      </c>
      <c r="BD164" s="292">
        <f t="shared" si="22"/>
        <v>1.4137742803160442</v>
      </c>
      <c r="BF164" s="170">
        <f t="shared" si="17"/>
        <v>-2086623.8955164198</v>
      </c>
      <c r="BG164" s="2">
        <f t="shared" si="18"/>
        <v>-651809.88307455089</v>
      </c>
      <c r="BI164">
        <f t="shared" si="19"/>
        <v>0</v>
      </c>
      <c r="BJ164" s="95">
        <f t="shared" si="20"/>
        <v>1</v>
      </c>
      <c r="BP164" s="217">
        <f t="shared" si="23"/>
        <v>-651809.88307455089</v>
      </c>
    </row>
    <row r="165" spans="1:68">
      <c r="A165" s="11">
        <v>159</v>
      </c>
      <c r="C165" s="27">
        <v>0.92419331494167878</v>
      </c>
      <c r="D165" s="27">
        <v>7.5806685058321208E-2</v>
      </c>
      <c r="E165" s="27">
        <v>0</v>
      </c>
      <c r="F165" s="27">
        <v>0.86310197948914491</v>
      </c>
      <c r="G165" s="27">
        <v>0.13689802051085509</v>
      </c>
      <c r="H165" s="27">
        <v>0</v>
      </c>
      <c r="I165" s="27">
        <v>0.74294873131829209</v>
      </c>
      <c r="J165" s="27">
        <v>0.25705126868170791</v>
      </c>
      <c r="K165" s="27">
        <v>0</v>
      </c>
      <c r="L165" s="27">
        <v>8.7718791560574938E-2</v>
      </c>
      <c r="M165" s="27">
        <v>0.54198469933223004</v>
      </c>
      <c r="N165" s="27">
        <v>0.37029650910719503</v>
      </c>
      <c r="O165" s="27">
        <v>-11.252714056102446</v>
      </c>
      <c r="P165" s="27">
        <v>3.5337549767575534E-2</v>
      </c>
      <c r="Q165" s="27">
        <v>5.7224011518844234E-5</v>
      </c>
      <c r="R165" s="27">
        <v>1.0828050516947614</v>
      </c>
      <c r="S165" s="154"/>
      <c r="T165">
        <v>0.96958848789502416</v>
      </c>
      <c r="U165">
        <v>2.1697521829691579</v>
      </c>
      <c r="V165">
        <v>2.9199906114031413</v>
      </c>
      <c r="W165">
        <v>1</v>
      </c>
      <c r="Y165" s="2">
        <v>427.34057625826421</v>
      </c>
      <c r="Z165" s="2">
        <v>3113.4702171447834</v>
      </c>
      <c r="AA165" s="2">
        <v>2287.5306739060929</v>
      </c>
      <c r="AB165" s="2">
        <v>6063.660939656952</v>
      </c>
      <c r="AC165" s="2">
        <v>1324.2037736250138</v>
      </c>
      <c r="AD165" s="2">
        <v>4646.1725135479646</v>
      </c>
      <c r="AE165" s="2">
        <v>473.90170133897465</v>
      </c>
      <c r="AF165" s="2">
        <v>945.85525502868109</v>
      </c>
      <c r="AG165" s="2">
        <v>205.1169416998944</v>
      </c>
      <c r="AH165" s="2">
        <v>125.66025670249283</v>
      </c>
      <c r="AI165" s="2">
        <v>457327.30031742749</v>
      </c>
      <c r="AJ165" s="2">
        <v>417197.52365664463</v>
      </c>
      <c r="AL165" s="27">
        <v>0.91704330872905082</v>
      </c>
      <c r="AM165" s="27">
        <v>0.91789192463819669</v>
      </c>
      <c r="AN165" s="27">
        <v>0.91153610628818416</v>
      </c>
      <c r="AO165" s="27">
        <v>0.80797515389338159</v>
      </c>
      <c r="AP165" s="27">
        <v>0.78436110809754811</v>
      </c>
      <c r="AQ165" s="27">
        <v>0.91704330872905082</v>
      </c>
      <c r="AR165" s="27">
        <v>0.91789192463819669</v>
      </c>
      <c r="AS165" s="27">
        <v>0.91153610628818416</v>
      </c>
      <c r="AT165" s="27">
        <v>0.80797515389338159</v>
      </c>
      <c r="AU165" s="27">
        <v>0.78436110809754811</v>
      </c>
      <c r="AW165" s="1">
        <v>14.044450259898701</v>
      </c>
      <c r="AX165" s="1">
        <v>15.85121005910889</v>
      </c>
      <c r="AY165" s="2">
        <v>1710677.5706675129</v>
      </c>
      <c r="AZ165" s="1">
        <v>15.659023990518124</v>
      </c>
      <c r="BA165" s="1">
        <v>17.471924214497594</v>
      </c>
      <c r="BB165" s="2">
        <v>1403754.7954096333</v>
      </c>
      <c r="BC165" s="2">
        <f t="shared" si="21"/>
        <v>-306922.77525787964</v>
      </c>
      <c r="BD165" s="292">
        <f t="shared" si="22"/>
        <v>1.6145737306194228</v>
      </c>
      <c r="BF165" s="170">
        <f t="shared" si="17"/>
        <v>536434.47091627936</v>
      </c>
      <c r="BG165" s="2">
        <f t="shared" si="18"/>
        <v>1101689.0430732663</v>
      </c>
      <c r="BI165">
        <f t="shared" si="19"/>
        <v>0</v>
      </c>
      <c r="BJ165" s="95">
        <f t="shared" si="20"/>
        <v>1</v>
      </c>
      <c r="BP165" s="217">
        <f t="shared" si="23"/>
        <v>1101689.0430732663</v>
      </c>
    </row>
    <row r="166" spans="1:68">
      <c r="A166" s="11">
        <v>160</v>
      </c>
      <c r="C166" s="27">
        <v>0.92172405705169336</v>
      </c>
      <c r="D166" s="27">
        <v>7.8275942948306643E-2</v>
      </c>
      <c r="E166" s="27">
        <v>0</v>
      </c>
      <c r="F166" s="27">
        <v>0.8614120424843027</v>
      </c>
      <c r="G166" s="27">
        <v>0.1385879575156973</v>
      </c>
      <c r="H166" s="27">
        <v>0</v>
      </c>
      <c r="I166" s="27">
        <v>0.75742036542693814</v>
      </c>
      <c r="J166" s="27">
        <v>0.24257963457306186</v>
      </c>
      <c r="K166" s="27">
        <v>0</v>
      </c>
      <c r="L166" s="27">
        <v>0.19271284346005246</v>
      </c>
      <c r="M166" s="27">
        <v>0.43881767939655358</v>
      </c>
      <c r="N166" s="27">
        <v>0.36846947714339395</v>
      </c>
      <c r="O166" s="27">
        <v>-11.024144688217859</v>
      </c>
      <c r="P166" s="27">
        <v>3.1020382160996653E-2</v>
      </c>
      <c r="Q166" s="27">
        <v>5.9992641948381636E-5</v>
      </c>
      <c r="R166" s="27">
        <v>1.0773290182073998</v>
      </c>
      <c r="S166" s="154"/>
      <c r="T166">
        <v>1.0016399800778664</v>
      </c>
      <c r="U166">
        <v>2.2464481643882324</v>
      </c>
      <c r="V166">
        <v>2.7391018909862588</v>
      </c>
      <c r="W166">
        <v>1</v>
      </c>
      <c r="Y166" s="2">
        <v>968.4112631302221</v>
      </c>
      <c r="Z166" s="2">
        <v>1535.3332625578651</v>
      </c>
      <c r="AA166" s="2">
        <v>530.73655159606085</v>
      </c>
      <c r="AB166" s="2">
        <v>1958.0947526573152</v>
      </c>
      <c r="AC166" s="2">
        <v>1359.6545373092911</v>
      </c>
      <c r="AD166" s="2">
        <v>930.79330979950566</v>
      </c>
      <c r="AE166" s="2">
        <v>629.43257324036551</v>
      </c>
      <c r="AF166" s="2">
        <v>1135.8827939724015</v>
      </c>
      <c r="AG166" s="2">
        <v>103.14053577842265</v>
      </c>
      <c r="AH166" s="2">
        <v>456.36492055001884</v>
      </c>
      <c r="AI166" s="2">
        <v>513939.38918023242</v>
      </c>
      <c r="AJ166" s="2">
        <v>480589.70750716107</v>
      </c>
      <c r="AL166" s="27">
        <v>0.91478767820569096</v>
      </c>
      <c r="AM166" s="27">
        <v>0.915830192754576</v>
      </c>
      <c r="AN166" s="27">
        <v>0.90653771591685817</v>
      </c>
      <c r="AO166" s="27">
        <v>0.88467110526724224</v>
      </c>
      <c r="AP166" s="27">
        <v>0.80043646510772692</v>
      </c>
      <c r="AQ166" s="27">
        <v>0.91478767820569096</v>
      </c>
      <c r="AR166" s="27">
        <v>0.915830192754576</v>
      </c>
      <c r="AS166" s="27">
        <v>0.90653771591685817</v>
      </c>
      <c r="AT166" s="27">
        <v>0.88467110526724224</v>
      </c>
      <c r="AU166" s="27">
        <v>0.80043646510772692</v>
      </c>
      <c r="AW166" s="1">
        <v>13.77612105939453</v>
      </c>
      <c r="AX166" s="1">
        <v>15.462244420076679</v>
      </c>
      <c r="AY166" s="2">
        <v>1826321.1437174808</v>
      </c>
      <c r="AZ166" s="1">
        <v>15.548660877430164</v>
      </c>
      <c r="BA166" s="1">
        <v>17.291047105017473</v>
      </c>
      <c r="BB166" s="2">
        <v>1316388.7802122615</v>
      </c>
      <c r="BC166" s="2">
        <f t="shared" si="21"/>
        <v>-509932.36350521934</v>
      </c>
      <c r="BD166" s="292">
        <f t="shared" si="22"/>
        <v>1.772539818035634</v>
      </c>
      <c r="BF166" s="170">
        <f t="shared" si="17"/>
        <v>377858.22578564379</v>
      </c>
      <c r="BG166" s="2">
        <f t="shared" si="18"/>
        <v>1171396.960176565</v>
      </c>
      <c r="BI166">
        <f t="shared" si="19"/>
        <v>0</v>
      </c>
      <c r="BJ166" s="95">
        <f t="shared" si="20"/>
        <v>1</v>
      </c>
      <c r="BP166" s="217">
        <f t="shared" si="23"/>
        <v>1171396.960176565</v>
      </c>
    </row>
    <row r="167" spans="1:68">
      <c r="A167" s="11">
        <v>161</v>
      </c>
      <c r="C167" s="27">
        <v>0.92539269092721566</v>
      </c>
      <c r="D167" s="27">
        <v>7.4607309072784317E-2</v>
      </c>
      <c r="E167" s="27">
        <v>0</v>
      </c>
      <c r="F167" s="27">
        <v>0.85139771122155783</v>
      </c>
      <c r="G167" s="27">
        <v>0.14860228877844217</v>
      </c>
      <c r="H167" s="27">
        <v>0</v>
      </c>
      <c r="I167" s="27">
        <v>0.7536853742277575</v>
      </c>
      <c r="J167" s="27">
        <v>0.24631462577224247</v>
      </c>
      <c r="K167" s="27">
        <v>0</v>
      </c>
      <c r="L167" s="27">
        <v>0.14583409886017118</v>
      </c>
      <c r="M167" s="27">
        <v>0.51546930136291058</v>
      </c>
      <c r="N167" s="27">
        <v>0.33869659977691824</v>
      </c>
      <c r="O167" s="27">
        <v>-10.546827223479212</v>
      </c>
      <c r="P167" s="27">
        <v>3.4516809530858235E-2</v>
      </c>
      <c r="Q167" s="27">
        <v>1.1198773258231089E-4</v>
      </c>
      <c r="R167" s="27">
        <v>0.9958944380784388</v>
      </c>
      <c r="S167" s="154"/>
      <c r="T167">
        <v>0.91912935333253187</v>
      </c>
      <c r="U167">
        <v>2.3338094079937739</v>
      </c>
      <c r="V167">
        <v>2.9268059595493323</v>
      </c>
      <c r="W167">
        <v>1</v>
      </c>
      <c r="Y167" s="2">
        <v>654.05748040661229</v>
      </c>
      <c r="Z167" s="2">
        <v>292.23053850462685</v>
      </c>
      <c r="AA167" s="2">
        <v>1408.996580836352</v>
      </c>
      <c r="AB167" s="2">
        <v>785.33525507765773</v>
      </c>
      <c r="AC167" s="2">
        <v>736.22440671542188</v>
      </c>
      <c r="AD167" s="2">
        <v>743.57608939933903</v>
      </c>
      <c r="AE167" s="2">
        <v>475.6931505236646</v>
      </c>
      <c r="AF167" s="2">
        <v>1143.5981129899146</v>
      </c>
      <c r="AG167" s="2">
        <v>82.258447273879653</v>
      </c>
      <c r="AH167" s="2">
        <v>414.4948005075193</v>
      </c>
      <c r="AI167" s="2">
        <v>455634.36539082963</v>
      </c>
      <c r="AJ167" s="2">
        <v>417907.83572921774</v>
      </c>
      <c r="AL167" s="27">
        <v>0.9181205981158933</v>
      </c>
      <c r="AM167" s="27">
        <v>0.90998476973689246</v>
      </c>
      <c r="AN167" s="27">
        <v>0.91162105253098447</v>
      </c>
      <c r="AO167" s="27">
        <v>0.91769895983915939</v>
      </c>
      <c r="AP167" s="27">
        <v>0.77277191171653581</v>
      </c>
      <c r="AQ167" s="27">
        <v>0.9181205981158933</v>
      </c>
      <c r="AR167" s="27">
        <v>0.90998476973689246</v>
      </c>
      <c r="AS167" s="27">
        <v>0.91162105253098447</v>
      </c>
      <c r="AT167" s="27">
        <v>0.91769895983915939</v>
      </c>
      <c r="AU167" s="27">
        <v>0.77277191171653581</v>
      </c>
      <c r="AW167" s="1">
        <v>14.347415096844575</v>
      </c>
      <c r="AX167" s="1">
        <v>16.184429661216292</v>
      </c>
      <c r="AY167" s="2">
        <v>1776605.1276991225</v>
      </c>
      <c r="AZ167" s="1">
        <v>15.781214325235183</v>
      </c>
      <c r="BA167" s="1">
        <v>17.62983794449681</v>
      </c>
      <c r="BB167" s="2">
        <v>1353185.0946379988</v>
      </c>
      <c r="BC167" s="2">
        <f t="shared" si="21"/>
        <v>-423420.03306112369</v>
      </c>
      <c r="BD167" s="292">
        <f t="shared" si="22"/>
        <v>1.4337992283906082</v>
      </c>
      <c r="BF167" s="170">
        <f t="shared" si="17"/>
        <v>518981.28779600956</v>
      </c>
      <c r="BG167" s="2">
        <f t="shared" si="18"/>
        <v>1171809.1973996307</v>
      </c>
      <c r="BI167">
        <f t="shared" si="19"/>
        <v>0</v>
      </c>
      <c r="BJ167" s="95">
        <f t="shared" si="20"/>
        <v>1</v>
      </c>
      <c r="BP167" s="217">
        <f t="shared" si="23"/>
        <v>1171809.1973996307</v>
      </c>
    </row>
    <row r="168" spans="1:68">
      <c r="A168" s="11">
        <v>162</v>
      </c>
      <c r="C168" s="27">
        <v>0.92473876551966028</v>
      </c>
      <c r="D168" s="27">
        <v>7.5261234480339723E-2</v>
      </c>
      <c r="E168" s="27">
        <v>0</v>
      </c>
      <c r="F168" s="27">
        <v>0.85100367962654144</v>
      </c>
      <c r="G168" s="27">
        <v>0.14899632037345856</v>
      </c>
      <c r="H168" s="27">
        <v>0</v>
      </c>
      <c r="I168" s="27">
        <v>0.75740441506416267</v>
      </c>
      <c r="J168" s="27">
        <v>0.2425955849358373</v>
      </c>
      <c r="K168" s="27">
        <v>0</v>
      </c>
      <c r="L168" s="27">
        <v>0.11326766776975888</v>
      </c>
      <c r="M168" s="27">
        <v>0.5167612001846249</v>
      </c>
      <c r="N168" s="27">
        <v>0.36997113204561621</v>
      </c>
      <c r="O168" s="27">
        <v>-11.357106375430405</v>
      </c>
      <c r="P168" s="27">
        <v>3.6847959843003611E-2</v>
      </c>
      <c r="Q168" s="27">
        <v>5.4927739599310741E-5</v>
      </c>
      <c r="R168" s="27">
        <v>1.0850858104769514</v>
      </c>
      <c r="S168" s="154"/>
      <c r="T168">
        <v>0.96943079268633936</v>
      </c>
      <c r="U168">
        <v>2.2774900959399123</v>
      </c>
      <c r="V168">
        <v>2.9892041242588907</v>
      </c>
      <c r="W168">
        <v>1</v>
      </c>
      <c r="Y168" s="2">
        <v>1362.0932039318686</v>
      </c>
      <c r="Z168" s="2">
        <v>3324.4244592983987</v>
      </c>
      <c r="AA168" s="2">
        <v>288.53980463307096</v>
      </c>
      <c r="AB168" s="2">
        <v>2138.0750181291874</v>
      </c>
      <c r="AC168" s="2">
        <v>214.31281992525524</v>
      </c>
      <c r="AD168" s="2">
        <v>333.35085446809626</v>
      </c>
      <c r="AE168" s="2">
        <v>619.82613148976441</v>
      </c>
      <c r="AF168" s="2">
        <v>1095.2313983250683</v>
      </c>
      <c r="AG168" s="2">
        <v>177.38263556435732</v>
      </c>
      <c r="AH168" s="2">
        <v>502.15890189629215</v>
      </c>
      <c r="AI168" s="2">
        <v>462450.53104813455</v>
      </c>
      <c r="AJ168" s="2">
        <v>414469.24237877358</v>
      </c>
      <c r="AL168" s="27">
        <v>0.92473533116430284</v>
      </c>
      <c r="AM168" s="27">
        <v>0.91669014281189809</v>
      </c>
      <c r="AN168" s="27">
        <v>0.91385168989441845</v>
      </c>
      <c r="AO168" s="27">
        <v>0.89839751894727571</v>
      </c>
      <c r="AP168" s="27">
        <v>0.73997629671639409</v>
      </c>
      <c r="AQ168" s="27">
        <v>0.92473533116430284</v>
      </c>
      <c r="AR168" s="27">
        <v>0.91669014281189809</v>
      </c>
      <c r="AS168" s="27">
        <v>0.91385168989441845</v>
      </c>
      <c r="AT168" s="27">
        <v>0.89839751894727571</v>
      </c>
      <c r="AU168" s="27">
        <v>0.73997629671639409</v>
      </c>
      <c r="AW168" s="1">
        <v>13.911941949246716</v>
      </c>
      <c r="AX168" s="1">
        <v>15.726395011496267</v>
      </c>
      <c r="AY168" s="2">
        <v>1706212.3918847828</v>
      </c>
      <c r="AZ168" s="1">
        <v>15.603894896915358</v>
      </c>
      <c r="BA168" s="1">
        <v>17.401053725157063</v>
      </c>
      <c r="BB168" s="2">
        <v>1232896.547575091</v>
      </c>
      <c r="BC168" s="2">
        <f t="shared" si="21"/>
        <v>-473315.84430969181</v>
      </c>
      <c r="BD168" s="292">
        <f t="shared" si="22"/>
        <v>1.6919529476686428</v>
      </c>
      <c r="BF168" s="170">
        <f t="shared" si="17"/>
        <v>519698.31999469176</v>
      </c>
      <c r="BG168" s="2">
        <f t="shared" si="18"/>
        <v>1263726.6359313661</v>
      </c>
      <c r="BI168">
        <f t="shared" si="19"/>
        <v>0</v>
      </c>
      <c r="BJ168" s="95">
        <f t="shared" si="20"/>
        <v>1</v>
      </c>
      <c r="BP168" s="217">
        <f t="shared" si="23"/>
        <v>1263726.6359313661</v>
      </c>
    </row>
    <row r="169" spans="1:68">
      <c r="A169" s="11">
        <v>163</v>
      </c>
      <c r="C169" s="27">
        <v>0.92463136148405523</v>
      </c>
      <c r="D169" s="27">
        <v>7.5368638515944789E-2</v>
      </c>
      <c r="E169" s="27">
        <v>0</v>
      </c>
      <c r="F169" s="27">
        <v>0.84556791602166204</v>
      </c>
      <c r="G169" s="27">
        <v>0.15443208397833796</v>
      </c>
      <c r="H169" s="27">
        <v>0</v>
      </c>
      <c r="I169" s="27">
        <v>0.74523451222439496</v>
      </c>
      <c r="J169" s="27">
        <v>0.25476548777560504</v>
      </c>
      <c r="K169" s="27">
        <v>0</v>
      </c>
      <c r="L169" s="27">
        <v>0.12237361739909286</v>
      </c>
      <c r="M169" s="27">
        <v>0.54371573040341437</v>
      </c>
      <c r="N169" s="27">
        <v>0.33391065219749277</v>
      </c>
      <c r="O169" s="27">
        <v>-11.436928968786646</v>
      </c>
      <c r="P169" s="27">
        <v>3.5016585545410282E-2</v>
      </c>
      <c r="Q169" s="27">
        <v>4.6959155035895203E-5</v>
      </c>
      <c r="R169" s="27">
        <v>1.1096251862329372</v>
      </c>
      <c r="S169" s="154"/>
      <c r="T169">
        <v>1.0450104248459982</v>
      </c>
      <c r="U169">
        <v>2.2249186950278546</v>
      </c>
      <c r="V169">
        <v>3.0245705677725927</v>
      </c>
      <c r="W169">
        <v>1</v>
      </c>
      <c r="Y169" s="2">
        <v>258.74973188240051</v>
      </c>
      <c r="Z169" s="2">
        <v>1337.1222122356965</v>
      </c>
      <c r="AA169" s="2">
        <v>1084.8827642501378</v>
      </c>
      <c r="AB169" s="2">
        <v>6107.0151738242885</v>
      </c>
      <c r="AC169" s="2">
        <v>399.09486546253044</v>
      </c>
      <c r="AD169" s="2">
        <v>322.31520509656002</v>
      </c>
      <c r="AE169" s="2">
        <v>543.2879691533459</v>
      </c>
      <c r="AF169" s="2">
        <v>1072.8101649215105</v>
      </c>
      <c r="AG169" s="2">
        <v>58.308996425170463</v>
      </c>
      <c r="AH169" s="2">
        <v>316.31914895002166</v>
      </c>
      <c r="AI169" s="2">
        <v>540543.35553203314</v>
      </c>
      <c r="AJ169" s="2">
        <v>501518.02848152362</v>
      </c>
      <c r="AL169" s="27">
        <v>0.91901024428371747</v>
      </c>
      <c r="AM169" s="27">
        <v>0.91812342763468213</v>
      </c>
      <c r="AN169" s="27">
        <v>0.91175181220411572</v>
      </c>
      <c r="AO169" s="27">
        <v>0.88195151302878916</v>
      </c>
      <c r="AP169" s="27">
        <v>0.71505157999806257</v>
      </c>
      <c r="AQ169" s="27">
        <v>0.91901024428371747</v>
      </c>
      <c r="AR169" s="27">
        <v>0.91812342763468213</v>
      </c>
      <c r="AS169" s="27">
        <v>0.91175181220411572</v>
      </c>
      <c r="AT169" s="27">
        <v>0.88195151302878916</v>
      </c>
      <c r="AU169" s="27">
        <v>0.71505157999806257</v>
      </c>
      <c r="AW169" s="1">
        <v>13.582586782174262</v>
      </c>
      <c r="AX169" s="1">
        <v>15.578405626230335</v>
      </c>
      <c r="AY169" s="2">
        <v>2147434.0071216701</v>
      </c>
      <c r="AZ169" s="1">
        <v>15.445271038768183</v>
      </c>
      <c r="BA169" s="1">
        <v>17.383968462104399</v>
      </c>
      <c r="BB169" s="2">
        <v>1624071.8450449987</v>
      </c>
      <c r="BC169" s="2">
        <f t="shared" si="21"/>
        <v>-523362.16207667137</v>
      </c>
      <c r="BD169" s="292">
        <f t="shared" si="22"/>
        <v>1.862684256593921</v>
      </c>
      <c r="BF169" s="170">
        <f t="shared" si="17"/>
        <v>25779.8780262121</v>
      </c>
      <c r="BG169" s="2">
        <f t="shared" si="18"/>
        <v>847171.52115791081</v>
      </c>
      <c r="BI169">
        <f t="shared" si="19"/>
        <v>0</v>
      </c>
      <c r="BJ169" s="95">
        <f t="shared" si="20"/>
        <v>1</v>
      </c>
      <c r="BP169" s="217">
        <f t="shared" si="23"/>
        <v>847171.52115791081</v>
      </c>
    </row>
    <row r="170" spans="1:68">
      <c r="A170" s="11">
        <v>164</v>
      </c>
      <c r="C170" s="27">
        <v>0.924578611561925</v>
      </c>
      <c r="D170" s="27">
        <v>7.5421388438075054E-2</v>
      </c>
      <c r="E170" s="27">
        <v>0</v>
      </c>
      <c r="F170" s="27">
        <v>0.86126472487168571</v>
      </c>
      <c r="G170" s="27">
        <v>0.13873527512831429</v>
      </c>
      <c r="H170" s="27">
        <v>0</v>
      </c>
      <c r="I170" s="27">
        <v>0.75791129351979047</v>
      </c>
      <c r="J170" s="27">
        <v>0.2420887064802095</v>
      </c>
      <c r="K170" s="27">
        <v>0</v>
      </c>
      <c r="L170" s="27">
        <v>6.6585092310505134E-2</v>
      </c>
      <c r="M170" s="27">
        <v>0.53083691397040478</v>
      </c>
      <c r="N170" s="27">
        <v>0.40257799371909009</v>
      </c>
      <c r="O170" s="27">
        <v>-11.188390846537061</v>
      </c>
      <c r="P170" s="27">
        <v>3.2546166345402201E-2</v>
      </c>
      <c r="Q170" s="27">
        <v>5.4274727657946419E-5</v>
      </c>
      <c r="R170" s="27">
        <v>1.0911306308031352</v>
      </c>
      <c r="S170" s="154"/>
      <c r="T170">
        <v>1.0438895232416294</v>
      </c>
      <c r="U170">
        <v>2.2461303492055849</v>
      </c>
      <c r="V170">
        <v>2.9912712418074863</v>
      </c>
      <c r="W170">
        <v>1</v>
      </c>
      <c r="Y170" s="2">
        <v>729.22543944658833</v>
      </c>
      <c r="Z170" s="2">
        <v>3999.6607795692717</v>
      </c>
      <c r="AA170" s="2">
        <v>1722.0713102069037</v>
      </c>
      <c r="AB170" s="2">
        <v>9374.8954211752043</v>
      </c>
      <c r="AC170" s="2">
        <v>48.748409119472633</v>
      </c>
      <c r="AD170" s="2">
        <v>444.23941508473393</v>
      </c>
      <c r="AE170" s="2">
        <v>599.54380825029034</v>
      </c>
      <c r="AF170" s="2">
        <v>970.46724181535239</v>
      </c>
      <c r="AG170" s="2">
        <v>75.273893548960203</v>
      </c>
      <c r="AH170" s="2">
        <v>241.7721278367186</v>
      </c>
      <c r="AI170" s="2">
        <v>354988.32376254268</v>
      </c>
      <c r="AJ170" s="2">
        <v>322183.51582833973</v>
      </c>
      <c r="AL170" s="27">
        <v>0.91880514832597149</v>
      </c>
      <c r="AM170" s="27">
        <v>0.91880263369138637</v>
      </c>
      <c r="AN170" s="27">
        <v>0.90943337761722587</v>
      </c>
      <c r="AO170" s="27">
        <v>0.89876148502209907</v>
      </c>
      <c r="AP170" s="27">
        <v>0.68468003161162294</v>
      </c>
      <c r="AQ170" s="27">
        <v>0.91880514832597149</v>
      </c>
      <c r="AR170" s="27">
        <v>0.91880263369138637</v>
      </c>
      <c r="AS170" s="27">
        <v>0.90943337761722587</v>
      </c>
      <c r="AT170" s="27">
        <v>0.89876148502209907</v>
      </c>
      <c r="AU170" s="27">
        <v>0.68468003161162294</v>
      </c>
      <c r="AW170" s="1">
        <v>13.432338824752106</v>
      </c>
      <c r="AX170" s="1">
        <v>15.444103188311249</v>
      </c>
      <c r="AY170" s="2">
        <v>1317553.0135784668</v>
      </c>
      <c r="AZ170" s="1">
        <v>15.446215056245977</v>
      </c>
      <c r="BA170" s="1">
        <v>17.39159512977454</v>
      </c>
      <c r="BB170" s="2">
        <v>1059920.6174455218</v>
      </c>
      <c r="BC170" s="2">
        <f t="shared" si="21"/>
        <v>-257632.39613294508</v>
      </c>
      <c r="BD170" s="292">
        <f t="shared" si="22"/>
        <v>2.013876231493871</v>
      </c>
      <c r="BF170" s="170">
        <f t="shared" si="17"/>
        <v>831621.19838187029</v>
      </c>
      <c r="BG170" s="2">
        <f t="shared" si="18"/>
        <v>1411473.7915538347</v>
      </c>
      <c r="BI170">
        <f t="shared" si="19"/>
        <v>0</v>
      </c>
      <c r="BJ170" s="95">
        <f t="shared" si="20"/>
        <v>1</v>
      </c>
      <c r="BP170" s="217">
        <f t="shared" si="23"/>
        <v>1411473.7915538347</v>
      </c>
    </row>
    <row r="171" spans="1:68">
      <c r="A171" s="11">
        <v>165</v>
      </c>
      <c r="C171" s="27">
        <v>0.92216653697605122</v>
      </c>
      <c r="D171" s="27">
        <v>7.7833463023948779E-2</v>
      </c>
      <c r="E171" s="27">
        <v>0</v>
      </c>
      <c r="F171" s="27">
        <v>0.8566622189479467</v>
      </c>
      <c r="G171" s="27">
        <v>0.1433377810520533</v>
      </c>
      <c r="H171" s="27">
        <v>0</v>
      </c>
      <c r="I171" s="27">
        <v>0.74970843982408331</v>
      </c>
      <c r="J171" s="27">
        <v>0.25029156017591669</v>
      </c>
      <c r="K171" s="27">
        <v>0</v>
      </c>
      <c r="L171" s="27">
        <v>9.9040196361555588E-2</v>
      </c>
      <c r="M171" s="27">
        <v>0.50722121207222104</v>
      </c>
      <c r="N171" s="27">
        <v>0.39373859156622337</v>
      </c>
      <c r="O171" s="27">
        <v>-11.524304412572754</v>
      </c>
      <c r="P171" s="27">
        <v>3.9032894676936727E-2</v>
      </c>
      <c r="Q171" s="27">
        <v>5.0936905604702531E-5</v>
      </c>
      <c r="R171" s="27">
        <v>1.0875788418090782</v>
      </c>
      <c r="S171" s="154"/>
      <c r="T171">
        <v>0.97177731666900857</v>
      </c>
      <c r="U171">
        <v>2.3380618109096685</v>
      </c>
      <c r="V171">
        <v>2.8202008268559364</v>
      </c>
      <c r="W171">
        <v>1</v>
      </c>
      <c r="Y171" s="2">
        <v>576.98662402682714</v>
      </c>
      <c r="Z171" s="2">
        <v>8145.0361133473307</v>
      </c>
      <c r="AA171" s="2">
        <v>3265.200386178501</v>
      </c>
      <c r="AB171" s="2">
        <v>2560.9222584637496</v>
      </c>
      <c r="AC171" s="2">
        <v>1073.2934361069645</v>
      </c>
      <c r="AD171" s="2">
        <v>233.02430819354441</v>
      </c>
      <c r="AE171" s="2">
        <v>543.62835885857248</v>
      </c>
      <c r="AF171" s="2">
        <v>1103.5721856863865</v>
      </c>
      <c r="AG171" s="2">
        <v>171.27501795406019</v>
      </c>
      <c r="AH171" s="2">
        <v>337.443566979651</v>
      </c>
      <c r="AI171" s="2">
        <v>459187.77231316426</v>
      </c>
      <c r="AJ171" s="2">
        <v>432256.09786018159</v>
      </c>
      <c r="AL171" s="27">
        <v>0.91782390167323102</v>
      </c>
      <c r="AM171" s="27">
        <v>0.9125837621429389</v>
      </c>
      <c r="AN171" s="27">
        <v>0.91088418408084215</v>
      </c>
      <c r="AO171" s="27">
        <v>0.89414619543581042</v>
      </c>
      <c r="AP171" s="27">
        <v>0.73213122976615519</v>
      </c>
      <c r="AQ171" s="27">
        <v>0.91782390167323102</v>
      </c>
      <c r="AR171" s="27">
        <v>0.9125837621429389</v>
      </c>
      <c r="AS171" s="27">
        <v>0.91088418408084215</v>
      </c>
      <c r="AT171" s="27">
        <v>0.89414619543581042</v>
      </c>
      <c r="AU171" s="27">
        <v>0.73213122976615519</v>
      </c>
      <c r="AW171" s="1">
        <v>13.686615502055879</v>
      </c>
      <c r="AX171" s="1">
        <v>15.591356184833145</v>
      </c>
      <c r="AY171" s="2">
        <v>1839461.3048350301</v>
      </c>
      <c r="AZ171" s="1">
        <v>15.420794170101212</v>
      </c>
      <c r="BA171" s="1">
        <v>17.312501738212607</v>
      </c>
      <c r="BB171" s="2">
        <v>1328575.8550460038</v>
      </c>
      <c r="BC171" s="2">
        <f t="shared" si="21"/>
        <v>-510885.44978902629</v>
      </c>
      <c r="BD171" s="292">
        <f t="shared" si="22"/>
        <v>1.7341786680453328</v>
      </c>
      <c r="BF171" s="170">
        <f t="shared" si="17"/>
        <v>350397.17549391068</v>
      </c>
      <c r="BG171" s="2">
        <f t="shared" si="18"/>
        <v>1138751.2121701899</v>
      </c>
      <c r="BI171">
        <f t="shared" si="19"/>
        <v>0</v>
      </c>
      <c r="BJ171" s="95">
        <f t="shared" si="20"/>
        <v>1</v>
      </c>
      <c r="BP171" s="217">
        <f t="shared" si="23"/>
        <v>1138751.2121701899</v>
      </c>
    </row>
    <row r="172" spans="1:68">
      <c r="A172" s="11">
        <v>166</v>
      </c>
      <c r="C172" s="27">
        <v>0.92329008619995756</v>
      </c>
      <c r="D172" s="27">
        <v>7.6709913800042426E-2</v>
      </c>
      <c r="E172" s="27">
        <v>0</v>
      </c>
      <c r="F172" s="27">
        <v>0.85817845572814266</v>
      </c>
      <c r="G172" s="27">
        <v>0.14182154427185734</v>
      </c>
      <c r="H172" s="27">
        <v>0</v>
      </c>
      <c r="I172" s="27">
        <v>0.75192818072229772</v>
      </c>
      <c r="J172" s="27">
        <v>0.24807181927770233</v>
      </c>
      <c r="K172" s="27">
        <v>0</v>
      </c>
      <c r="L172" s="27">
        <v>4.0548412402037548E-2</v>
      </c>
      <c r="M172" s="27">
        <v>0.5167020645328626</v>
      </c>
      <c r="N172" s="27">
        <v>0.44274952306509985</v>
      </c>
      <c r="O172" s="27">
        <v>-11.500840124373894</v>
      </c>
      <c r="P172" s="27">
        <v>3.7717504799750771E-2</v>
      </c>
      <c r="Q172" s="27">
        <v>4.9343479780745852E-5</v>
      </c>
      <c r="R172" s="27">
        <v>1.1017335126332468</v>
      </c>
      <c r="S172" s="154"/>
      <c r="T172">
        <v>0.92794775941939134</v>
      </c>
      <c r="U172">
        <v>2.2457881796160741</v>
      </c>
      <c r="V172">
        <v>2.7063325049873068</v>
      </c>
      <c r="W172">
        <v>1</v>
      </c>
      <c r="Y172" s="2">
        <v>1037.703545640479</v>
      </c>
      <c r="Z172" s="2">
        <v>9248.6398178498403</v>
      </c>
      <c r="AA172" s="2">
        <v>81.340491305291636</v>
      </c>
      <c r="AB172" s="2">
        <v>8494.9664079308113</v>
      </c>
      <c r="AC172" s="2">
        <v>1852.4196597460709</v>
      </c>
      <c r="AD172" s="2">
        <v>1863.1067290331052</v>
      </c>
      <c r="AE172" s="2">
        <v>620.22577104572542</v>
      </c>
      <c r="AF172" s="2">
        <v>1015.4826498157764</v>
      </c>
      <c r="AG172" s="2">
        <v>170.01165243233038</v>
      </c>
      <c r="AH172" s="2">
        <v>183.82422582743291</v>
      </c>
      <c r="AI172" s="2">
        <v>398395.1483307248</v>
      </c>
      <c r="AJ172" s="2">
        <v>358973.91327538283</v>
      </c>
      <c r="AL172" s="27">
        <v>0.91444660632934782</v>
      </c>
      <c r="AM172" s="27">
        <v>0.91947953432787211</v>
      </c>
      <c r="AN172" s="27">
        <v>0.90330609618295432</v>
      </c>
      <c r="AO172" s="27">
        <v>0.87122900452389684</v>
      </c>
      <c r="AP172" s="27">
        <v>0.80688439106403997</v>
      </c>
      <c r="AQ172" s="27">
        <v>0.91444660632934782</v>
      </c>
      <c r="AR172" s="27">
        <v>0.91947953432787211</v>
      </c>
      <c r="AS172" s="27">
        <v>0.90330609618295432</v>
      </c>
      <c r="AT172" s="27">
        <v>0.87122900452389684</v>
      </c>
      <c r="AU172" s="27">
        <v>0.80688439106403997</v>
      </c>
      <c r="AW172" s="1">
        <v>13.909989452392759</v>
      </c>
      <c r="AX172" s="1">
        <v>15.570993099344392</v>
      </c>
      <c r="AY172" s="2">
        <v>1425043.3640851241</v>
      </c>
      <c r="AZ172" s="1">
        <v>15.45602604555061</v>
      </c>
      <c r="BA172" s="1">
        <v>17.171067210908063</v>
      </c>
      <c r="BB172" s="2">
        <v>1105118.5482882019</v>
      </c>
      <c r="BC172" s="2">
        <f t="shared" si="21"/>
        <v>-319924.81579692219</v>
      </c>
      <c r="BD172" s="292">
        <f t="shared" si="22"/>
        <v>1.5460365931578508</v>
      </c>
      <c r="BF172" s="170">
        <f t="shared" si="17"/>
        <v>800554.94829771738</v>
      </c>
      <c r="BG172" s="2">
        <f t="shared" si="18"/>
        <v>1367845.6189998956</v>
      </c>
      <c r="BI172">
        <f t="shared" si="19"/>
        <v>0</v>
      </c>
      <c r="BJ172" s="95">
        <f t="shared" si="20"/>
        <v>1</v>
      </c>
      <c r="BP172" s="217">
        <f t="shared" si="23"/>
        <v>1367845.6189998956</v>
      </c>
    </row>
    <row r="173" spans="1:68">
      <c r="A173" s="11">
        <v>167</v>
      </c>
      <c r="C173" s="27">
        <v>0.92541047847070268</v>
      </c>
      <c r="D173" s="27">
        <v>7.4589521529297348E-2</v>
      </c>
      <c r="E173" s="27">
        <v>0</v>
      </c>
      <c r="F173" s="27">
        <v>0.857566202112089</v>
      </c>
      <c r="G173" s="27">
        <v>0.142433797887911</v>
      </c>
      <c r="H173" s="27">
        <v>0</v>
      </c>
      <c r="I173" s="27">
        <v>0.74809517140590698</v>
      </c>
      <c r="J173" s="27">
        <v>0.25190482859409302</v>
      </c>
      <c r="K173" s="27">
        <v>0</v>
      </c>
      <c r="L173" s="27">
        <v>0.11081332188033499</v>
      </c>
      <c r="M173" s="27">
        <v>0.49943490226779963</v>
      </c>
      <c r="N173" s="27">
        <v>0.38975177585186538</v>
      </c>
      <c r="O173" s="27">
        <v>-11.359335523983368</v>
      </c>
      <c r="P173" s="27">
        <v>3.674299891083254E-2</v>
      </c>
      <c r="Q173" s="27">
        <v>5.4564363594154582E-5</v>
      </c>
      <c r="R173" s="27">
        <v>1.0842977127929516</v>
      </c>
      <c r="S173" s="154"/>
      <c r="T173">
        <v>0.96796761916290919</v>
      </c>
      <c r="U173">
        <v>2.231791774365782</v>
      </c>
      <c r="V173">
        <v>2.8421018513540148</v>
      </c>
      <c r="W173">
        <v>1</v>
      </c>
      <c r="Y173" s="2">
        <v>1695.8818804156144</v>
      </c>
      <c r="Z173" s="2">
        <v>1697.6227023233987</v>
      </c>
      <c r="AA173" s="2">
        <v>2356.5295503131779</v>
      </c>
      <c r="AB173" s="2">
        <v>191.81556930332593</v>
      </c>
      <c r="AC173" s="2">
        <v>382.55510910661695</v>
      </c>
      <c r="AD173" s="2">
        <v>496.96277341251891</v>
      </c>
      <c r="AE173" s="2">
        <v>541.27157954961467</v>
      </c>
      <c r="AF173" s="2">
        <v>1023.5626900478866</v>
      </c>
      <c r="AG173" s="2">
        <v>172.20944793722998</v>
      </c>
      <c r="AH173" s="2">
        <v>655.61111833566588</v>
      </c>
      <c r="AI173" s="2">
        <v>395819.13361970207</v>
      </c>
      <c r="AJ173" s="2">
        <v>352047.47990586789</v>
      </c>
      <c r="AL173" s="27">
        <v>0.92078178853208659</v>
      </c>
      <c r="AM173" s="27">
        <v>0.91128164145701285</v>
      </c>
      <c r="AN173" s="27">
        <v>0.90435041071093325</v>
      </c>
      <c r="AO173" s="27">
        <v>0.87324288936839178</v>
      </c>
      <c r="AP173" s="27">
        <v>0.81188112904430343</v>
      </c>
      <c r="AQ173" s="27">
        <v>0.92078178853208659</v>
      </c>
      <c r="AR173" s="27">
        <v>0.91128164145701285</v>
      </c>
      <c r="AS173" s="27">
        <v>0.90435041071093325</v>
      </c>
      <c r="AT173" s="27">
        <v>0.87324288936839178</v>
      </c>
      <c r="AU173" s="27">
        <v>0.81188112904430343</v>
      </c>
      <c r="AW173" s="1">
        <v>14.087816643740821</v>
      </c>
      <c r="AX173" s="1">
        <v>15.725937277581176</v>
      </c>
      <c r="AY173" s="2">
        <v>1380841.0378393545</v>
      </c>
      <c r="AZ173" s="1">
        <v>15.669116090145774</v>
      </c>
      <c r="BA173" s="1">
        <v>17.372780823358706</v>
      </c>
      <c r="BB173" s="2">
        <v>1023158.0896416133</v>
      </c>
      <c r="BC173" s="2">
        <f t="shared" si="21"/>
        <v>-357682.94819774118</v>
      </c>
      <c r="BD173" s="292">
        <f t="shared" si="22"/>
        <v>1.5812994464049535</v>
      </c>
      <c r="BF173" s="170">
        <f t="shared" si="17"/>
        <v>873209.625159177</v>
      </c>
      <c r="BG173" s="2">
        <f t="shared" si="18"/>
        <v>1483900.4847817104</v>
      </c>
      <c r="BI173">
        <f t="shared" si="19"/>
        <v>0</v>
      </c>
      <c r="BJ173" s="95">
        <f t="shared" si="20"/>
        <v>1</v>
      </c>
      <c r="BP173" s="217">
        <f t="shared" si="23"/>
        <v>1483900.4847817104</v>
      </c>
    </row>
    <row r="174" spans="1:68">
      <c r="A174" s="11">
        <v>168</v>
      </c>
      <c r="C174" s="27">
        <v>0.92116641002071453</v>
      </c>
      <c r="D174" s="27">
        <v>7.8833589979285468E-2</v>
      </c>
      <c r="E174" s="27">
        <v>0</v>
      </c>
      <c r="F174" s="27">
        <v>0.85050409020668505</v>
      </c>
      <c r="G174" s="27">
        <v>0.14949590979331495</v>
      </c>
      <c r="H174" s="27">
        <v>0</v>
      </c>
      <c r="I174" s="27">
        <v>0.75330690987787818</v>
      </c>
      <c r="J174" s="27">
        <v>0.24669309012212187</v>
      </c>
      <c r="K174" s="27">
        <v>0</v>
      </c>
      <c r="L174" s="27">
        <v>7.4556801071949064E-2</v>
      </c>
      <c r="M174" s="27">
        <v>0.51821777242491462</v>
      </c>
      <c r="N174" s="27">
        <v>0.40722542650313631</v>
      </c>
      <c r="O174" s="27">
        <v>-11.039459570724063</v>
      </c>
      <c r="P174" s="27">
        <v>3.1723011748216512E-2</v>
      </c>
      <c r="Q174" s="27">
        <v>6.0850344486928223E-5</v>
      </c>
      <c r="R174" s="27">
        <v>1.0864653094224419</v>
      </c>
      <c r="S174" s="154"/>
      <c r="T174">
        <v>0.96650586905902458</v>
      </c>
      <c r="U174">
        <v>2.256700173527562</v>
      </c>
      <c r="V174">
        <v>3.0072602999230336</v>
      </c>
      <c r="W174">
        <v>1</v>
      </c>
      <c r="Y174" s="2">
        <v>460.13110282026514</v>
      </c>
      <c r="Z174" s="2">
        <v>543.52350538264534</v>
      </c>
      <c r="AA174" s="2">
        <v>12.530828148537335</v>
      </c>
      <c r="AB174" s="2">
        <v>12786.342704079543</v>
      </c>
      <c r="AC174" s="2">
        <v>1400.3831750932741</v>
      </c>
      <c r="AD174" s="2">
        <v>130.81660870010134</v>
      </c>
      <c r="AE174" s="2">
        <v>568.46748514933722</v>
      </c>
      <c r="AF174" s="2">
        <v>1241.1244297437343</v>
      </c>
      <c r="AG174" s="2">
        <v>84.960325676338286</v>
      </c>
      <c r="AH174" s="2">
        <v>744.50681387194447</v>
      </c>
      <c r="AI174" s="2">
        <v>425986.85390967655</v>
      </c>
      <c r="AJ174" s="2">
        <v>407115.6702838054</v>
      </c>
      <c r="AL174" s="27">
        <v>0.91561881921820509</v>
      </c>
      <c r="AM174" s="27">
        <v>0.91325971300792708</v>
      </c>
      <c r="AN174" s="27">
        <v>0.90348787962511656</v>
      </c>
      <c r="AO174" s="27">
        <v>0.86141229415165022</v>
      </c>
      <c r="AP174" s="27">
        <v>0.69913516405405884</v>
      </c>
      <c r="AQ174" s="27">
        <v>0.91561881921820509</v>
      </c>
      <c r="AR174" s="27">
        <v>0.91325971300792708</v>
      </c>
      <c r="AS174" s="27">
        <v>0.90348787962511656</v>
      </c>
      <c r="AT174" s="27">
        <v>0.86141229415165022</v>
      </c>
      <c r="AU174" s="27">
        <v>0.69913516405405884</v>
      </c>
      <c r="AW174" s="1">
        <v>13.325305453878553</v>
      </c>
      <c r="AX174" s="1">
        <v>15.317715612052599</v>
      </c>
      <c r="AY174" s="2">
        <v>1538705.6765256571</v>
      </c>
      <c r="AZ174" s="1">
        <v>15.116539770182605</v>
      </c>
      <c r="BA174" s="1">
        <v>17.090532382122461</v>
      </c>
      <c r="BB174" s="2">
        <v>1323300.2223007393</v>
      </c>
      <c r="BC174" s="2">
        <f t="shared" si="21"/>
        <v>-215405.4542249178</v>
      </c>
      <c r="BD174" s="292">
        <f t="shared" si="22"/>
        <v>1.7912343163040525</v>
      </c>
      <c r="BF174" s="170">
        <f t="shared" si="17"/>
        <v>593343.19609491155</v>
      </c>
      <c r="BG174" s="2">
        <f t="shared" si="18"/>
        <v>1095346.1409284777</v>
      </c>
      <c r="BI174">
        <f t="shared" si="19"/>
        <v>0</v>
      </c>
      <c r="BJ174" s="95">
        <f t="shared" si="20"/>
        <v>1</v>
      </c>
      <c r="BP174" s="217">
        <f t="shared" si="23"/>
        <v>1095346.1409284777</v>
      </c>
    </row>
    <row r="175" spans="1:68">
      <c r="A175" s="11">
        <v>169</v>
      </c>
      <c r="C175" s="27">
        <v>0.92329584847249091</v>
      </c>
      <c r="D175" s="27">
        <v>7.6704151527509035E-2</v>
      </c>
      <c r="E175" s="27">
        <v>0</v>
      </c>
      <c r="F175" s="27">
        <v>0.85806016144355057</v>
      </c>
      <c r="G175" s="27">
        <v>0.14193983855644943</v>
      </c>
      <c r="H175" s="27">
        <v>0</v>
      </c>
      <c r="I175" s="27">
        <v>0.75872382050353215</v>
      </c>
      <c r="J175" s="27">
        <v>0.24127617949646785</v>
      </c>
      <c r="K175" s="27">
        <v>0</v>
      </c>
      <c r="L175" s="27">
        <v>0.11612180973851094</v>
      </c>
      <c r="M175" s="27">
        <v>0.49946800026183996</v>
      </c>
      <c r="N175" s="27">
        <v>0.38441018999964915</v>
      </c>
      <c r="O175" s="27">
        <v>-10.858977919238892</v>
      </c>
      <c r="P175" s="27">
        <v>3.1596653581132554E-2</v>
      </c>
      <c r="Q175" s="27">
        <v>7.2500400728350663E-5</v>
      </c>
      <c r="R175" s="27">
        <v>1.056596369064208</v>
      </c>
      <c r="S175" s="154"/>
      <c r="T175">
        <v>1.0958939940976824</v>
      </c>
      <c r="U175">
        <v>2.203612295854561</v>
      </c>
      <c r="V175">
        <v>2.9534348660939478</v>
      </c>
      <c r="W175">
        <v>1</v>
      </c>
      <c r="Y175" s="2">
        <v>102.80168395152774</v>
      </c>
      <c r="Z175" s="2">
        <v>2045.086736238713</v>
      </c>
      <c r="AA175" s="2">
        <v>1295.7039941510859</v>
      </c>
      <c r="AB175" s="2">
        <v>15069.339456919941</v>
      </c>
      <c r="AC175" s="2">
        <v>1315.8862772885168</v>
      </c>
      <c r="AD175" s="2">
        <v>4423.5646997802369</v>
      </c>
      <c r="AE175" s="2">
        <v>533.87474142660403</v>
      </c>
      <c r="AF175" s="2">
        <v>1009.492699383498</v>
      </c>
      <c r="AG175" s="2">
        <v>103.68431680814689</v>
      </c>
      <c r="AH175" s="2">
        <v>365.568471101542</v>
      </c>
      <c r="AI175" s="2">
        <v>419497.29653925</v>
      </c>
      <c r="AJ175" s="2">
        <v>379903.4406040131</v>
      </c>
      <c r="AL175" s="27">
        <v>0.91369659712835827</v>
      </c>
      <c r="AM175" s="27">
        <v>0.91546946674023033</v>
      </c>
      <c r="AN175" s="27">
        <v>0.9026831842108417</v>
      </c>
      <c r="AO175" s="27">
        <v>0.86173497167970525</v>
      </c>
      <c r="AP175" s="27">
        <v>0.6792137249043172</v>
      </c>
      <c r="AQ175" s="27">
        <v>0.91369659712835827</v>
      </c>
      <c r="AR175" s="27">
        <v>0.91546946674023033</v>
      </c>
      <c r="AS175" s="27">
        <v>0.9026831842108417</v>
      </c>
      <c r="AT175" s="27">
        <v>0.86173497167970525</v>
      </c>
      <c r="AU175" s="27">
        <v>0.6792137249043172</v>
      </c>
      <c r="AW175" s="1">
        <v>13.18893695433292</v>
      </c>
      <c r="AX175" s="1">
        <v>15.317259620952349</v>
      </c>
      <c r="AY175" s="2">
        <v>1579218.6801858684</v>
      </c>
      <c r="AZ175" s="1">
        <v>15.310899208192405</v>
      </c>
      <c r="BA175" s="1">
        <v>17.368481855690266</v>
      </c>
      <c r="BB175" s="2">
        <v>1393059.1150417479</v>
      </c>
      <c r="BC175" s="2">
        <f t="shared" si="21"/>
        <v>-186159.56514412048</v>
      </c>
      <c r="BD175" s="292">
        <f t="shared" si="22"/>
        <v>2.1219622538594844</v>
      </c>
      <c r="BF175" s="170">
        <f t="shared" si="17"/>
        <v>531011.23250739882</v>
      </c>
      <c r="BG175" s="2">
        <f t="shared" si="18"/>
        <v>1056684.7582690369</v>
      </c>
      <c r="BI175">
        <f t="shared" si="19"/>
        <v>0</v>
      </c>
      <c r="BJ175" s="95">
        <f t="shared" si="20"/>
        <v>1</v>
      </c>
      <c r="BP175" s="217">
        <f t="shared" si="23"/>
        <v>1056684.7582690369</v>
      </c>
    </row>
    <row r="176" spans="1:68">
      <c r="A176" s="11">
        <v>170</v>
      </c>
      <c r="C176" s="27">
        <v>0.92300755429655845</v>
      </c>
      <c r="D176" s="27">
        <v>7.6992445703441548E-2</v>
      </c>
      <c r="E176" s="27">
        <v>0</v>
      </c>
      <c r="F176" s="27">
        <v>0.85133757524782683</v>
      </c>
      <c r="G176" s="27">
        <v>0.14866242475217317</v>
      </c>
      <c r="H176" s="27">
        <v>0</v>
      </c>
      <c r="I176" s="27">
        <v>0.74218352638576834</v>
      </c>
      <c r="J176" s="27">
        <v>0.25781647361423166</v>
      </c>
      <c r="K176" s="27">
        <v>0</v>
      </c>
      <c r="L176" s="27">
        <v>7.1873648944836721E-2</v>
      </c>
      <c r="M176" s="27">
        <v>0.5204902925053283</v>
      </c>
      <c r="N176" s="27">
        <v>0.40763605854983498</v>
      </c>
      <c r="O176" s="27">
        <v>-10.884726859039384</v>
      </c>
      <c r="P176" s="27">
        <v>3.4091438305330866E-2</v>
      </c>
      <c r="Q176" s="27">
        <v>7.8462759248777573E-5</v>
      </c>
      <c r="R176" s="27">
        <v>1.038529729909158</v>
      </c>
      <c r="S176" s="154"/>
      <c r="T176">
        <v>1.0017929753225869</v>
      </c>
      <c r="U176">
        <v>2.234182236237348</v>
      </c>
      <c r="V176">
        <v>2.9985440890426225</v>
      </c>
      <c r="W176">
        <v>1</v>
      </c>
      <c r="Y176" s="2">
        <v>813.69306337668127</v>
      </c>
      <c r="Z176" s="2">
        <v>5351.0546081575394</v>
      </c>
      <c r="AA176" s="2">
        <v>1719.2735969248845</v>
      </c>
      <c r="AB176" s="2">
        <v>5689.4675588381451</v>
      </c>
      <c r="AC176" s="2">
        <v>4284.3012562859612</v>
      </c>
      <c r="AD176" s="2">
        <v>447.53363170492338</v>
      </c>
      <c r="AE176" s="2">
        <v>648.27901175009185</v>
      </c>
      <c r="AF176" s="2">
        <v>777.28062942865336</v>
      </c>
      <c r="AG176" s="2">
        <v>128.54442144452045</v>
      </c>
      <c r="AH176" s="2">
        <v>487.23728509885655</v>
      </c>
      <c r="AI176" s="2">
        <v>624043.71061506378</v>
      </c>
      <c r="AJ176" s="2">
        <v>578139.42138472281</v>
      </c>
      <c r="AL176" s="27">
        <v>0.91588742336151596</v>
      </c>
      <c r="AM176" s="27">
        <v>0.92045747228392716</v>
      </c>
      <c r="AN176" s="27">
        <v>0.90732749432059712</v>
      </c>
      <c r="AO176" s="27">
        <v>0.87831356731438959</v>
      </c>
      <c r="AP176" s="27">
        <v>0.69669212851883433</v>
      </c>
      <c r="AQ176" s="27">
        <v>0.91588742336151596</v>
      </c>
      <c r="AR176" s="27">
        <v>0.92045747228392716</v>
      </c>
      <c r="AS176" s="27">
        <v>0.90732749432059712</v>
      </c>
      <c r="AT176" s="27">
        <v>0.87831356731438959</v>
      </c>
      <c r="AU176" s="27">
        <v>0.69669212851883433</v>
      </c>
      <c r="AW176" s="1">
        <v>13.478301980030421</v>
      </c>
      <c r="AX176" s="1">
        <v>15.525209289310771</v>
      </c>
      <c r="AY176" s="2">
        <v>2488794.8267965689</v>
      </c>
      <c r="AZ176" s="1">
        <v>15.290026494744527</v>
      </c>
      <c r="BA176" s="1">
        <v>17.275641815950344</v>
      </c>
      <c r="BB176" s="2">
        <v>1810726.7422189638</v>
      </c>
      <c r="BC176" s="2">
        <f t="shared" si="21"/>
        <v>-678068.08457760513</v>
      </c>
      <c r="BD176" s="292">
        <f t="shared" si="22"/>
        <v>1.8117245147141059</v>
      </c>
      <c r="BF176" s="170">
        <f t="shared" si="17"/>
        <v>-332266.50999170169</v>
      </c>
      <c r="BG176" s="2">
        <f t="shared" si="18"/>
        <v>635677.49694016064</v>
      </c>
      <c r="BI176">
        <f t="shared" si="19"/>
        <v>0</v>
      </c>
      <c r="BJ176" s="95">
        <f t="shared" si="20"/>
        <v>1</v>
      </c>
      <c r="BP176" s="217">
        <f t="shared" si="23"/>
        <v>635677.49694016064</v>
      </c>
    </row>
    <row r="177" spans="1:68">
      <c r="A177" s="11">
        <v>171</v>
      </c>
      <c r="C177" s="27">
        <v>0.92450269845338662</v>
      </c>
      <c r="D177" s="27">
        <v>7.5497301546613382E-2</v>
      </c>
      <c r="E177" s="27">
        <v>0</v>
      </c>
      <c r="F177" s="27">
        <v>0.85963332826675098</v>
      </c>
      <c r="G177" s="27">
        <v>0.14036667173324899</v>
      </c>
      <c r="H177" s="27">
        <v>0</v>
      </c>
      <c r="I177" s="27">
        <v>0.74903403578816519</v>
      </c>
      <c r="J177" s="27">
        <v>0.25096596421183481</v>
      </c>
      <c r="K177" s="27">
        <v>0</v>
      </c>
      <c r="L177" s="27">
        <v>7.7528362765701964E-3</v>
      </c>
      <c r="M177" s="27">
        <v>0.53401314746376005</v>
      </c>
      <c r="N177" s="27">
        <v>0.45823401625966975</v>
      </c>
      <c r="O177" s="27">
        <v>-11.022731016171909</v>
      </c>
      <c r="P177" s="27">
        <v>3.6011057154304769E-2</v>
      </c>
      <c r="Q177" s="27">
        <v>7.40872862696662E-5</v>
      </c>
      <c r="R177" s="27">
        <v>1.0435396647573443</v>
      </c>
      <c r="S177" s="154"/>
      <c r="T177">
        <v>0.8990674716235707</v>
      </c>
      <c r="U177">
        <v>2.2656671313613947</v>
      </c>
      <c r="V177">
        <v>3.1249312596362473</v>
      </c>
      <c r="W177">
        <v>1</v>
      </c>
      <c r="Y177" s="2">
        <v>3625.7024287865361</v>
      </c>
      <c r="Z177" s="2">
        <v>11675.081110834441</v>
      </c>
      <c r="AA177" s="2">
        <v>8658.1055523299274</v>
      </c>
      <c r="AB177" s="2">
        <v>16149.333399439456</v>
      </c>
      <c r="AC177" s="2">
        <v>3213.6467522083744</v>
      </c>
      <c r="AD177" s="2">
        <v>2783.9832694178745</v>
      </c>
      <c r="AE177" s="2">
        <v>535.1478176937735</v>
      </c>
      <c r="AF177" s="2">
        <v>1078.9205819027297</v>
      </c>
      <c r="AG177" s="2">
        <v>175.40723271788764</v>
      </c>
      <c r="AH177" s="2">
        <v>358.97557690790268</v>
      </c>
      <c r="AI177" s="2">
        <v>552427.24038274703</v>
      </c>
      <c r="AJ177" s="2">
        <v>510262.33211735194</v>
      </c>
      <c r="AL177" s="27">
        <v>0.91981378091348265</v>
      </c>
      <c r="AM177" s="27">
        <v>0.90977806904885128</v>
      </c>
      <c r="AN177" s="27">
        <v>0.91049332746879785</v>
      </c>
      <c r="AO177" s="27">
        <v>0.89377744491835487</v>
      </c>
      <c r="AP177" s="27">
        <v>0.69496698225878584</v>
      </c>
      <c r="AQ177" s="27">
        <v>0.91981378091348265</v>
      </c>
      <c r="AR177" s="27">
        <v>0.90977806904885128</v>
      </c>
      <c r="AS177" s="27">
        <v>0.91049332746879785</v>
      </c>
      <c r="AT177" s="27">
        <v>0.89377744491835487</v>
      </c>
      <c r="AU177" s="27">
        <v>0.69496698225878584</v>
      </c>
      <c r="AW177" s="1">
        <v>13.814328465608522</v>
      </c>
      <c r="AX177" s="1">
        <v>15.784969480704319</v>
      </c>
      <c r="AY177" s="2">
        <v>2129460.6515685869</v>
      </c>
      <c r="AZ177" s="1">
        <v>15.366764766170743</v>
      </c>
      <c r="BA177" s="1">
        <v>17.314384309795123</v>
      </c>
      <c r="BB177" s="2">
        <v>1849292.601902646</v>
      </c>
      <c r="BC177" s="2">
        <f t="shared" si="21"/>
        <v>-280168.04966594093</v>
      </c>
      <c r="BD177" s="292">
        <f t="shared" si="22"/>
        <v>1.5524363005622206</v>
      </c>
      <c r="BF177" s="170">
        <f t="shared" si="17"/>
        <v>80831.902928776573</v>
      </c>
      <c r="BG177" s="2">
        <f t="shared" si="18"/>
        <v>609389.76068467274</v>
      </c>
      <c r="BI177">
        <f t="shared" si="19"/>
        <v>0</v>
      </c>
      <c r="BJ177" s="95">
        <f t="shared" si="20"/>
        <v>1</v>
      </c>
      <c r="BP177" s="217">
        <f t="shared" si="23"/>
        <v>609389.76068467274</v>
      </c>
    </row>
    <row r="178" spans="1:68">
      <c r="A178" s="11">
        <v>172</v>
      </c>
      <c r="C178" s="27">
        <v>0.91895696367904345</v>
      </c>
      <c r="D178" s="27">
        <v>8.1043036320956552E-2</v>
      </c>
      <c r="E178" s="27">
        <v>0</v>
      </c>
      <c r="F178" s="27">
        <v>0.85439744202509238</v>
      </c>
      <c r="G178" s="27">
        <v>0.14560255797490762</v>
      </c>
      <c r="H178" s="27">
        <v>0</v>
      </c>
      <c r="I178" s="27">
        <v>0.74330733228392554</v>
      </c>
      <c r="J178" s="27">
        <v>0.25669266771607446</v>
      </c>
      <c r="K178" s="27">
        <v>0</v>
      </c>
      <c r="L178" s="27">
        <v>0.13447118184966173</v>
      </c>
      <c r="M178" s="27">
        <v>0.52275348941958377</v>
      </c>
      <c r="N178" s="27">
        <v>0.3427753287307545</v>
      </c>
      <c r="O178" s="27">
        <v>-10.897837216033604</v>
      </c>
      <c r="P178" s="27">
        <v>3.256584856013009E-2</v>
      </c>
      <c r="Q178" s="27">
        <v>7.2634424887882862E-5</v>
      </c>
      <c r="R178" s="27">
        <v>1.055183641621416</v>
      </c>
      <c r="S178" s="154"/>
      <c r="T178">
        <v>0.89073938756475346</v>
      </c>
      <c r="U178">
        <v>2.1766336413755072</v>
      </c>
      <c r="V178">
        <v>2.8397171158090937</v>
      </c>
      <c r="W178">
        <v>1</v>
      </c>
      <c r="Y178" s="2">
        <v>1274.586136527189</v>
      </c>
      <c r="Z178" s="2">
        <v>5405.2111038004377</v>
      </c>
      <c r="AA178" s="2">
        <v>2078.572725941207</v>
      </c>
      <c r="AB178" s="2">
        <v>16551.028131778556</v>
      </c>
      <c r="AC178" s="2">
        <v>226.30908675026245</v>
      </c>
      <c r="AD178" s="2">
        <v>155.81471110896297</v>
      </c>
      <c r="AE178" s="2">
        <v>597.91713743605715</v>
      </c>
      <c r="AF178" s="2">
        <v>997.40709651573934</v>
      </c>
      <c r="AG178" s="2">
        <v>101.7925266304735</v>
      </c>
      <c r="AH178" s="2">
        <v>399.23379178302599</v>
      </c>
      <c r="AI178" s="2">
        <v>412244.5268969133</v>
      </c>
      <c r="AJ178" s="2">
        <v>371198.33166947722</v>
      </c>
      <c r="AL178" s="27">
        <v>0.9117207823953164</v>
      </c>
      <c r="AM178" s="27">
        <v>0.90934656139084125</v>
      </c>
      <c r="AN178" s="27">
        <v>0.90743406526852355</v>
      </c>
      <c r="AO178" s="27">
        <v>0.8752125189414961</v>
      </c>
      <c r="AP178" s="27">
        <v>0.65665954719457786</v>
      </c>
      <c r="AQ178" s="27">
        <v>0.9117207823953164</v>
      </c>
      <c r="AR178" s="27">
        <v>0.90934656139084125</v>
      </c>
      <c r="AS178" s="27">
        <v>0.90743406526852355</v>
      </c>
      <c r="AT178" s="27">
        <v>0.8752125189414961</v>
      </c>
      <c r="AU178" s="27">
        <v>0.65665954719457786</v>
      </c>
      <c r="AW178" s="1">
        <v>13.682406950698525</v>
      </c>
      <c r="AX178" s="1">
        <v>15.956588666107663</v>
      </c>
      <c r="AY178" s="2">
        <v>1596522.3703601656</v>
      </c>
      <c r="AZ178" s="1">
        <v>15.135563611922215</v>
      </c>
      <c r="BA178" s="1">
        <v>17.338872346512247</v>
      </c>
      <c r="BB178" s="2">
        <v>1458657.4672302848</v>
      </c>
      <c r="BC178" s="2">
        <f t="shared" si="21"/>
        <v>-137864.90312988078</v>
      </c>
      <c r="BD178" s="292">
        <f t="shared" si="22"/>
        <v>1.4531566612236908</v>
      </c>
      <c r="BF178" s="170">
        <f t="shared" si="17"/>
        <v>592662.74175159843</v>
      </c>
      <c r="BG178" s="2">
        <f t="shared" si="18"/>
        <v>963032.71067726961</v>
      </c>
      <c r="BI178">
        <f t="shared" si="19"/>
        <v>0</v>
      </c>
      <c r="BJ178" s="95">
        <f t="shared" si="20"/>
        <v>1</v>
      </c>
      <c r="BP178" s="217">
        <f t="shared" si="23"/>
        <v>963032.71067726961</v>
      </c>
    </row>
    <row r="179" spans="1:68">
      <c r="A179" s="11">
        <v>173</v>
      </c>
      <c r="C179" s="27">
        <v>0.92227906126984827</v>
      </c>
      <c r="D179" s="27">
        <v>7.7720938730151734E-2</v>
      </c>
      <c r="E179" s="27">
        <v>0</v>
      </c>
      <c r="F179" s="27">
        <v>0.86051542722166241</v>
      </c>
      <c r="G179" s="27">
        <v>0.13948457277833756</v>
      </c>
      <c r="H179" s="27">
        <v>0</v>
      </c>
      <c r="I179" s="27">
        <v>0.74618126053814371</v>
      </c>
      <c r="J179" s="27">
        <v>0.25381873946185629</v>
      </c>
      <c r="K179" s="27">
        <v>0</v>
      </c>
      <c r="L179" s="27">
        <v>3.9023850256027948E-2</v>
      </c>
      <c r="M179" s="27">
        <v>0.56288238283943159</v>
      </c>
      <c r="N179" s="27">
        <v>0.39809376690454046</v>
      </c>
      <c r="O179" s="27">
        <v>-11.326849518426458</v>
      </c>
      <c r="P179" s="27">
        <v>3.6056567475991549E-2</v>
      </c>
      <c r="Q179" s="27">
        <v>5.4764209733266046E-5</v>
      </c>
      <c r="R179" s="27">
        <v>1.0885116694020038</v>
      </c>
      <c r="S179" s="154"/>
      <c r="T179">
        <v>1.0842602548497937</v>
      </c>
      <c r="U179">
        <v>2.2907278308647951</v>
      </c>
      <c r="V179">
        <v>2.7280367955318119</v>
      </c>
      <c r="W179">
        <v>1</v>
      </c>
      <c r="Y179" s="2">
        <v>188.98075022042099</v>
      </c>
      <c r="Z179" s="2">
        <v>2330.1085733833547</v>
      </c>
      <c r="AA179" s="2">
        <v>4356.1243026644752</v>
      </c>
      <c r="AB179" s="2">
        <v>2377.2464130719213</v>
      </c>
      <c r="AC179" s="2">
        <v>1427.6063983115034</v>
      </c>
      <c r="AD179" s="2">
        <v>1902.9295687254789</v>
      </c>
      <c r="AE179" s="2">
        <v>636.54197625555571</v>
      </c>
      <c r="AF179" s="2">
        <v>1095.1909569571235</v>
      </c>
      <c r="AG179" s="2">
        <v>89.399813160171973</v>
      </c>
      <c r="AH179" s="2">
        <v>494.55573855499648</v>
      </c>
      <c r="AI179" s="2">
        <v>545022.2541889468</v>
      </c>
      <c r="AJ179" s="2">
        <v>503383.03538463701</v>
      </c>
      <c r="AL179" s="27">
        <v>0.91696111653934065</v>
      </c>
      <c r="AM179" s="27">
        <v>0.9181006199404087</v>
      </c>
      <c r="AN179" s="27">
        <v>0.90958106007648476</v>
      </c>
      <c r="AO179" s="27">
        <v>0.84357665931156423</v>
      </c>
      <c r="AP179" s="27">
        <v>0.64471227870831227</v>
      </c>
      <c r="AQ179" s="27">
        <v>0.91696111653934065</v>
      </c>
      <c r="AR179" s="27">
        <v>0.9181006199404087</v>
      </c>
      <c r="AS179" s="27">
        <v>0.90958106007648476</v>
      </c>
      <c r="AT179" s="27">
        <v>0.84357665931156423</v>
      </c>
      <c r="AU179" s="27">
        <v>0.64471227870831227</v>
      </c>
      <c r="AW179" s="1">
        <v>13.109815296481555</v>
      </c>
      <c r="AX179" s="1">
        <v>15.353046518642305</v>
      </c>
      <c r="AY179" s="2">
        <v>2146047.7025641701</v>
      </c>
      <c r="AZ179" s="1">
        <v>15.238597158965977</v>
      </c>
      <c r="BA179" s="1">
        <v>17.350669694398643</v>
      </c>
      <c r="BB179" s="2">
        <v>1581692.5803595048</v>
      </c>
      <c r="BC179" s="2">
        <f t="shared" si="21"/>
        <v>-564355.12220466533</v>
      </c>
      <c r="BD179" s="292">
        <f t="shared" si="22"/>
        <v>2.1287818624844217</v>
      </c>
      <c r="BF179" s="170">
        <f t="shared" si="17"/>
        <v>-48477.255127121229</v>
      </c>
      <c r="BG179" s="2">
        <f t="shared" si="18"/>
        <v>856482.96507505164</v>
      </c>
      <c r="BI179">
        <f t="shared" si="19"/>
        <v>0</v>
      </c>
      <c r="BJ179" s="95">
        <f t="shared" si="20"/>
        <v>1</v>
      </c>
      <c r="BP179" s="217">
        <f t="shared" si="23"/>
        <v>856482.96507505164</v>
      </c>
    </row>
    <row r="180" spans="1:68">
      <c r="A180" s="11">
        <v>174</v>
      </c>
      <c r="C180" s="27">
        <v>0.92124241927960915</v>
      </c>
      <c r="D180" s="27">
        <v>7.8757580720390852E-2</v>
      </c>
      <c r="E180" s="27">
        <v>0</v>
      </c>
      <c r="F180" s="27">
        <v>0.85971364180514009</v>
      </c>
      <c r="G180" s="27">
        <v>0.14028635819485996</v>
      </c>
      <c r="H180" s="27">
        <v>0</v>
      </c>
      <c r="I180" s="27">
        <v>0.75415285619954386</v>
      </c>
      <c r="J180" s="27">
        <v>0.24584714380045619</v>
      </c>
      <c r="K180" s="27">
        <v>0</v>
      </c>
      <c r="L180" s="27">
        <v>0.10922206950940871</v>
      </c>
      <c r="M180" s="27">
        <v>0.5019497847158505</v>
      </c>
      <c r="N180" s="27">
        <v>0.38882814577474079</v>
      </c>
      <c r="O180" s="27">
        <v>-11.566673020099495</v>
      </c>
      <c r="P180" s="27">
        <v>4.0084170578280676E-2</v>
      </c>
      <c r="Q180" s="27">
        <v>5.1027908173998648E-5</v>
      </c>
      <c r="R180" s="27">
        <v>1.0826933509320518</v>
      </c>
      <c r="S180" s="154"/>
      <c r="T180">
        <v>1.0635483011309492</v>
      </c>
      <c r="U180">
        <v>2.3096300033479209</v>
      </c>
      <c r="V180">
        <v>3.1286025770740777</v>
      </c>
      <c r="W180">
        <v>1</v>
      </c>
      <c r="Y180" s="2">
        <v>1757.4226649259988</v>
      </c>
      <c r="Z180" s="2">
        <v>14689.146963332922</v>
      </c>
      <c r="AA180" s="2">
        <v>1728.0422729681018</v>
      </c>
      <c r="AB180" s="2">
        <v>135.9234381170524</v>
      </c>
      <c r="AC180" s="2">
        <v>5719.5131559514211</v>
      </c>
      <c r="AD180" s="2">
        <v>306.54886036541922</v>
      </c>
      <c r="AE180" s="2">
        <v>570.43929956034901</v>
      </c>
      <c r="AF180" s="2">
        <v>1149.7329906486518</v>
      </c>
      <c r="AG180" s="2">
        <v>186.64742126609212</v>
      </c>
      <c r="AH180" s="2">
        <v>283.34096296280205</v>
      </c>
      <c r="AI180" s="2">
        <v>518517.29886673694</v>
      </c>
      <c r="AJ180" s="2">
        <v>479993.10316332459</v>
      </c>
      <c r="AL180" s="27">
        <v>0.91602808368323629</v>
      </c>
      <c r="AM180" s="27">
        <v>0.92324825444827296</v>
      </c>
      <c r="AN180" s="27">
        <v>0.90691294043701343</v>
      </c>
      <c r="AO180" s="27">
        <v>0.8771124147308198</v>
      </c>
      <c r="AP180" s="27">
        <v>0.60546800603203565</v>
      </c>
      <c r="AQ180" s="27">
        <v>0.91602808368323629</v>
      </c>
      <c r="AR180" s="27">
        <v>0.92324825444827296</v>
      </c>
      <c r="AS180" s="27">
        <v>0.90691294043701343</v>
      </c>
      <c r="AT180" s="27">
        <v>0.8771124147308198</v>
      </c>
      <c r="AU180" s="27">
        <v>0.60546800603203565</v>
      </c>
      <c r="AW180" s="1">
        <v>12.988572444138576</v>
      </c>
      <c r="AX180" s="1">
        <v>15.355742976534046</v>
      </c>
      <c r="AY180" s="2">
        <v>2317584.9801153606</v>
      </c>
      <c r="AZ180" s="1">
        <v>15.190697685990729</v>
      </c>
      <c r="BA180" s="1">
        <v>17.375578244636451</v>
      </c>
      <c r="BB180" s="2">
        <v>1412478.1842733885</v>
      </c>
      <c r="BC180" s="2">
        <f t="shared" si="21"/>
        <v>-905106.79584197211</v>
      </c>
      <c r="BD180" s="292">
        <f t="shared" si="22"/>
        <v>2.2021252418521531</v>
      </c>
      <c r="BF180" s="170">
        <f t="shared" si="17"/>
        <v>-239413.3890531885</v>
      </c>
      <c r="BG180" s="2">
        <f t="shared" si="18"/>
        <v>1018033.4454851283</v>
      </c>
      <c r="BI180">
        <f t="shared" si="19"/>
        <v>0</v>
      </c>
      <c r="BJ180" s="95">
        <f t="shared" si="20"/>
        <v>1</v>
      </c>
      <c r="BP180" s="217">
        <f t="shared" si="23"/>
        <v>1018033.4454851283</v>
      </c>
    </row>
    <row r="181" spans="1:68">
      <c r="A181" s="11">
        <v>175</v>
      </c>
      <c r="C181" s="27">
        <v>0.9217917214039012</v>
      </c>
      <c r="D181" s="27">
        <v>7.8208278596098801E-2</v>
      </c>
      <c r="E181" s="27">
        <v>0</v>
      </c>
      <c r="F181" s="27">
        <v>0.85742834092862197</v>
      </c>
      <c r="G181" s="27">
        <v>0.14257165907137806</v>
      </c>
      <c r="H181" s="27">
        <v>0</v>
      </c>
      <c r="I181" s="27">
        <v>0.74831023737881786</v>
      </c>
      <c r="J181" s="27">
        <v>0.25168976262118214</v>
      </c>
      <c r="K181" s="27">
        <v>0</v>
      </c>
      <c r="L181" s="27">
        <v>0.17331973789005978</v>
      </c>
      <c r="M181" s="27">
        <v>0.46292414990308256</v>
      </c>
      <c r="N181" s="27">
        <v>0.36375611220685772</v>
      </c>
      <c r="O181" s="27">
        <v>-10.950674168220436</v>
      </c>
      <c r="P181" s="27">
        <v>3.4412222120345254E-2</v>
      </c>
      <c r="Q181" s="27">
        <v>7.4451634915257572E-5</v>
      </c>
      <c r="R181" s="27">
        <v>1.0470021981294249</v>
      </c>
      <c r="S181" s="154"/>
      <c r="T181">
        <v>0.90510188721744078</v>
      </c>
      <c r="U181">
        <v>2.2180265637600827</v>
      </c>
      <c r="V181">
        <v>2.8523459069188299</v>
      </c>
      <c r="W181">
        <v>1</v>
      </c>
      <c r="Y181" s="2">
        <v>873.39779593864864</v>
      </c>
      <c r="Z181" s="2">
        <v>1756.7640073087603</v>
      </c>
      <c r="AA181" s="2">
        <v>629.21110574337285</v>
      </c>
      <c r="AB181" s="2">
        <v>2077.8468378511589</v>
      </c>
      <c r="AC181" s="2">
        <v>2876.2154244086473</v>
      </c>
      <c r="AD181" s="2">
        <v>453.3489767334998</v>
      </c>
      <c r="AE181" s="2">
        <v>545.46441220466465</v>
      </c>
      <c r="AF181" s="2">
        <v>1100.0424702770185</v>
      </c>
      <c r="AG181" s="2">
        <v>110.86437533075842</v>
      </c>
      <c r="AH181" s="2">
        <v>457.45802359711098</v>
      </c>
      <c r="AI181" s="2">
        <v>611462.89074252453</v>
      </c>
      <c r="AJ181" s="2">
        <v>564464.1700523746</v>
      </c>
      <c r="AL181" s="27">
        <v>0.91211374406433487</v>
      </c>
      <c r="AM181" s="27">
        <v>0.92073915929309469</v>
      </c>
      <c r="AN181" s="27">
        <v>0.91726938169581351</v>
      </c>
      <c r="AO181" s="27">
        <v>0.85254399487026222</v>
      </c>
      <c r="AP181" s="27">
        <v>0.68495448714370566</v>
      </c>
      <c r="AQ181" s="27">
        <v>0.91211374406433487</v>
      </c>
      <c r="AR181" s="27">
        <v>0.92073915929309469</v>
      </c>
      <c r="AS181" s="27">
        <v>0.91726938169581351</v>
      </c>
      <c r="AT181" s="27">
        <v>0.85254399487026222</v>
      </c>
      <c r="AU181" s="27">
        <v>0.68495448714370566</v>
      </c>
      <c r="AW181" s="1">
        <v>13.755706411511314</v>
      </c>
      <c r="AX181" s="1">
        <v>15.860750337003385</v>
      </c>
      <c r="AY181" s="2">
        <v>2200595.653415489</v>
      </c>
      <c r="AZ181" s="1">
        <v>15.303394079384917</v>
      </c>
      <c r="BA181" s="1">
        <v>17.334466819045982</v>
      </c>
      <c r="BB181" s="2">
        <v>1647652.8286314937</v>
      </c>
      <c r="BC181" s="2">
        <f t="shared" si="21"/>
        <v>-552942.82478399528</v>
      </c>
      <c r="BD181" s="292">
        <f t="shared" si="22"/>
        <v>1.5476876678736033</v>
      </c>
      <c r="BF181" s="170">
        <f t="shared" si="17"/>
        <v>317.37242632126436</v>
      </c>
      <c r="BG181" s="2">
        <f t="shared" si="18"/>
        <v>800890.22407009313</v>
      </c>
      <c r="BI181">
        <f t="shared" si="19"/>
        <v>0</v>
      </c>
      <c r="BJ181" s="95">
        <f t="shared" si="20"/>
        <v>1</v>
      </c>
      <c r="BP181" s="217">
        <f t="shared" si="23"/>
        <v>800890.22407009313</v>
      </c>
    </row>
    <row r="182" spans="1:68">
      <c r="A182" s="11">
        <v>176</v>
      </c>
      <c r="C182" s="27">
        <v>0.92500386459861927</v>
      </c>
      <c r="D182" s="27">
        <v>7.4996135401380726E-2</v>
      </c>
      <c r="E182" s="27">
        <v>0</v>
      </c>
      <c r="F182" s="27">
        <v>0.85970046128414812</v>
      </c>
      <c r="G182" s="27">
        <v>0.14029953871585193</v>
      </c>
      <c r="H182" s="27">
        <v>0</v>
      </c>
      <c r="I182" s="27">
        <v>0.74878832606760726</v>
      </c>
      <c r="J182" s="27">
        <v>0.25121167393239274</v>
      </c>
      <c r="K182" s="27">
        <v>0</v>
      </c>
      <c r="L182" s="27">
        <v>0.22331345395340096</v>
      </c>
      <c r="M182" s="27">
        <v>0.47177548026279947</v>
      </c>
      <c r="N182" s="27">
        <v>0.30491106578379956</v>
      </c>
      <c r="O182" s="27">
        <v>-11.076161918216247</v>
      </c>
      <c r="P182" s="27">
        <v>3.4884692445253225E-2</v>
      </c>
      <c r="Q182" s="27">
        <v>6.6987479074963403E-5</v>
      </c>
      <c r="R182" s="27">
        <v>1.0647424759651949</v>
      </c>
      <c r="S182" s="154"/>
      <c r="T182">
        <v>1.0016322126671167</v>
      </c>
      <c r="U182">
        <v>2.1696944318689284</v>
      </c>
      <c r="V182">
        <v>2.9092690769176688</v>
      </c>
      <c r="W182">
        <v>1</v>
      </c>
      <c r="Y182" s="2">
        <v>323.61579291553682</v>
      </c>
      <c r="Z182" s="2">
        <v>96.226702421904349</v>
      </c>
      <c r="AA182" s="2">
        <v>2120.4790264938165</v>
      </c>
      <c r="AB182" s="2">
        <v>6821.9439869418457</v>
      </c>
      <c r="AC182" s="2">
        <v>303.07343477974973</v>
      </c>
      <c r="AD182" s="2">
        <v>2130.0738311455516</v>
      </c>
      <c r="AE182" s="2">
        <v>566.7390309379831</v>
      </c>
      <c r="AF182" s="2">
        <v>972.53273356178624</v>
      </c>
      <c r="AG182" s="2">
        <v>123.99874188370769</v>
      </c>
      <c r="AH182" s="2">
        <v>650.93039760545969</v>
      </c>
      <c r="AI182" s="2">
        <v>471139.80792659265</v>
      </c>
      <c r="AJ182" s="2">
        <v>443524.89785318571</v>
      </c>
      <c r="AL182" s="27">
        <v>0.91499675906302591</v>
      </c>
      <c r="AM182" s="27">
        <v>0.91089161561612486</v>
      </c>
      <c r="AN182" s="27">
        <v>0.90457323458485028</v>
      </c>
      <c r="AO182" s="27">
        <v>0.82666470575562079</v>
      </c>
      <c r="AP182" s="27">
        <v>0.74407516149869268</v>
      </c>
      <c r="AQ182" s="27">
        <v>0.91499675906302591</v>
      </c>
      <c r="AR182" s="27">
        <v>0.91089161561612486</v>
      </c>
      <c r="AS182" s="27">
        <v>0.90457323458485028</v>
      </c>
      <c r="AT182" s="27">
        <v>0.82666470575562079</v>
      </c>
      <c r="AU182" s="27">
        <v>0.74407516149869268</v>
      </c>
      <c r="AW182" s="1">
        <v>13.940029408762824</v>
      </c>
      <c r="AX182" s="1">
        <v>15.936890724349313</v>
      </c>
      <c r="AY182" s="2">
        <v>1810222.5916573606</v>
      </c>
      <c r="AZ182" s="1">
        <v>15.617654472970738</v>
      </c>
      <c r="BA182" s="1">
        <v>17.595792054126807</v>
      </c>
      <c r="BB182" s="2">
        <v>1474059.1678732994</v>
      </c>
      <c r="BC182" s="2">
        <f t="shared" si="21"/>
        <v>-336163.4237840611</v>
      </c>
      <c r="BD182" s="292">
        <f t="shared" si="22"/>
        <v>1.6776250642079145</v>
      </c>
      <c r="BF182" s="170">
        <f t="shared" si="17"/>
        <v>420182.11374469101</v>
      </c>
      <c r="BG182" s="2">
        <f t="shared" si="18"/>
        <v>1024765.5478020187</v>
      </c>
      <c r="BI182">
        <f t="shared" si="19"/>
        <v>0</v>
      </c>
      <c r="BJ182" s="95">
        <f t="shared" si="20"/>
        <v>1</v>
      </c>
      <c r="BP182" s="217">
        <f t="shared" si="23"/>
        <v>1024765.5478020187</v>
      </c>
    </row>
    <row r="183" spans="1:68">
      <c r="A183" s="11">
        <v>177</v>
      </c>
      <c r="C183" s="27">
        <v>0.9241904203713186</v>
      </c>
      <c r="D183" s="27">
        <v>7.5809579628681428E-2</v>
      </c>
      <c r="E183" s="27">
        <v>0</v>
      </c>
      <c r="F183" s="27">
        <v>0.85123408679578783</v>
      </c>
      <c r="G183" s="27">
        <v>0.14876591320421217</v>
      </c>
      <c r="H183" s="27">
        <v>0</v>
      </c>
      <c r="I183" s="27">
        <v>0.74185649408450383</v>
      </c>
      <c r="J183" s="27">
        <v>0.25814350591549617</v>
      </c>
      <c r="K183" s="27">
        <v>0</v>
      </c>
      <c r="L183" s="27">
        <v>5.2034787673176708E-2</v>
      </c>
      <c r="M183" s="27">
        <v>0.54646621508273507</v>
      </c>
      <c r="N183" s="27">
        <v>0.40149899724408822</v>
      </c>
      <c r="O183" s="27">
        <v>-10.769422753185985</v>
      </c>
      <c r="P183" s="27">
        <v>3.071795123364757E-2</v>
      </c>
      <c r="Q183" s="27">
        <v>7.6419794779923747E-5</v>
      </c>
      <c r="R183" s="27">
        <v>1.047235223995316</v>
      </c>
      <c r="S183" s="154"/>
      <c r="T183">
        <v>1.1233058814197014</v>
      </c>
      <c r="U183">
        <v>2.3465833119396087</v>
      </c>
      <c r="V183">
        <v>2.7830537708099619</v>
      </c>
      <c r="W183">
        <v>1</v>
      </c>
      <c r="Y183" s="2">
        <v>400.71062253340665</v>
      </c>
      <c r="Z183" s="2">
        <v>2082.0878326853194</v>
      </c>
      <c r="AA183" s="2">
        <v>2754.553864691351</v>
      </c>
      <c r="AB183" s="2">
        <v>703.92257774946859</v>
      </c>
      <c r="AC183" s="2">
        <v>317.38089463641325</v>
      </c>
      <c r="AD183" s="2">
        <v>549.40738817913802</v>
      </c>
      <c r="AE183" s="2">
        <v>492.80043456220193</v>
      </c>
      <c r="AF183" s="2">
        <v>1012.2722976866864</v>
      </c>
      <c r="AG183" s="2">
        <v>114.76502215115379</v>
      </c>
      <c r="AH183" s="2">
        <v>513.6038718715489</v>
      </c>
      <c r="AI183" s="2">
        <v>522138.23065342213</v>
      </c>
      <c r="AJ183" s="2">
        <v>493624.72496642795</v>
      </c>
      <c r="AL183" s="27">
        <v>0.91894966709947601</v>
      </c>
      <c r="AM183" s="27">
        <v>0.91099589931891567</v>
      </c>
      <c r="AN183" s="27">
        <v>0.91100128781087952</v>
      </c>
      <c r="AO183" s="27">
        <v>0.86186654132410268</v>
      </c>
      <c r="AP183" s="27">
        <v>0.76958794866422897</v>
      </c>
      <c r="AQ183" s="27">
        <v>0.91894966709947601</v>
      </c>
      <c r="AR183" s="27">
        <v>0.91099589931891567</v>
      </c>
      <c r="AS183" s="27">
        <v>0.91100128781087952</v>
      </c>
      <c r="AT183" s="27">
        <v>0.86186654132410268</v>
      </c>
      <c r="AU183" s="27">
        <v>0.76958794866422897</v>
      </c>
      <c r="AW183" s="1">
        <v>13.43468165543994</v>
      </c>
      <c r="AX183" s="1">
        <v>15.246615379092312</v>
      </c>
      <c r="AY183" s="2">
        <v>2151969.990308064</v>
      </c>
      <c r="AZ183" s="1">
        <v>15.493308765065105</v>
      </c>
      <c r="BA183" s="1">
        <v>17.31876341444185</v>
      </c>
      <c r="BB183" s="2">
        <v>1508568.5393502011</v>
      </c>
      <c r="BC183" s="2">
        <f t="shared" si="21"/>
        <v>-643401.45095786289</v>
      </c>
      <c r="BD183" s="292">
        <f t="shared" si="22"/>
        <v>2.0586271096251654</v>
      </c>
      <c r="BF183" s="170">
        <f t="shared" si="17"/>
        <v>-2420.9254376734607</v>
      </c>
      <c r="BG183" s="2">
        <f t="shared" si="18"/>
        <v>970360.86306021572</v>
      </c>
      <c r="BI183">
        <f t="shared" si="19"/>
        <v>0</v>
      </c>
      <c r="BJ183" s="95">
        <f t="shared" si="20"/>
        <v>1</v>
      </c>
      <c r="BP183" s="217">
        <f t="shared" si="23"/>
        <v>970360.86306021572</v>
      </c>
    </row>
    <row r="184" spans="1:68">
      <c r="A184" s="11">
        <v>178</v>
      </c>
      <c r="C184" s="27">
        <v>0.9214189423441399</v>
      </c>
      <c r="D184" s="27">
        <v>7.8581057655860098E-2</v>
      </c>
      <c r="E184" s="27">
        <v>0</v>
      </c>
      <c r="F184" s="27">
        <v>0.85196870483137888</v>
      </c>
      <c r="G184" s="27">
        <v>0.14803129516862112</v>
      </c>
      <c r="H184" s="27">
        <v>0</v>
      </c>
      <c r="I184" s="27">
        <v>0.7480377066664059</v>
      </c>
      <c r="J184" s="27">
        <v>0.2519622933335941</v>
      </c>
      <c r="K184" s="27">
        <v>0</v>
      </c>
      <c r="L184" s="27">
        <v>8.2874716655159553E-2</v>
      </c>
      <c r="M184" s="27">
        <v>0.49952043644668326</v>
      </c>
      <c r="N184" s="27">
        <v>0.41760484689815724</v>
      </c>
      <c r="O184" s="27">
        <v>-11.171064665078379</v>
      </c>
      <c r="P184" s="27">
        <v>3.4737176519656889E-2</v>
      </c>
      <c r="Q184" s="27">
        <v>6.0546236129923258E-5</v>
      </c>
      <c r="R184" s="27">
        <v>1.0720789568452638</v>
      </c>
      <c r="S184" s="154"/>
      <c r="T184">
        <v>0.98610504149889733</v>
      </c>
      <c r="U184">
        <v>2.220421365362673</v>
      </c>
      <c r="V184">
        <v>2.9511928805202885</v>
      </c>
      <c r="W184">
        <v>1</v>
      </c>
      <c r="Y184" s="2">
        <v>129.85054333714265</v>
      </c>
      <c r="Z184" s="2">
        <v>7079.7921554067279</v>
      </c>
      <c r="AA184" s="2">
        <v>4121.9325711087822</v>
      </c>
      <c r="AB184" s="2">
        <v>1489.0109765592802</v>
      </c>
      <c r="AC184" s="2">
        <v>885.69529966029779</v>
      </c>
      <c r="AD184" s="2">
        <v>1063.4392426549805</v>
      </c>
      <c r="AE184" s="2">
        <v>546.14617399701058</v>
      </c>
      <c r="AF184" s="2">
        <v>1436.1325641129611</v>
      </c>
      <c r="AG184" s="2">
        <v>181.57821153106607</v>
      </c>
      <c r="AH184" s="2">
        <v>312.51798405669786</v>
      </c>
      <c r="AI184" s="2">
        <v>476161.59717655822</v>
      </c>
      <c r="AJ184" s="2">
        <v>439820.18725112226</v>
      </c>
      <c r="AL184" s="27">
        <v>0.91110047132752214</v>
      </c>
      <c r="AM184" s="27">
        <v>0.91283849643905546</v>
      </c>
      <c r="AN184" s="27">
        <v>0.90411661047073499</v>
      </c>
      <c r="AO184" s="27">
        <v>0.81980551586417971</v>
      </c>
      <c r="AP184" s="27">
        <v>0.50285384472253802</v>
      </c>
      <c r="AQ184" s="27">
        <v>0.91110047132752214</v>
      </c>
      <c r="AR184" s="27">
        <v>0.91283849643905546</v>
      </c>
      <c r="AS184" s="27">
        <v>0.90411661047073499</v>
      </c>
      <c r="AT184" s="27">
        <v>0.81980551586417971</v>
      </c>
      <c r="AU184" s="27">
        <v>0.50285384472253802</v>
      </c>
      <c r="AW184" s="1">
        <v>12.683761701086192</v>
      </c>
      <c r="AX184" s="1">
        <v>15.378623178135028</v>
      </c>
      <c r="AY184" s="2">
        <v>1797987.7945114949</v>
      </c>
      <c r="AZ184" s="1">
        <v>14.655362903012653</v>
      </c>
      <c r="BA184" s="1">
        <v>17.145167816689977</v>
      </c>
      <c r="BB184" s="2">
        <v>1338396.3526969075</v>
      </c>
      <c r="BC184" s="2">
        <f t="shared" si="21"/>
        <v>-459591.44181458745</v>
      </c>
      <c r="BD184" s="292">
        <f t="shared" si="22"/>
        <v>1.971601201926461</v>
      </c>
      <c r="BF184" s="170">
        <f t="shared" si="17"/>
        <v>231414.07766229589</v>
      </c>
      <c r="BG184" s="2">
        <f t="shared" si="18"/>
        <v>1006461.7117851169</v>
      </c>
      <c r="BI184">
        <f t="shared" si="19"/>
        <v>0</v>
      </c>
      <c r="BJ184" s="95">
        <f t="shared" si="20"/>
        <v>1</v>
      </c>
      <c r="BP184" s="217">
        <f t="shared" si="23"/>
        <v>1006461.7117851169</v>
      </c>
    </row>
    <row r="185" spans="1:68">
      <c r="A185" s="11">
        <v>179</v>
      </c>
      <c r="C185" s="27">
        <v>0.92452050620588233</v>
      </c>
      <c r="D185" s="27">
        <v>7.5479493794117683E-2</v>
      </c>
      <c r="E185" s="27">
        <v>0</v>
      </c>
      <c r="F185" s="27">
        <v>0.85996749895806857</v>
      </c>
      <c r="G185" s="27">
        <v>0.14003250104193143</v>
      </c>
      <c r="H185" s="27">
        <v>0</v>
      </c>
      <c r="I185" s="27">
        <v>0.75235352686302748</v>
      </c>
      <c r="J185" s="27">
        <v>0.24764647313697249</v>
      </c>
      <c r="K185" s="27">
        <v>0</v>
      </c>
      <c r="L185" s="27">
        <v>0.17818267210157468</v>
      </c>
      <c r="M185" s="27">
        <v>0.45331787916489358</v>
      </c>
      <c r="N185" s="27">
        <v>0.3684994487335318</v>
      </c>
      <c r="O185" s="27">
        <v>-11.084945223659398</v>
      </c>
      <c r="P185" s="27">
        <v>3.5700029335282768E-2</v>
      </c>
      <c r="Q185" s="27">
        <v>6.8714934746888365E-5</v>
      </c>
      <c r="R185" s="27">
        <v>1.0498575049749099</v>
      </c>
      <c r="S185" s="154"/>
      <c r="T185">
        <v>1.0453616376659782</v>
      </c>
      <c r="U185">
        <v>2.2740888652349911</v>
      </c>
      <c r="V185">
        <v>2.8872502170751706</v>
      </c>
      <c r="W185">
        <v>1</v>
      </c>
      <c r="Y185" s="2">
        <v>115.34507393276488</v>
      </c>
      <c r="Z185" s="2">
        <v>5954.0705375863481</v>
      </c>
      <c r="AA185" s="2">
        <v>442.8211247766518</v>
      </c>
      <c r="AB185" s="2">
        <v>1191.5364125863114</v>
      </c>
      <c r="AC185" s="2">
        <v>3377.9502503738245</v>
      </c>
      <c r="AD185" s="2">
        <v>1838.0481892023624</v>
      </c>
      <c r="AE185" s="2">
        <v>548.08566392796456</v>
      </c>
      <c r="AF185" s="2">
        <v>1271.93903151635</v>
      </c>
      <c r="AG185" s="2">
        <v>123.54091496177946</v>
      </c>
      <c r="AH185" s="2">
        <v>520.348044696437</v>
      </c>
      <c r="AI185" s="2">
        <v>385746.40024041582</v>
      </c>
      <c r="AJ185" s="2">
        <v>349531.04565202323</v>
      </c>
      <c r="AL185" s="27">
        <v>0.91696114573211496</v>
      </c>
      <c r="AM185" s="27">
        <v>0.9141683439095396</v>
      </c>
      <c r="AN185" s="27">
        <v>0.9053281587149401</v>
      </c>
      <c r="AO185" s="27">
        <v>0.91526363128185217</v>
      </c>
      <c r="AP185" s="27">
        <v>0.61684549953759116</v>
      </c>
      <c r="AQ185" s="27">
        <v>0.91696114573211496</v>
      </c>
      <c r="AR185" s="27">
        <v>0.9141683439095396</v>
      </c>
      <c r="AS185" s="27">
        <v>0.9053281587149401</v>
      </c>
      <c r="AT185" s="27">
        <v>0.91526363128185217</v>
      </c>
      <c r="AU185" s="27">
        <v>0.61684549953759116</v>
      </c>
      <c r="AW185" s="1">
        <v>13.285707616478733</v>
      </c>
      <c r="AX185" s="1">
        <v>15.562716853633944</v>
      </c>
      <c r="AY185" s="2">
        <v>1527044.3128400794</v>
      </c>
      <c r="AZ185" s="1">
        <v>15.301715896981058</v>
      </c>
      <c r="BA185" s="1">
        <v>17.449363819877743</v>
      </c>
      <c r="BB185" s="2">
        <v>1035381.6750669295</v>
      </c>
      <c r="BC185" s="2">
        <f t="shared" si="21"/>
        <v>-491662.63777314988</v>
      </c>
      <c r="BD185" s="292">
        <f t="shared" si="22"/>
        <v>2.0160082805023247</v>
      </c>
      <c r="BF185" s="170">
        <f t="shared" si="17"/>
        <v>598668.90579651808</v>
      </c>
      <c r="BG185" s="2">
        <f t="shared" si="18"/>
        <v>1412892.8684500398</v>
      </c>
      <c r="BI185">
        <f t="shared" si="19"/>
        <v>0</v>
      </c>
      <c r="BJ185" s="95">
        <f t="shared" si="20"/>
        <v>1</v>
      </c>
      <c r="BP185" s="217">
        <f t="shared" si="23"/>
        <v>1412892.8684500398</v>
      </c>
    </row>
    <row r="186" spans="1:68">
      <c r="A186" s="11">
        <v>180</v>
      </c>
      <c r="C186" s="27">
        <v>0.92277832601347742</v>
      </c>
      <c r="D186" s="27">
        <v>7.7221673986522577E-2</v>
      </c>
      <c r="E186" s="27">
        <v>0</v>
      </c>
      <c r="F186" s="27">
        <v>0.85737968399987141</v>
      </c>
      <c r="G186" s="27">
        <v>0.14262031600012859</v>
      </c>
      <c r="H186" s="27">
        <v>0</v>
      </c>
      <c r="I186" s="27">
        <v>0.75177944108236539</v>
      </c>
      <c r="J186" s="27">
        <v>0.24822055891763464</v>
      </c>
      <c r="K186" s="27">
        <v>0</v>
      </c>
      <c r="L186" s="27">
        <v>0.1085280591105301</v>
      </c>
      <c r="M186" s="27">
        <v>0.48552753177036917</v>
      </c>
      <c r="N186" s="27">
        <v>0.40594440911910079</v>
      </c>
      <c r="O186" s="27">
        <v>-11.50525309898709</v>
      </c>
      <c r="P186" s="27">
        <v>3.6996927455719801E-2</v>
      </c>
      <c r="Q186" s="27">
        <v>4.7661712952477359E-5</v>
      </c>
      <c r="R186" s="27">
        <v>1.1082137881573726</v>
      </c>
      <c r="S186" s="154"/>
      <c r="T186">
        <v>1.0840331481676233</v>
      </c>
      <c r="U186">
        <v>2.2148548705478608</v>
      </c>
      <c r="V186">
        <v>2.9383968275659398</v>
      </c>
      <c r="W186">
        <v>1</v>
      </c>
      <c r="Y186" s="2">
        <v>562.22568752923939</v>
      </c>
      <c r="Z186" s="2">
        <v>3974.7351233785016</v>
      </c>
      <c r="AA186" s="2">
        <v>2404.7533010352413</v>
      </c>
      <c r="AB186" s="2">
        <v>1175.6918431097647</v>
      </c>
      <c r="AC186" s="2">
        <v>1127.4322984275254</v>
      </c>
      <c r="AD186" s="2">
        <v>888.86927404142102</v>
      </c>
      <c r="AE186" s="2">
        <v>537.57247038638286</v>
      </c>
      <c r="AF186" s="2">
        <v>1193.0290191817537</v>
      </c>
      <c r="AG186" s="2">
        <v>79.044610003106484</v>
      </c>
      <c r="AH186" s="2">
        <v>408.31235630912806</v>
      </c>
      <c r="AI186" s="2">
        <v>588714.28646452329</v>
      </c>
      <c r="AJ186" s="2">
        <v>552008.40631939413</v>
      </c>
      <c r="AL186" s="27">
        <v>0.92001894191047318</v>
      </c>
      <c r="AM186" s="27">
        <v>0.91697590226215797</v>
      </c>
      <c r="AN186" s="27">
        <v>0.91133108466743762</v>
      </c>
      <c r="AO186" s="27">
        <v>0.87027174656180528</v>
      </c>
      <c r="AP186" s="27">
        <v>0.56916623386084941</v>
      </c>
      <c r="AQ186" s="27">
        <v>0.92001894191047318</v>
      </c>
      <c r="AR186" s="27">
        <v>0.91697590226215797</v>
      </c>
      <c r="AS186" s="27">
        <v>0.91133108466743762</v>
      </c>
      <c r="AT186" s="27">
        <v>0.87027174656180528</v>
      </c>
      <c r="AU186" s="27">
        <v>0.56916623386084941</v>
      </c>
      <c r="AW186" s="1">
        <v>12.76318127233942</v>
      </c>
      <c r="AX186" s="1">
        <v>15.091002384837349</v>
      </c>
      <c r="AY186" s="2">
        <v>2150913.5216635121</v>
      </c>
      <c r="AZ186" s="1">
        <v>15.012047583603668</v>
      </c>
      <c r="BA186" s="1">
        <v>17.172794734334108</v>
      </c>
      <c r="BB186" s="2">
        <v>1501818.4335771848</v>
      </c>
      <c r="BC186" s="2">
        <f t="shared" si="21"/>
        <v>-649095.08808632731</v>
      </c>
      <c r="BD186" s="292">
        <f t="shared" si="22"/>
        <v>2.2488663112642477</v>
      </c>
      <c r="BF186" s="170">
        <f t="shared" si="17"/>
        <v>-108804.51808920503</v>
      </c>
      <c r="BG186" s="2">
        <f t="shared" si="18"/>
        <v>900109.1797994019</v>
      </c>
      <c r="BI186">
        <f t="shared" si="19"/>
        <v>0</v>
      </c>
      <c r="BJ186" s="95">
        <f t="shared" si="20"/>
        <v>1</v>
      </c>
      <c r="BP186" s="217">
        <f t="shared" si="23"/>
        <v>900109.1797994019</v>
      </c>
    </row>
    <row r="187" spans="1:68">
      <c r="A187" s="11">
        <v>181</v>
      </c>
      <c r="C187" s="27">
        <v>0.92466912133543888</v>
      </c>
      <c r="D187" s="27">
        <v>7.5330878664561146E-2</v>
      </c>
      <c r="E187" s="27">
        <v>0</v>
      </c>
      <c r="F187" s="27">
        <v>0.85715950101109972</v>
      </c>
      <c r="G187" s="27">
        <v>0.14284049898890028</v>
      </c>
      <c r="H187" s="27">
        <v>0</v>
      </c>
      <c r="I187" s="27">
        <v>0.75267636444748987</v>
      </c>
      <c r="J187" s="27">
        <v>0.24732363555251008</v>
      </c>
      <c r="K187" s="27">
        <v>0</v>
      </c>
      <c r="L187" s="27">
        <v>0.12193800407360145</v>
      </c>
      <c r="M187" s="27">
        <v>0.51787021707651748</v>
      </c>
      <c r="N187" s="27">
        <v>0.36019177884988107</v>
      </c>
      <c r="O187" s="27">
        <v>-11.248951229853979</v>
      </c>
      <c r="P187" s="27">
        <v>3.5425389881471217E-2</v>
      </c>
      <c r="Q187" s="27">
        <v>5.7652044098679111E-5</v>
      </c>
      <c r="R187" s="27">
        <v>1.0746127125052032</v>
      </c>
      <c r="S187" s="154"/>
      <c r="T187">
        <v>0.92243646422647718</v>
      </c>
      <c r="U187">
        <v>2.2609976887069472</v>
      </c>
      <c r="V187">
        <v>2.8282909421437292</v>
      </c>
      <c r="W187">
        <v>1</v>
      </c>
      <c r="Y187" s="2">
        <v>872.38275758983775</v>
      </c>
      <c r="Z187" s="2">
        <v>7799.3380155583018</v>
      </c>
      <c r="AA187" s="2">
        <v>3276.3318764724722</v>
      </c>
      <c r="AB187" s="2">
        <v>4489.9523203305616</v>
      </c>
      <c r="AC187" s="2">
        <v>107.98272431791258</v>
      </c>
      <c r="AD187" s="2">
        <v>840.94442932938318</v>
      </c>
      <c r="AE187" s="2">
        <v>594.20962401937243</v>
      </c>
      <c r="AF187" s="2">
        <v>992.27690600614028</v>
      </c>
      <c r="AG187" s="2">
        <v>156.51459021089988</v>
      </c>
      <c r="AH187" s="2">
        <v>258.84862823875034</v>
      </c>
      <c r="AI187" s="2">
        <v>407629.77724679915</v>
      </c>
      <c r="AJ187" s="2">
        <v>366315.55559344642</v>
      </c>
      <c r="AL187" s="27">
        <v>0.92047419692178722</v>
      </c>
      <c r="AM187" s="27">
        <v>0.91589734451802529</v>
      </c>
      <c r="AN187" s="27">
        <v>0.90171881309741098</v>
      </c>
      <c r="AO187" s="27">
        <v>0.85947199882764358</v>
      </c>
      <c r="AP187" s="27">
        <v>0.65661454605436109</v>
      </c>
      <c r="AQ187" s="27">
        <v>0.92047419692178722</v>
      </c>
      <c r="AR187" s="27">
        <v>0.91589734451802529</v>
      </c>
      <c r="AS187" s="27">
        <v>0.90171881309741098</v>
      </c>
      <c r="AT187" s="27">
        <v>0.85947199882764358</v>
      </c>
      <c r="AU187" s="27">
        <v>0.65661454605436109</v>
      </c>
      <c r="AW187" s="1">
        <v>13.852716968989887</v>
      </c>
      <c r="AX187" s="1">
        <v>16.028381685678511</v>
      </c>
      <c r="AY187" s="2">
        <v>1567951.5126434288</v>
      </c>
      <c r="AZ187" s="1">
        <v>15.417956990905699</v>
      </c>
      <c r="BA187" s="1">
        <v>17.510833099656516</v>
      </c>
      <c r="BB187" s="2">
        <v>1212391.6889387555</v>
      </c>
      <c r="BC187" s="2">
        <f t="shared" si="21"/>
        <v>-355559.82370467321</v>
      </c>
      <c r="BD187" s="292">
        <f t="shared" si="22"/>
        <v>1.5652400219158125</v>
      </c>
      <c r="BF187" s="170">
        <f t="shared" si="17"/>
        <v>648483.20239495323</v>
      </c>
      <c r="BG187" s="2">
        <f t="shared" si="18"/>
        <v>1254481.4296061564</v>
      </c>
      <c r="BI187">
        <f t="shared" si="19"/>
        <v>0</v>
      </c>
      <c r="BJ187" s="95">
        <f t="shared" si="20"/>
        <v>1</v>
      </c>
      <c r="BP187" s="217">
        <f t="shared" si="23"/>
        <v>1254481.4296061564</v>
      </c>
    </row>
    <row r="188" spans="1:68">
      <c r="A188" s="11">
        <v>182</v>
      </c>
      <c r="C188" s="27">
        <v>0.92408099728224313</v>
      </c>
      <c r="D188" s="27">
        <v>7.5919002717756853E-2</v>
      </c>
      <c r="E188" s="27">
        <v>0</v>
      </c>
      <c r="F188" s="27">
        <v>0.85761015039077004</v>
      </c>
      <c r="G188" s="27">
        <v>0.14238984960922998</v>
      </c>
      <c r="H188" s="27">
        <v>0</v>
      </c>
      <c r="I188" s="27">
        <v>0.74021506137639725</v>
      </c>
      <c r="J188" s="27">
        <v>0.25978493862360275</v>
      </c>
      <c r="K188" s="27">
        <v>0</v>
      </c>
      <c r="L188" s="27">
        <v>0.14449980777641891</v>
      </c>
      <c r="M188" s="27">
        <v>0.490642592797087</v>
      </c>
      <c r="N188" s="27">
        <v>0.36485759942649409</v>
      </c>
      <c r="O188" s="27">
        <v>-11.052760549367274</v>
      </c>
      <c r="P188" s="27">
        <v>3.2268903551979151E-2</v>
      </c>
      <c r="Q188" s="27">
        <v>6.1438947476732519E-5</v>
      </c>
      <c r="R188" s="27">
        <v>1.0805731549382354</v>
      </c>
      <c r="S188" s="154"/>
      <c r="T188">
        <v>1.0484649388392033</v>
      </c>
      <c r="U188">
        <v>2.2222057837134654</v>
      </c>
      <c r="V188">
        <v>2.9968691270910623</v>
      </c>
      <c r="W188">
        <v>1</v>
      </c>
      <c r="Y188" s="2">
        <v>1337.6652291784155</v>
      </c>
      <c r="Z188" s="2">
        <v>7675.9732122842661</v>
      </c>
      <c r="AA188" s="2">
        <v>445.91788914541382</v>
      </c>
      <c r="AB188" s="2">
        <v>4566.6338551091258</v>
      </c>
      <c r="AC188" s="2">
        <v>1189.2194507534027</v>
      </c>
      <c r="AD188" s="2">
        <v>1099.1891847739257</v>
      </c>
      <c r="AE188" s="2">
        <v>580.97393361670925</v>
      </c>
      <c r="AF188" s="2">
        <v>1108.1607346994554</v>
      </c>
      <c r="AG188" s="2">
        <v>96.152686515173329</v>
      </c>
      <c r="AH188" s="2">
        <v>337.03395562415517</v>
      </c>
      <c r="AI188" s="2">
        <v>376753.38046544173</v>
      </c>
      <c r="AJ188" s="2">
        <v>347174.39221137232</v>
      </c>
      <c r="AL188" s="27">
        <v>0.92268531621627026</v>
      </c>
      <c r="AM188" s="27">
        <v>0.91551435010381399</v>
      </c>
      <c r="AN188" s="27">
        <v>0.91118081543598484</v>
      </c>
      <c r="AO188" s="27">
        <v>0.86763149232602432</v>
      </c>
      <c r="AP188" s="27">
        <v>0.5924329826769712</v>
      </c>
      <c r="AQ188" s="27">
        <v>0.92268531621627026</v>
      </c>
      <c r="AR188" s="27">
        <v>0.91551435010381399</v>
      </c>
      <c r="AS188" s="27">
        <v>0.91118081543598484</v>
      </c>
      <c r="AT188" s="27">
        <v>0.86763149232602432</v>
      </c>
      <c r="AU188" s="27">
        <v>0.5924329826769712</v>
      </c>
      <c r="AW188" s="1">
        <v>13.098489345068364</v>
      </c>
      <c r="AX188" s="1">
        <v>15.397442730613973</v>
      </c>
      <c r="AY188" s="2">
        <v>1495257.0107633611</v>
      </c>
      <c r="AZ188" s="1">
        <v>15.160213843664879</v>
      </c>
      <c r="BA188" s="1">
        <v>17.305019599100866</v>
      </c>
      <c r="BB188" s="2">
        <v>1058269.3122882445</v>
      </c>
      <c r="BC188" s="2">
        <f t="shared" si="21"/>
        <v>-436987.69847511663</v>
      </c>
      <c r="BD188" s="292">
        <f t="shared" si="22"/>
        <v>2.0617244985965151</v>
      </c>
      <c r="BF188" s="170">
        <f t="shared" si="17"/>
        <v>600501.28444757708</v>
      </c>
      <c r="BG188" s="2">
        <f t="shared" si="18"/>
        <v>1367364.9026981362</v>
      </c>
      <c r="BI188">
        <f t="shared" si="19"/>
        <v>0</v>
      </c>
      <c r="BJ188" s="95">
        <f t="shared" si="20"/>
        <v>1</v>
      </c>
      <c r="BP188" s="217">
        <f t="shared" si="23"/>
        <v>1367364.9026981362</v>
      </c>
    </row>
    <row r="189" spans="1:68">
      <c r="A189" s="11">
        <v>183</v>
      </c>
      <c r="C189" s="27">
        <v>0.92222805939049024</v>
      </c>
      <c r="D189" s="27">
        <v>7.777194060950976E-2</v>
      </c>
      <c r="E189" s="27">
        <v>0</v>
      </c>
      <c r="F189" s="27">
        <v>0.86262258406665482</v>
      </c>
      <c r="G189" s="27">
        <v>0.13737741593334521</v>
      </c>
      <c r="H189" s="27">
        <v>0</v>
      </c>
      <c r="I189" s="27">
        <v>0.75118140774581232</v>
      </c>
      <c r="J189" s="27">
        <v>0.2488185922541877</v>
      </c>
      <c r="K189" s="27">
        <v>0</v>
      </c>
      <c r="L189" s="27">
        <v>0.1054542410207886</v>
      </c>
      <c r="M189" s="27">
        <v>0.50324137546240455</v>
      </c>
      <c r="N189" s="27">
        <v>0.39130438351680685</v>
      </c>
      <c r="O189" s="27">
        <v>-11.522593747027596</v>
      </c>
      <c r="P189" s="27">
        <v>3.5785016350099237E-2</v>
      </c>
      <c r="Q189" s="27">
        <v>4.4517728257278145E-5</v>
      </c>
      <c r="R189" s="27">
        <v>1.1087829321960048</v>
      </c>
      <c r="S189" s="154"/>
      <c r="T189">
        <v>1.0778341314173714</v>
      </c>
      <c r="U189">
        <v>2.2792916139554809</v>
      </c>
      <c r="V189">
        <v>3.0439077773384269</v>
      </c>
      <c r="W189">
        <v>1</v>
      </c>
      <c r="Y189" s="2">
        <v>1440.5762829719872</v>
      </c>
      <c r="Z189" s="2">
        <v>983.78330390483279</v>
      </c>
      <c r="AA189" s="2">
        <v>388.82798697543058</v>
      </c>
      <c r="AB189" s="2">
        <v>7869.5472987306075</v>
      </c>
      <c r="AC189" s="2">
        <v>1256.6021412865673</v>
      </c>
      <c r="AD189" s="2">
        <v>650.94986828633478</v>
      </c>
      <c r="AE189" s="2">
        <v>547.84883055029331</v>
      </c>
      <c r="AF189" s="2">
        <v>1176.8638123120468</v>
      </c>
      <c r="AG189" s="2">
        <v>106.33266479194117</v>
      </c>
      <c r="AH189" s="2">
        <v>528.62203361197032</v>
      </c>
      <c r="AI189" s="2">
        <v>496305.00593851693</v>
      </c>
      <c r="AJ189" s="2">
        <v>461419.49722521863</v>
      </c>
      <c r="AL189" s="27">
        <v>0.91181022233834352</v>
      </c>
      <c r="AM189" s="27">
        <v>0.92552449729234154</v>
      </c>
      <c r="AN189" s="27">
        <v>0.90028644158560001</v>
      </c>
      <c r="AO189" s="27">
        <v>0.78158211371006991</v>
      </c>
      <c r="AP189" s="27">
        <v>0.77628623522580531</v>
      </c>
      <c r="AQ189" s="27">
        <v>0.91181022233834352</v>
      </c>
      <c r="AR189" s="27">
        <v>0.92552449729234154</v>
      </c>
      <c r="AS189" s="27">
        <v>0.90028644158560001</v>
      </c>
      <c r="AT189" s="27">
        <v>0.78158211371006991</v>
      </c>
      <c r="AU189" s="27">
        <v>0.77628623522580531</v>
      </c>
      <c r="AW189" s="1">
        <v>13.402426768090788</v>
      </c>
      <c r="AX189" s="1">
        <v>15.253398428861892</v>
      </c>
      <c r="AY189" s="2">
        <v>1894741.5590013133</v>
      </c>
      <c r="AZ189" s="1">
        <v>15.470439014252714</v>
      </c>
      <c r="BA189" s="1">
        <v>17.325994694894788</v>
      </c>
      <c r="BB189" s="2">
        <v>1405678.9246702176</v>
      </c>
      <c r="BC189" s="2">
        <f t="shared" si="21"/>
        <v>-489062.63433109573</v>
      </c>
      <c r="BD189" s="292">
        <f t="shared" si="22"/>
        <v>2.0680122461619259</v>
      </c>
      <c r="BF189" s="170">
        <f t="shared" si="17"/>
        <v>249646.72389321285</v>
      </c>
      <c r="BG189" s="2">
        <f t="shared" si="18"/>
        <v>1069591.3176102168</v>
      </c>
      <c r="BI189">
        <f t="shared" si="19"/>
        <v>0</v>
      </c>
      <c r="BJ189" s="95">
        <f t="shared" si="20"/>
        <v>1</v>
      </c>
      <c r="BP189" s="217">
        <f t="shared" si="23"/>
        <v>1069591.3176102168</v>
      </c>
    </row>
    <row r="190" spans="1:68">
      <c r="A190" s="11">
        <v>184</v>
      </c>
      <c r="C190" s="27">
        <v>0.92343019688990513</v>
      </c>
      <c r="D190" s="27">
        <v>7.6569803110094883E-2</v>
      </c>
      <c r="E190" s="27">
        <v>0</v>
      </c>
      <c r="F190" s="27">
        <v>0.85733644539107834</v>
      </c>
      <c r="G190" s="27">
        <v>0.14266355460892163</v>
      </c>
      <c r="H190" s="27">
        <v>0</v>
      </c>
      <c r="I190" s="27">
        <v>0.75351480961951189</v>
      </c>
      <c r="J190" s="27">
        <v>0.24648519038048813</v>
      </c>
      <c r="K190" s="27">
        <v>0</v>
      </c>
      <c r="L190" s="27">
        <v>0.1621555073205741</v>
      </c>
      <c r="M190" s="27">
        <v>0.47281357657494005</v>
      </c>
      <c r="N190" s="27">
        <v>0.36503091610448585</v>
      </c>
      <c r="O190" s="27">
        <v>-11.850831813354878</v>
      </c>
      <c r="P190" s="27">
        <v>3.911977825268808E-2</v>
      </c>
      <c r="Q190" s="27">
        <v>3.6881476429402733E-5</v>
      </c>
      <c r="R190" s="27">
        <v>1.1417272760835462</v>
      </c>
      <c r="S190" s="154"/>
      <c r="T190">
        <v>1.0174779791242925</v>
      </c>
      <c r="U190">
        <v>2.2860482154571957</v>
      </c>
      <c r="V190">
        <v>3.0603106657317136</v>
      </c>
      <c r="W190">
        <v>1</v>
      </c>
      <c r="Y190" s="2">
        <v>39.876817212629867</v>
      </c>
      <c r="Z190" s="2">
        <v>4559.1525932445493</v>
      </c>
      <c r="AA190" s="2">
        <v>1087.6996009694803</v>
      </c>
      <c r="AB190" s="2">
        <v>6286.7749009211557</v>
      </c>
      <c r="AC190" s="2">
        <v>778.96556505656827</v>
      </c>
      <c r="AD190" s="2">
        <v>275.40925637450363</v>
      </c>
      <c r="AE190" s="2">
        <v>631.62839303198518</v>
      </c>
      <c r="AF190" s="2">
        <v>1199.0072337962185</v>
      </c>
      <c r="AG190" s="2">
        <v>142.24334840534894</v>
      </c>
      <c r="AH190" s="2">
        <v>483.32182699293946</v>
      </c>
      <c r="AI190" s="2">
        <v>536496.27961606358</v>
      </c>
      <c r="AJ190" s="2">
        <v>503259.91182600777</v>
      </c>
      <c r="AL190" s="27">
        <v>0.92143993926904999</v>
      </c>
      <c r="AM190" s="27">
        <v>0.91782704268341964</v>
      </c>
      <c r="AN190" s="27">
        <v>0.91029800966873398</v>
      </c>
      <c r="AO190" s="27">
        <v>0.88561258097256923</v>
      </c>
      <c r="AP190" s="27">
        <v>0.76032527907183944</v>
      </c>
      <c r="AQ190" s="27">
        <v>0.92143993926904999</v>
      </c>
      <c r="AR190" s="27">
        <v>0.91782704268341964</v>
      </c>
      <c r="AS190" s="27">
        <v>0.91029800966873398</v>
      </c>
      <c r="AT190" s="27">
        <v>0.88561258097256923</v>
      </c>
      <c r="AU190" s="27">
        <v>0.76032527907183944</v>
      </c>
      <c r="AW190" s="1">
        <v>13.57983527085376</v>
      </c>
      <c r="AX190" s="1">
        <v>15.305714799461816</v>
      </c>
      <c r="AY190" s="2">
        <v>1923950.5472257426</v>
      </c>
      <c r="AZ190" s="1">
        <v>15.492196361553654</v>
      </c>
      <c r="BA190" s="1">
        <v>17.236124475057778</v>
      </c>
      <c r="BB190" s="2">
        <v>1427108.6737896434</v>
      </c>
      <c r="BC190" s="2">
        <f t="shared" si="21"/>
        <v>-496841.87343609915</v>
      </c>
      <c r="BD190" s="292">
        <f t="shared" si="22"/>
        <v>1.9123610906998945</v>
      </c>
      <c r="BF190" s="170">
        <f t="shared" si="17"/>
        <v>248823.09611085895</v>
      </c>
      <c r="BG190" s="2">
        <f t="shared" si="18"/>
        <v>1051642.7440589413</v>
      </c>
      <c r="BI190">
        <f t="shared" si="19"/>
        <v>0</v>
      </c>
      <c r="BJ190" s="95">
        <f t="shared" si="20"/>
        <v>1</v>
      </c>
      <c r="BP190" s="217">
        <f t="shared" si="23"/>
        <v>1051642.7440589413</v>
      </c>
    </row>
    <row r="191" spans="1:68">
      <c r="A191" s="11">
        <v>185</v>
      </c>
      <c r="C191" s="27">
        <v>0.92439894037357773</v>
      </c>
      <c r="D191" s="27">
        <v>7.5601059626422315E-2</v>
      </c>
      <c r="E191" s="27">
        <v>0</v>
      </c>
      <c r="F191" s="27">
        <v>0.85878701982795225</v>
      </c>
      <c r="G191" s="27">
        <v>0.14121298017204775</v>
      </c>
      <c r="H191" s="27">
        <v>0</v>
      </c>
      <c r="I191" s="27">
        <v>0.74308368932388336</v>
      </c>
      <c r="J191" s="27">
        <v>0.25691631067611664</v>
      </c>
      <c r="K191" s="27">
        <v>0</v>
      </c>
      <c r="L191" s="27">
        <v>0.12507853956735077</v>
      </c>
      <c r="M191" s="27">
        <v>0.51085409751483368</v>
      </c>
      <c r="N191" s="27">
        <v>0.36406736291781555</v>
      </c>
      <c r="O191" s="27">
        <v>-10.740950298600428</v>
      </c>
      <c r="P191" s="27">
        <v>3.4000496479000643E-2</v>
      </c>
      <c r="Q191" s="27">
        <v>9.024977566304559E-5</v>
      </c>
      <c r="R191" s="27">
        <v>1.0195788976601248</v>
      </c>
      <c r="S191" s="154"/>
      <c r="T191">
        <v>0.95098831942573625</v>
      </c>
      <c r="U191">
        <v>2.2043460535045458</v>
      </c>
      <c r="V191">
        <v>3.169200791461726</v>
      </c>
      <c r="W191">
        <v>1</v>
      </c>
      <c r="Y191" s="2">
        <v>796.96729324428009</v>
      </c>
      <c r="Z191" s="2">
        <v>8846.1803463049437</v>
      </c>
      <c r="AA191" s="2">
        <v>372.45137154990203</v>
      </c>
      <c r="AB191" s="2">
        <v>8650.2594660566519</v>
      </c>
      <c r="AC191" s="2">
        <v>483.9747070850762</v>
      </c>
      <c r="AD191" s="2">
        <v>3066.3595560241383</v>
      </c>
      <c r="AE191" s="2">
        <v>576.83682570956705</v>
      </c>
      <c r="AF191" s="2">
        <v>1209.0522822216008</v>
      </c>
      <c r="AG191" s="2">
        <v>138.90694957412558</v>
      </c>
      <c r="AH191" s="2">
        <v>397.19223385640254</v>
      </c>
      <c r="AI191" s="2">
        <v>593427.24442322005</v>
      </c>
      <c r="AJ191" s="2">
        <v>557715.69407524238</v>
      </c>
      <c r="AL191" s="27">
        <v>0.91823638126940632</v>
      </c>
      <c r="AM191" s="27">
        <v>0.91024892876902519</v>
      </c>
      <c r="AN191" s="27">
        <v>0.90220786711674184</v>
      </c>
      <c r="AO191" s="27">
        <v>0.85937762008169372</v>
      </c>
      <c r="AP191" s="27">
        <v>0.78442487552615803</v>
      </c>
      <c r="AQ191" s="27">
        <v>0.91823638126940632</v>
      </c>
      <c r="AR191" s="27">
        <v>0.91024892876902519</v>
      </c>
      <c r="AS191" s="27">
        <v>0.90220786711674184</v>
      </c>
      <c r="AT191" s="27">
        <v>0.85937762008169372</v>
      </c>
      <c r="AU191" s="27">
        <v>0.78442487552615803</v>
      </c>
      <c r="AW191" s="1">
        <v>14.154800548374171</v>
      </c>
      <c r="AX191" s="1">
        <v>15.967843663838371</v>
      </c>
      <c r="AY191" s="2">
        <v>2429894.9671102129</v>
      </c>
      <c r="AZ191" s="1">
        <v>15.690045062054461</v>
      </c>
      <c r="BA191" s="1">
        <v>17.532999358713795</v>
      </c>
      <c r="BB191" s="2">
        <v>1867997.5953491137</v>
      </c>
      <c r="BC191" s="2">
        <f t="shared" si="21"/>
        <v>-561897.3717610992</v>
      </c>
      <c r="BD191" s="292">
        <f t="shared" si="22"/>
        <v>1.5352445136802899</v>
      </c>
      <c r="BF191" s="170">
        <f t="shared" si="17"/>
        <v>-165126.87937034573</v>
      </c>
      <c r="BG191" s="2">
        <f t="shared" si="18"/>
        <v>642409.61457960005</v>
      </c>
      <c r="BI191">
        <f t="shared" si="19"/>
        <v>0</v>
      </c>
      <c r="BJ191" s="95">
        <f t="shared" si="20"/>
        <v>1</v>
      </c>
      <c r="BP191" s="217">
        <f t="shared" si="23"/>
        <v>642409.61457960005</v>
      </c>
    </row>
    <row r="192" spans="1:68">
      <c r="A192" s="11">
        <v>186</v>
      </c>
      <c r="C192" s="27">
        <v>0.92286726410486053</v>
      </c>
      <c r="D192" s="27">
        <v>7.713273589513947E-2</v>
      </c>
      <c r="E192" s="27">
        <v>0</v>
      </c>
      <c r="F192" s="27">
        <v>0.85849593037239769</v>
      </c>
      <c r="G192" s="27">
        <v>0.14150406962760234</v>
      </c>
      <c r="H192" s="27">
        <v>0</v>
      </c>
      <c r="I192" s="27">
        <v>0.74567737401988676</v>
      </c>
      <c r="J192" s="27">
        <v>0.25432262598011324</v>
      </c>
      <c r="K192" s="27">
        <v>0</v>
      </c>
      <c r="L192" s="27">
        <v>0.10285942347495725</v>
      </c>
      <c r="M192" s="27">
        <v>0.52697605407252435</v>
      </c>
      <c r="N192" s="27">
        <v>0.37016452245251841</v>
      </c>
      <c r="O192" s="27">
        <v>-11.251783778752957</v>
      </c>
      <c r="P192" s="27">
        <v>3.5449182208460085E-2</v>
      </c>
      <c r="Q192" s="27">
        <v>5.754644909032042E-5</v>
      </c>
      <c r="R192" s="27">
        <v>1.0848435060507622</v>
      </c>
      <c r="S192" s="154"/>
      <c r="T192">
        <v>0.83539556847060958</v>
      </c>
      <c r="U192">
        <v>2.2799997492618638</v>
      </c>
      <c r="V192">
        <v>3.1202087129693354</v>
      </c>
      <c r="W192">
        <v>1</v>
      </c>
      <c r="Y192" s="2">
        <v>1077.2344388598697</v>
      </c>
      <c r="Z192" s="2">
        <v>3544.8790342001193</v>
      </c>
      <c r="AA192" s="2">
        <v>2258.6794799666968</v>
      </c>
      <c r="AB192" s="2">
        <v>2434.7194023061079</v>
      </c>
      <c r="AC192" s="2">
        <v>2220.430382661923</v>
      </c>
      <c r="AD192" s="2">
        <v>242.9185904585529</v>
      </c>
      <c r="AE192" s="2">
        <v>549.82163808490907</v>
      </c>
      <c r="AF192" s="2">
        <v>1073.9228041590561</v>
      </c>
      <c r="AG192" s="2">
        <v>102.65950585246443</v>
      </c>
      <c r="AH192" s="2">
        <v>293.65627482456733</v>
      </c>
      <c r="AI192" s="2">
        <v>498285.51202212239</v>
      </c>
      <c r="AJ192" s="2">
        <v>459478.04330817901</v>
      </c>
      <c r="AL192" s="27">
        <v>0.91889102145065915</v>
      </c>
      <c r="AM192" s="27">
        <v>0.91475898795830113</v>
      </c>
      <c r="AN192" s="27">
        <v>0.91146583133138759</v>
      </c>
      <c r="AO192" s="27">
        <v>0.84520358131127782</v>
      </c>
      <c r="AP192" s="27">
        <v>0.8365030995829541</v>
      </c>
      <c r="AQ192" s="27">
        <v>0.91889102145065915</v>
      </c>
      <c r="AR192" s="27">
        <v>0.91475898795830113</v>
      </c>
      <c r="AS192" s="27">
        <v>0.91146583133138759</v>
      </c>
      <c r="AT192" s="27">
        <v>0.84520358131127782</v>
      </c>
      <c r="AU192" s="27">
        <v>0.8365030995829541</v>
      </c>
      <c r="AW192" s="1">
        <v>14.452539338585158</v>
      </c>
      <c r="AX192" s="1">
        <v>16.055198161173539</v>
      </c>
      <c r="AY192" s="2">
        <v>1779142.4813940541</v>
      </c>
      <c r="AZ192" s="1">
        <v>15.697239926220009</v>
      </c>
      <c r="BA192" s="1">
        <v>17.359257783143946</v>
      </c>
      <c r="BB192" s="2">
        <v>1386687.7147263999</v>
      </c>
      <c r="BC192" s="2">
        <f t="shared" si="21"/>
        <v>-392454.76666765427</v>
      </c>
      <c r="BD192" s="292">
        <f t="shared" si="22"/>
        <v>1.2447005876348509</v>
      </c>
      <c r="BF192" s="170">
        <f t="shared" si="17"/>
        <v>533263.81277957116</v>
      </c>
      <c r="BG192" s="2">
        <f t="shared" si="18"/>
        <v>1124870.6734688014</v>
      </c>
      <c r="BI192">
        <f t="shared" si="19"/>
        <v>0</v>
      </c>
      <c r="BJ192" s="95">
        <f t="shared" si="20"/>
        <v>1</v>
      </c>
      <c r="BP192" s="217">
        <f t="shared" si="23"/>
        <v>1124870.6734688014</v>
      </c>
    </row>
    <row r="193" spans="1:68">
      <c r="A193" s="11">
        <v>187</v>
      </c>
      <c r="C193" s="27">
        <v>0.92270617243879149</v>
      </c>
      <c r="D193" s="27">
        <v>7.7293827561208506E-2</v>
      </c>
      <c r="E193" s="27">
        <v>0</v>
      </c>
      <c r="F193" s="27">
        <v>0.86161641070354478</v>
      </c>
      <c r="G193" s="27">
        <v>0.13838358929645525</v>
      </c>
      <c r="H193" s="27">
        <v>0</v>
      </c>
      <c r="I193" s="27">
        <v>0.74943398168078801</v>
      </c>
      <c r="J193" s="27">
        <v>0.25056601831921199</v>
      </c>
      <c r="K193" s="27">
        <v>0</v>
      </c>
      <c r="L193" s="27">
        <v>6.8945018149069393E-2</v>
      </c>
      <c r="M193" s="27">
        <v>0.51045747248418705</v>
      </c>
      <c r="N193" s="27">
        <v>0.42059750936674356</v>
      </c>
      <c r="O193" s="27">
        <v>-10.904521044760724</v>
      </c>
      <c r="P193" s="27">
        <v>3.2865408059884464E-2</v>
      </c>
      <c r="Q193" s="27">
        <v>7.306406446653792E-5</v>
      </c>
      <c r="R193" s="27">
        <v>1.0504560556276885</v>
      </c>
      <c r="S193" s="154"/>
      <c r="T193">
        <v>0.90545360995002944</v>
      </c>
      <c r="U193">
        <v>2.303151427137244</v>
      </c>
      <c r="V193">
        <v>3.0122600123935106</v>
      </c>
      <c r="W193">
        <v>1</v>
      </c>
      <c r="Y193" s="2">
        <v>334.17593570513884</v>
      </c>
      <c r="Z193" s="2">
        <v>3900.9504334641756</v>
      </c>
      <c r="AA193" s="2">
        <v>171.85457868289396</v>
      </c>
      <c r="AB193" s="2">
        <v>2730.3063581011656</v>
      </c>
      <c r="AC193" s="2">
        <v>1180.4989885058742</v>
      </c>
      <c r="AD193" s="2">
        <v>2038.686000721591</v>
      </c>
      <c r="AE193" s="2">
        <v>531.42518024804883</v>
      </c>
      <c r="AF193" s="2">
        <v>1432.3141490904836</v>
      </c>
      <c r="AG193" s="2">
        <v>179.34733072113627</v>
      </c>
      <c r="AH193" s="2">
        <v>386.85667228358972</v>
      </c>
      <c r="AI193" s="2">
        <v>427648.04059633805</v>
      </c>
      <c r="AJ193" s="2">
        <v>404706.83851975267</v>
      </c>
      <c r="AL193" s="27">
        <v>0.91966694308481323</v>
      </c>
      <c r="AM193" s="27">
        <v>0.9130790869599309</v>
      </c>
      <c r="AN193" s="27">
        <v>0.90752702745835456</v>
      </c>
      <c r="AO193" s="27">
        <v>0.88689882197215275</v>
      </c>
      <c r="AP193" s="27">
        <v>0.72923241278751538</v>
      </c>
      <c r="AQ193" s="27">
        <v>0.91966694308481323</v>
      </c>
      <c r="AR193" s="27">
        <v>0.9130790869599309</v>
      </c>
      <c r="AS193" s="27">
        <v>0.90752702745835456</v>
      </c>
      <c r="AT193" s="27">
        <v>0.88689882197215275</v>
      </c>
      <c r="AU193" s="27">
        <v>0.72923241278751538</v>
      </c>
      <c r="AW193" s="1">
        <v>13.861631317466765</v>
      </c>
      <c r="AX193" s="1">
        <v>15.735524115379347</v>
      </c>
      <c r="AY193" s="2">
        <v>1570513.4751529028</v>
      </c>
      <c r="AZ193" s="1">
        <v>15.437155613000817</v>
      </c>
      <c r="BA193" s="1">
        <v>17.30967671363555</v>
      </c>
      <c r="BB193" s="2">
        <v>1197251.2661801055</v>
      </c>
      <c r="BC193" s="2">
        <f t="shared" si="21"/>
        <v>-373262.20897279726</v>
      </c>
      <c r="BD193" s="292">
        <f t="shared" si="22"/>
        <v>1.575524295534052</v>
      </c>
      <c r="BF193" s="170">
        <f t="shared" si="17"/>
        <v>647347.53564177966</v>
      </c>
      <c r="BG193" s="2">
        <f t="shared" si="18"/>
        <v>1272693.6319000251</v>
      </c>
      <c r="BI193">
        <f t="shared" si="19"/>
        <v>0</v>
      </c>
      <c r="BJ193" s="95">
        <f t="shared" si="20"/>
        <v>1</v>
      </c>
      <c r="BP193" s="217">
        <f t="shared" si="23"/>
        <v>1272693.6319000251</v>
      </c>
    </row>
    <row r="194" spans="1:68">
      <c r="A194" s="11">
        <v>188</v>
      </c>
      <c r="C194" s="27">
        <v>0.92212982801139554</v>
      </c>
      <c r="D194" s="27">
        <v>7.7870171988604464E-2</v>
      </c>
      <c r="E194" s="27">
        <v>0</v>
      </c>
      <c r="F194" s="27">
        <v>0.85285342997343949</v>
      </c>
      <c r="G194" s="27">
        <v>0.14714657002656051</v>
      </c>
      <c r="H194" s="27">
        <v>0</v>
      </c>
      <c r="I194" s="27">
        <v>0.74525240227635181</v>
      </c>
      <c r="J194" s="27">
        <v>0.25474759772364819</v>
      </c>
      <c r="K194" s="27">
        <v>0</v>
      </c>
      <c r="L194" s="27">
        <v>0.13520862069903816</v>
      </c>
      <c r="M194" s="27">
        <v>0.47310811373144879</v>
      </c>
      <c r="N194" s="27">
        <v>0.39168326556951305</v>
      </c>
      <c r="O194" s="27">
        <v>-11.055520119240104</v>
      </c>
      <c r="P194" s="27">
        <v>3.2491175442116119E-2</v>
      </c>
      <c r="Q194" s="27">
        <v>6.1844292031316663E-5</v>
      </c>
      <c r="R194" s="27">
        <v>1.0766668622740962</v>
      </c>
      <c r="S194" s="154"/>
      <c r="T194">
        <v>0.98941334286431148</v>
      </c>
      <c r="U194">
        <v>2.3315070201363475</v>
      </c>
      <c r="V194">
        <v>2.9685596293318541</v>
      </c>
      <c r="W194">
        <v>1</v>
      </c>
      <c r="Y194" s="2">
        <v>906.9960228372554</v>
      </c>
      <c r="Z194" s="2">
        <v>1402.0323329103815</v>
      </c>
      <c r="AA194" s="2">
        <v>3474.6123226656618</v>
      </c>
      <c r="AB194" s="2">
        <v>3907.5803489305899</v>
      </c>
      <c r="AC194" s="2">
        <v>677.12094066285511</v>
      </c>
      <c r="AD194" s="2">
        <v>289.20954274331064</v>
      </c>
      <c r="AE194" s="2">
        <v>596.96387335347936</v>
      </c>
      <c r="AF194" s="2">
        <v>1280.745329304078</v>
      </c>
      <c r="AG194" s="2">
        <v>82.799584345456225</v>
      </c>
      <c r="AH194" s="2">
        <v>814.78480729706382</v>
      </c>
      <c r="AI194" s="2">
        <v>456197.96207167057</v>
      </c>
      <c r="AJ194" s="2">
        <v>423000.90663944697</v>
      </c>
      <c r="AL194" s="27">
        <v>0.92001404878079529</v>
      </c>
      <c r="AM194" s="27">
        <v>0.91483915693089402</v>
      </c>
      <c r="AN194" s="27">
        <v>0.90081888248784014</v>
      </c>
      <c r="AO194" s="27">
        <v>0.83889817026055324</v>
      </c>
      <c r="AP194" s="27">
        <v>0.658469039139708</v>
      </c>
      <c r="AQ194" s="27">
        <v>0.92001404878079529</v>
      </c>
      <c r="AR194" s="27">
        <v>0.91483915693089402</v>
      </c>
      <c r="AS194" s="27">
        <v>0.90081888248784014</v>
      </c>
      <c r="AT194" s="27">
        <v>0.83889817026055324</v>
      </c>
      <c r="AU194" s="27">
        <v>0.658469039139708</v>
      </c>
      <c r="AW194" s="1">
        <v>13.207344697333586</v>
      </c>
      <c r="AX194" s="1">
        <v>15.30761957015179</v>
      </c>
      <c r="AY194" s="2">
        <v>1630821.3630421227</v>
      </c>
      <c r="AZ194" s="1">
        <v>15.103705083346314</v>
      </c>
      <c r="BA194" s="1">
        <v>17.140888571705577</v>
      </c>
      <c r="BB194" s="2">
        <v>1281856.4087863883</v>
      </c>
      <c r="BC194" s="2">
        <f t="shared" si="21"/>
        <v>-348964.95425573434</v>
      </c>
      <c r="BD194" s="292">
        <f t="shared" si="22"/>
        <v>1.8963603860127289</v>
      </c>
      <c r="BF194" s="170">
        <f t="shared" si="17"/>
        <v>482353.78853125079</v>
      </c>
      <c r="BG194" s="2">
        <f t="shared" si="18"/>
        <v>1134736.404549022</v>
      </c>
      <c r="BI194">
        <f t="shared" si="19"/>
        <v>0</v>
      </c>
      <c r="BJ194" s="95">
        <f t="shared" si="20"/>
        <v>1</v>
      </c>
      <c r="BP194" s="217">
        <f t="shared" si="23"/>
        <v>1134736.404549022</v>
      </c>
    </row>
    <row r="195" spans="1:68">
      <c r="A195" s="11">
        <v>189</v>
      </c>
      <c r="C195" s="27">
        <v>0.92556276247166203</v>
      </c>
      <c r="D195" s="27">
        <v>7.4437237528337932E-2</v>
      </c>
      <c r="E195" s="27">
        <v>0</v>
      </c>
      <c r="F195" s="27">
        <v>0.86511430892657137</v>
      </c>
      <c r="G195" s="27">
        <v>0.13488569107342865</v>
      </c>
      <c r="H195" s="27">
        <v>0</v>
      </c>
      <c r="I195" s="27">
        <v>0.74037407833755675</v>
      </c>
      <c r="J195" s="27">
        <v>0.25962592166244325</v>
      </c>
      <c r="K195" s="27">
        <v>0</v>
      </c>
      <c r="L195" s="27">
        <v>0.12760333989161021</v>
      </c>
      <c r="M195" s="27">
        <v>0.48479195618642934</v>
      </c>
      <c r="N195" s="27">
        <v>0.38760470392196045</v>
      </c>
      <c r="O195" s="27">
        <v>-10.944367019168292</v>
      </c>
      <c r="P195" s="27">
        <v>3.2543045424704264E-2</v>
      </c>
      <c r="Q195" s="27">
        <v>6.9265811688301297E-5</v>
      </c>
      <c r="R195" s="27">
        <v>1.0511838711409283</v>
      </c>
      <c r="S195" s="154"/>
      <c r="T195">
        <v>1.0028491291138348</v>
      </c>
      <c r="U195">
        <v>2.2393496186379731</v>
      </c>
      <c r="V195">
        <v>2.9652411251973922</v>
      </c>
      <c r="W195">
        <v>1</v>
      </c>
      <c r="Y195" s="2">
        <v>2001.5248127052328</v>
      </c>
      <c r="Z195" s="2">
        <v>6213.6152859420226</v>
      </c>
      <c r="AA195" s="2">
        <v>147.72993869691459</v>
      </c>
      <c r="AB195" s="2">
        <v>12354.815792728596</v>
      </c>
      <c r="AC195" s="2">
        <v>323.75563009876277</v>
      </c>
      <c r="AD195" s="2">
        <v>1500.4437229426701</v>
      </c>
      <c r="AE195" s="2">
        <v>603.09273426615061</v>
      </c>
      <c r="AF195" s="2">
        <v>1071.5761369119023</v>
      </c>
      <c r="AG195" s="2">
        <v>77.68573936990532</v>
      </c>
      <c r="AH195" s="2">
        <v>301.38160553099124</v>
      </c>
      <c r="AI195" s="2">
        <v>419282.37005175621</v>
      </c>
      <c r="AJ195" s="2">
        <v>386437.17026978236</v>
      </c>
      <c r="AL195" s="27">
        <v>0.91637025877316192</v>
      </c>
      <c r="AM195" s="27">
        <v>0.91580061100817778</v>
      </c>
      <c r="AN195" s="27">
        <v>0.91522865959512667</v>
      </c>
      <c r="AO195" s="27">
        <v>0.89995717543752696</v>
      </c>
      <c r="AP195" s="27">
        <v>0.5605882579782514</v>
      </c>
      <c r="AQ195" s="27">
        <v>0.91637025877316192</v>
      </c>
      <c r="AR195" s="27">
        <v>0.91580061100817778</v>
      </c>
      <c r="AS195" s="27">
        <v>0.91522865959512667</v>
      </c>
      <c r="AT195" s="27">
        <v>0.89995717543752696</v>
      </c>
      <c r="AU195" s="27">
        <v>0.5605882579782514</v>
      </c>
      <c r="AW195" s="1">
        <v>13.268790601425033</v>
      </c>
      <c r="AX195" s="1">
        <v>15.714059655674275</v>
      </c>
      <c r="AY195" s="2">
        <v>1622190.4256108042</v>
      </c>
      <c r="AZ195" s="1">
        <v>15.211435520376122</v>
      </c>
      <c r="BA195" s="1">
        <v>17.470401714417221</v>
      </c>
      <c r="BB195" s="2">
        <v>1298954.4761750698</v>
      </c>
      <c r="BC195" s="2">
        <f t="shared" si="21"/>
        <v>-323235.94943573442</v>
      </c>
      <c r="BD195" s="292">
        <f t="shared" si="22"/>
        <v>1.942644918951089</v>
      </c>
      <c r="BF195" s="170">
        <f t="shared" si="17"/>
        <v>500816.07061720104</v>
      </c>
      <c r="BG195" s="2">
        <f t="shared" si="18"/>
        <v>1134875.2070851098</v>
      </c>
      <c r="BI195">
        <f t="shared" si="19"/>
        <v>0</v>
      </c>
      <c r="BJ195" s="95">
        <f t="shared" si="20"/>
        <v>1</v>
      </c>
      <c r="BP195" s="217">
        <f t="shared" si="23"/>
        <v>1134875.2070851098</v>
      </c>
    </row>
    <row r="196" spans="1:68">
      <c r="A196" s="11">
        <v>190</v>
      </c>
      <c r="C196" s="27">
        <v>0.92470292184166281</v>
      </c>
      <c r="D196" s="27">
        <v>7.5297078158337236E-2</v>
      </c>
      <c r="E196" s="27">
        <v>0</v>
      </c>
      <c r="F196" s="27">
        <v>0.85537159862334977</v>
      </c>
      <c r="G196" s="27">
        <v>0.14462840137665023</v>
      </c>
      <c r="H196" s="27">
        <v>0</v>
      </c>
      <c r="I196" s="27">
        <v>0.76337544631307619</v>
      </c>
      <c r="J196" s="27">
        <v>0.23662455368692381</v>
      </c>
      <c r="K196" s="27">
        <v>0</v>
      </c>
      <c r="L196" s="27">
        <v>0.1489235297844369</v>
      </c>
      <c r="M196" s="27">
        <v>0.48967080455843776</v>
      </c>
      <c r="N196" s="27">
        <v>0.3614056656571254</v>
      </c>
      <c r="O196" s="27">
        <v>-11.358805088919889</v>
      </c>
      <c r="P196" s="27">
        <v>3.8709847538552528E-2</v>
      </c>
      <c r="Q196" s="27">
        <v>5.9294648989274937E-5</v>
      </c>
      <c r="R196" s="27">
        <v>1.066184938960284</v>
      </c>
      <c r="S196" s="154"/>
      <c r="T196">
        <v>0.99473086799569255</v>
      </c>
      <c r="U196">
        <v>2.3256422884085381</v>
      </c>
      <c r="V196">
        <v>2.9784513658862672</v>
      </c>
      <c r="W196">
        <v>1</v>
      </c>
      <c r="Y196" s="2">
        <v>732.49762290236038</v>
      </c>
      <c r="Z196" s="2">
        <v>7617.1095263017769</v>
      </c>
      <c r="AA196" s="2">
        <v>1419.8897759760036</v>
      </c>
      <c r="AB196" s="2">
        <v>1676.092919567988</v>
      </c>
      <c r="AC196" s="2">
        <v>788.78148567370965</v>
      </c>
      <c r="AD196" s="2">
        <v>1963.3017151288218</v>
      </c>
      <c r="AE196" s="2">
        <v>537.40471914548687</v>
      </c>
      <c r="AF196" s="2">
        <v>1254.3839797309961</v>
      </c>
      <c r="AG196" s="2">
        <v>186.61463447766511</v>
      </c>
      <c r="AH196" s="2">
        <v>564.95445850159467</v>
      </c>
      <c r="AI196" s="2">
        <v>519419.06904786668</v>
      </c>
      <c r="AJ196" s="2">
        <v>490869.00684844196</v>
      </c>
      <c r="AL196" s="27">
        <v>0.91311636122307571</v>
      </c>
      <c r="AM196" s="27">
        <v>0.91400548648254598</v>
      </c>
      <c r="AN196" s="27">
        <v>0.90309029022174425</v>
      </c>
      <c r="AO196" s="27">
        <v>0.88557307573263055</v>
      </c>
      <c r="AP196" s="27">
        <v>0.78388347123341484</v>
      </c>
      <c r="AQ196" s="27">
        <v>0.91311636122307571</v>
      </c>
      <c r="AR196" s="27">
        <v>0.91400548648254598</v>
      </c>
      <c r="AS196" s="27">
        <v>0.90309029022174425</v>
      </c>
      <c r="AT196" s="27">
        <v>0.88557307573263055</v>
      </c>
      <c r="AU196" s="27">
        <v>0.78388347123341484</v>
      </c>
      <c r="AW196" s="1">
        <v>13.94965911942522</v>
      </c>
      <c r="AX196" s="1">
        <v>15.771321728691145</v>
      </c>
      <c r="AY196" s="2">
        <v>2129014.3825547337</v>
      </c>
      <c r="AZ196" s="1">
        <v>15.676524053754269</v>
      </c>
      <c r="BA196" s="1">
        <v>17.527443240391722</v>
      </c>
      <c r="BB196" s="2">
        <v>1497488.8666850487</v>
      </c>
      <c r="BC196" s="2">
        <f t="shared" si="21"/>
        <v>-631525.51586968498</v>
      </c>
      <c r="BD196" s="292">
        <f t="shared" si="22"/>
        <v>1.7268649343290488</v>
      </c>
      <c r="BF196" s="170">
        <f t="shared" si="17"/>
        <v>102931.07655330142</v>
      </c>
      <c r="BG196" s="2">
        <f t="shared" si="18"/>
        <v>1010754.9819156346</v>
      </c>
      <c r="BI196">
        <f t="shared" si="19"/>
        <v>0</v>
      </c>
      <c r="BJ196" s="95">
        <f t="shared" si="20"/>
        <v>1</v>
      </c>
      <c r="BP196" s="217">
        <f t="shared" si="23"/>
        <v>1010754.9819156346</v>
      </c>
    </row>
    <row r="197" spans="1:68">
      <c r="A197" s="11">
        <v>191</v>
      </c>
      <c r="C197" s="27">
        <v>0.92217101964970061</v>
      </c>
      <c r="D197" s="27">
        <v>7.7828980350299393E-2</v>
      </c>
      <c r="E197" s="27">
        <v>0</v>
      </c>
      <c r="F197" s="27">
        <v>0.86213669259200143</v>
      </c>
      <c r="G197" s="27">
        <v>0.13786330740799857</v>
      </c>
      <c r="H197" s="27">
        <v>0</v>
      </c>
      <c r="I197" s="27">
        <v>0.7519525258001325</v>
      </c>
      <c r="J197" s="27">
        <v>0.2480474741998675</v>
      </c>
      <c r="K197" s="27">
        <v>0</v>
      </c>
      <c r="L197" s="27">
        <v>0.14693632070541474</v>
      </c>
      <c r="M197" s="27">
        <v>0.46535016861683082</v>
      </c>
      <c r="N197" s="27">
        <v>0.38771351067775439</v>
      </c>
      <c r="O197" s="27">
        <v>-10.832861245137906</v>
      </c>
      <c r="P197" s="27">
        <v>3.4232286795266992E-2</v>
      </c>
      <c r="Q197" s="27">
        <v>8.3129975949213056E-5</v>
      </c>
      <c r="R197" s="27">
        <v>1.0384622772043015</v>
      </c>
      <c r="S197" s="154"/>
      <c r="T197">
        <v>1.0055713889913476</v>
      </c>
      <c r="U197">
        <v>2.2172923717453292</v>
      </c>
      <c r="V197">
        <v>3.326525956097981</v>
      </c>
      <c r="W197">
        <v>1</v>
      </c>
      <c r="Y197" s="2">
        <v>62.277752876769313</v>
      </c>
      <c r="Z197" s="2">
        <v>7247.1406447525396</v>
      </c>
      <c r="AA197" s="2">
        <v>1713.5584808381377</v>
      </c>
      <c r="AB197" s="2">
        <v>2925.2455583823926</v>
      </c>
      <c r="AC197" s="2">
        <v>1325.2029580151368</v>
      </c>
      <c r="AD197" s="2">
        <v>637.57552616410885</v>
      </c>
      <c r="AE197" s="2">
        <v>570.30123644406387</v>
      </c>
      <c r="AF197" s="2">
        <v>1118.9149697975342</v>
      </c>
      <c r="AG197" s="2">
        <v>202.69168222754675</v>
      </c>
      <c r="AH197" s="2">
        <v>369.56523530806339</v>
      </c>
      <c r="AI197" s="2">
        <v>617463.861982767</v>
      </c>
      <c r="AJ197" s="2">
        <v>595737.08773473999</v>
      </c>
      <c r="AL197" s="27">
        <v>0.91982722547430562</v>
      </c>
      <c r="AM197" s="27">
        <v>0.91769327641269749</v>
      </c>
      <c r="AN197" s="27">
        <v>0.90950644689730664</v>
      </c>
      <c r="AO197" s="27">
        <v>0.8633817765608327</v>
      </c>
      <c r="AP197" s="27">
        <v>0.70962310992056565</v>
      </c>
      <c r="AQ197" s="27">
        <v>0.91982722547430562</v>
      </c>
      <c r="AR197" s="27">
        <v>0.91769327641269749</v>
      </c>
      <c r="AS197" s="27">
        <v>0.90950644689730664</v>
      </c>
      <c r="AT197" s="27">
        <v>0.8633817765608327</v>
      </c>
      <c r="AU197" s="27">
        <v>0.70962310992056565</v>
      </c>
      <c r="AW197" s="1">
        <v>13.483890952844337</v>
      </c>
      <c r="AX197" s="1">
        <v>15.423211300645463</v>
      </c>
      <c r="AY197" s="2">
        <v>2400075.5035127774</v>
      </c>
      <c r="AZ197" s="1">
        <v>15.418475017759269</v>
      </c>
      <c r="BA197" s="1">
        <v>17.318743778420412</v>
      </c>
      <c r="BB197" s="2">
        <v>1684489.7230807217</v>
      </c>
      <c r="BC197" s="2">
        <f t="shared" si="21"/>
        <v>-715585.7804320557</v>
      </c>
      <c r="BD197" s="292">
        <f t="shared" si="22"/>
        <v>1.9345840649149313</v>
      </c>
      <c r="BF197" s="170">
        <f t="shared" si="17"/>
        <v>-242652.95105768321</v>
      </c>
      <c r="BG197" s="2">
        <f t="shared" si="18"/>
        <v>782466.27976076119</v>
      </c>
      <c r="BI197">
        <f t="shared" si="19"/>
        <v>0</v>
      </c>
      <c r="BJ197" s="95">
        <f t="shared" si="20"/>
        <v>1</v>
      </c>
      <c r="BP197" s="217">
        <f t="shared" si="23"/>
        <v>782466.27976076119</v>
      </c>
    </row>
    <row r="198" spans="1:68">
      <c r="A198" s="11">
        <v>192</v>
      </c>
      <c r="C198" s="27">
        <v>0.92212741933964426</v>
      </c>
      <c r="D198" s="27">
        <v>7.7872580660355739E-2</v>
      </c>
      <c r="E198" s="27">
        <v>0</v>
      </c>
      <c r="F198" s="27">
        <v>0.86032184180662064</v>
      </c>
      <c r="G198" s="27">
        <v>0.13967815819337939</v>
      </c>
      <c r="H198" s="27">
        <v>0</v>
      </c>
      <c r="I198" s="27">
        <v>0.74427537503820762</v>
      </c>
      <c r="J198" s="27">
        <v>0.25572462496179238</v>
      </c>
      <c r="K198" s="27">
        <v>0</v>
      </c>
      <c r="L198" s="27">
        <v>0.1376735124314834</v>
      </c>
      <c r="M198" s="27">
        <v>0.48271822128405012</v>
      </c>
      <c r="N198" s="27">
        <v>0.37960826628446642</v>
      </c>
      <c r="O198" s="27">
        <v>-11.214780241166942</v>
      </c>
      <c r="P198" s="27">
        <v>3.1526104048010442E-2</v>
      </c>
      <c r="Q198" s="27">
        <v>5.0644299973188879E-5</v>
      </c>
      <c r="R198" s="27">
        <v>1.1000960378075972</v>
      </c>
      <c r="S198" s="154"/>
      <c r="T198">
        <v>1.0711366665561179</v>
      </c>
      <c r="U198">
        <v>2.2384758041772965</v>
      </c>
      <c r="V198">
        <v>2.9522738620725533</v>
      </c>
      <c r="W198">
        <v>1</v>
      </c>
      <c r="Y198" s="2">
        <v>632.28607558799285</v>
      </c>
      <c r="Z198" s="2">
        <v>3118.2271738359959</v>
      </c>
      <c r="AA198" s="2">
        <v>144.71137700081286</v>
      </c>
      <c r="AB198" s="2">
        <v>202.84225642103482</v>
      </c>
      <c r="AC198" s="2">
        <v>3466.6185751336334</v>
      </c>
      <c r="AD198" s="2">
        <v>2018.1498899008413</v>
      </c>
      <c r="AE198" s="2">
        <v>584.51446666892593</v>
      </c>
      <c r="AF198" s="2">
        <v>1151.4262558073826</v>
      </c>
      <c r="AG198" s="2">
        <v>114.22310468301352</v>
      </c>
      <c r="AH198" s="2">
        <v>557.46893033732908</v>
      </c>
      <c r="AI198" s="2">
        <v>514879.00558370765</v>
      </c>
      <c r="AJ198" s="2">
        <v>472088.82257007342</v>
      </c>
      <c r="AL198" s="27">
        <v>0.91657217026064941</v>
      </c>
      <c r="AM198" s="27">
        <v>0.9150413367675736</v>
      </c>
      <c r="AN198" s="27">
        <v>0.91420172876413841</v>
      </c>
      <c r="AO198" s="27">
        <v>0.81010340731449859</v>
      </c>
      <c r="AP198" s="27">
        <v>0.63188817830767785</v>
      </c>
      <c r="AQ198" s="27">
        <v>0.91657217026064941</v>
      </c>
      <c r="AR198" s="27">
        <v>0.9150413367675736</v>
      </c>
      <c r="AS198" s="27">
        <v>0.91420172876413841</v>
      </c>
      <c r="AT198" s="27">
        <v>0.81010340731449859</v>
      </c>
      <c r="AU198" s="27">
        <v>0.63188817830767785</v>
      </c>
      <c r="AW198" s="1">
        <v>12.970289639636908</v>
      </c>
      <c r="AX198" s="1">
        <v>15.216154084535324</v>
      </c>
      <c r="AY198" s="2">
        <v>1932282.3609690319</v>
      </c>
      <c r="AZ198" s="1">
        <v>15.120529857810761</v>
      </c>
      <c r="BA198" s="1">
        <v>17.240949435944064</v>
      </c>
      <c r="BB198" s="2">
        <v>1310845.2142874233</v>
      </c>
      <c r="BC198" s="2">
        <f t="shared" si="21"/>
        <v>-621437.14668160863</v>
      </c>
      <c r="BD198" s="292">
        <f t="shared" si="22"/>
        <v>2.1502402181738525</v>
      </c>
      <c r="BF198" s="170">
        <f t="shared" si="17"/>
        <v>142963.9813728733</v>
      </c>
      <c r="BG198" s="2">
        <f t="shared" si="18"/>
        <v>1108439.5629622985</v>
      </c>
      <c r="BI198">
        <f t="shared" si="19"/>
        <v>0</v>
      </c>
      <c r="BJ198" s="95">
        <f t="shared" si="20"/>
        <v>1</v>
      </c>
      <c r="BP198" s="217">
        <f t="shared" si="23"/>
        <v>1108439.5629622985</v>
      </c>
    </row>
    <row r="199" spans="1:68">
      <c r="A199" s="11">
        <v>193</v>
      </c>
      <c r="C199" s="27">
        <v>0.92109527120146073</v>
      </c>
      <c r="D199" s="27">
        <v>7.890472879853927E-2</v>
      </c>
      <c r="E199" s="27">
        <v>0</v>
      </c>
      <c r="F199" s="27">
        <v>0.85723085493992002</v>
      </c>
      <c r="G199" s="27">
        <v>0.14276914506008001</v>
      </c>
      <c r="H199" s="27">
        <v>0</v>
      </c>
      <c r="I199" s="27">
        <v>0.75540996034470553</v>
      </c>
      <c r="J199" s="27">
        <v>0.24459003965529447</v>
      </c>
      <c r="K199" s="27">
        <v>0</v>
      </c>
      <c r="L199" s="27">
        <v>0.13652625400470114</v>
      </c>
      <c r="M199" s="27">
        <v>0.50423519069920597</v>
      </c>
      <c r="N199" s="27">
        <v>0.35923855529609289</v>
      </c>
      <c r="O199" s="27">
        <v>-11.60233510873757</v>
      </c>
      <c r="P199" s="27">
        <v>3.7613239281719696E-2</v>
      </c>
      <c r="Q199" s="27">
        <v>4.4386328220520998E-5</v>
      </c>
      <c r="R199" s="27">
        <v>1.1178108526026891</v>
      </c>
      <c r="S199" s="154"/>
      <c r="T199">
        <v>0.93827647089481858</v>
      </c>
      <c r="U199">
        <v>2.2617574776891134</v>
      </c>
      <c r="V199">
        <v>2.868570191290245</v>
      </c>
      <c r="W199">
        <v>1</v>
      </c>
      <c r="Y199" s="2">
        <v>1156.0338597497946</v>
      </c>
      <c r="Z199" s="2">
        <v>9581.9402001422513</v>
      </c>
      <c r="AA199" s="2">
        <v>411.2738979735492</v>
      </c>
      <c r="AB199" s="2">
        <v>397.84021427086037</v>
      </c>
      <c r="AC199" s="2">
        <v>291.57362986173825</v>
      </c>
      <c r="AD199" s="2">
        <v>436.03673693701796</v>
      </c>
      <c r="AE199" s="2">
        <v>564.34439129282498</v>
      </c>
      <c r="AF199" s="2">
        <v>1243.4538109903378</v>
      </c>
      <c r="AG199" s="2">
        <v>164.02138718635888</v>
      </c>
      <c r="AH199" s="2">
        <v>311.14528901553007</v>
      </c>
      <c r="AI199" s="2">
        <v>506721.09433771367</v>
      </c>
      <c r="AJ199" s="2">
        <v>468695.72993806645</v>
      </c>
      <c r="AL199" s="27">
        <v>0.92023345142391144</v>
      </c>
      <c r="AM199" s="27">
        <v>0.91167515254404485</v>
      </c>
      <c r="AN199" s="27">
        <v>0.90488315485316984</v>
      </c>
      <c r="AO199" s="27">
        <v>0.85198796948191713</v>
      </c>
      <c r="AP199" s="27">
        <v>0.68998297878601855</v>
      </c>
      <c r="AQ199" s="27">
        <v>0.92023345142391144</v>
      </c>
      <c r="AR199" s="27">
        <v>0.91167515254404485</v>
      </c>
      <c r="AS199" s="27">
        <v>0.90488315485316984</v>
      </c>
      <c r="AT199" s="27">
        <v>0.85198796948191713</v>
      </c>
      <c r="AU199" s="27">
        <v>0.68998297878601855</v>
      </c>
      <c r="AW199" s="1">
        <v>13.617880526004901</v>
      </c>
      <c r="AX199" s="1">
        <v>15.644989389361385</v>
      </c>
      <c r="AY199" s="2">
        <v>1919011.6000430447</v>
      </c>
      <c r="AZ199" s="1">
        <v>15.293990674157682</v>
      </c>
      <c r="BA199" s="1">
        <v>17.284762371319353</v>
      </c>
      <c r="BB199" s="2">
        <v>1318063.800263766</v>
      </c>
      <c r="BC199" s="2">
        <f t="shared" si="21"/>
        <v>-600947.79977927869</v>
      </c>
      <c r="BD199" s="292">
        <f t="shared" si="22"/>
        <v>1.6761101481527803</v>
      </c>
      <c r="BF199" s="170">
        <f t="shared" ref="BF199:BF262" si="24">AW199*Threshold-AY199</f>
        <v>259849.28411773941</v>
      </c>
      <c r="BG199" s="2">
        <f t="shared" ref="BG199:BG262" si="25">AZ199*Threshold-BB199</f>
        <v>1128974.7076014632</v>
      </c>
      <c r="BI199">
        <f t="shared" ref="BI199:BI262" si="26">IF(MAX($BF199:$BG199)=$BF199,1,0)</f>
        <v>0</v>
      </c>
      <c r="BJ199" s="95">
        <f t="shared" ref="BJ199:BJ262" si="27">IF(MAX($BF199:$BG199)=$BF199,0,1)</f>
        <v>1</v>
      </c>
      <c r="BP199" s="217">
        <f t="shared" si="23"/>
        <v>1128974.7076014632</v>
      </c>
    </row>
    <row r="200" spans="1:68">
      <c r="A200" s="11">
        <v>194</v>
      </c>
      <c r="C200" s="27">
        <v>0.92186866729863737</v>
      </c>
      <c r="D200" s="27">
        <v>7.8131332701362632E-2</v>
      </c>
      <c r="E200" s="27">
        <v>0</v>
      </c>
      <c r="F200" s="27">
        <v>0.85703078684880807</v>
      </c>
      <c r="G200" s="27">
        <v>0.14296921315119193</v>
      </c>
      <c r="H200" s="27">
        <v>0</v>
      </c>
      <c r="I200" s="27">
        <v>0.75332147302089925</v>
      </c>
      <c r="J200" s="27">
        <v>0.24667852697910078</v>
      </c>
      <c r="K200" s="27">
        <v>0</v>
      </c>
      <c r="L200" s="27">
        <v>0.18276966341843104</v>
      </c>
      <c r="M200" s="27">
        <v>0.45421819886330678</v>
      </c>
      <c r="N200" s="27">
        <v>0.36301213771826224</v>
      </c>
      <c r="O200" s="27">
        <v>-11.281215366447128</v>
      </c>
      <c r="P200" s="27">
        <v>3.5846566267040934E-2</v>
      </c>
      <c r="Q200" s="27">
        <v>5.6817874875535564E-5</v>
      </c>
      <c r="R200" s="27">
        <v>1.0858483212392256</v>
      </c>
      <c r="S200" s="154"/>
      <c r="T200">
        <v>1.1759018695550507</v>
      </c>
      <c r="U200">
        <v>2.2538828416794274</v>
      </c>
      <c r="V200">
        <v>2.8075951171408966</v>
      </c>
      <c r="W200">
        <v>1</v>
      </c>
      <c r="Y200" s="2">
        <v>518.36665082864204</v>
      </c>
      <c r="Z200" s="2">
        <v>2931.6933694170193</v>
      </c>
      <c r="AA200" s="2">
        <v>353.2482401866572</v>
      </c>
      <c r="AB200" s="2">
        <v>1691.481464175256</v>
      </c>
      <c r="AC200" s="2">
        <v>1259.7522125668645</v>
      </c>
      <c r="AD200" s="2">
        <v>394.61038069638005</v>
      </c>
      <c r="AE200" s="2">
        <v>522.13779523465769</v>
      </c>
      <c r="AF200" s="2">
        <v>1134.7280492459529</v>
      </c>
      <c r="AG200" s="2">
        <v>168.54756808616301</v>
      </c>
      <c r="AH200" s="2">
        <v>768.02486980091987</v>
      </c>
      <c r="AI200" s="2">
        <v>551321.445693271</v>
      </c>
      <c r="AJ200" s="2">
        <v>514244.32061389519</v>
      </c>
      <c r="AL200" s="27">
        <v>0.91567897478190907</v>
      </c>
      <c r="AM200" s="27">
        <v>0.91111155768416285</v>
      </c>
      <c r="AN200" s="27">
        <v>0.91269447589050945</v>
      </c>
      <c r="AO200" s="27">
        <v>0.88002230706859585</v>
      </c>
      <c r="AP200" s="27">
        <v>0.65899642283724857</v>
      </c>
      <c r="AQ200" s="27">
        <v>0.91567897478190907</v>
      </c>
      <c r="AR200" s="27">
        <v>0.91111155768416285</v>
      </c>
      <c r="AS200" s="27">
        <v>0.91269447589050945</v>
      </c>
      <c r="AT200" s="27">
        <v>0.88002230706859585</v>
      </c>
      <c r="AU200" s="27">
        <v>0.65899642283724857</v>
      </c>
      <c r="AW200" s="1">
        <v>12.83615465103447</v>
      </c>
      <c r="AX200" s="1">
        <v>14.981383603122346</v>
      </c>
      <c r="AY200" s="2">
        <v>2141198.7843976808</v>
      </c>
      <c r="AZ200" s="1">
        <v>15.201568615214679</v>
      </c>
      <c r="BA200" s="1">
        <v>17.255574684215741</v>
      </c>
      <c r="BB200" s="2">
        <v>1426142.5563262943</v>
      </c>
      <c r="BC200" s="2">
        <f t="shared" ref="BC200:BC263" si="28">BB200-AY200</f>
        <v>-715056.22807138646</v>
      </c>
      <c r="BD200" s="292">
        <f t="shared" ref="BD200:BD263" si="29">AZ200-AW200</f>
        <v>2.3654139641802097</v>
      </c>
      <c r="BF200" s="170">
        <f t="shared" si="24"/>
        <v>-87414.040232165717</v>
      </c>
      <c r="BG200" s="2">
        <f t="shared" si="25"/>
        <v>1006108.4221080542</v>
      </c>
      <c r="BI200">
        <f t="shared" si="26"/>
        <v>0</v>
      </c>
      <c r="BJ200" s="95">
        <f t="shared" si="27"/>
        <v>1</v>
      </c>
      <c r="BP200" s="217">
        <f t="shared" ref="BP200:BP263" si="30">MAX(BF200,BG200)</f>
        <v>1006108.4221080542</v>
      </c>
    </row>
    <row r="201" spans="1:68">
      <c r="A201" s="11">
        <v>195</v>
      </c>
      <c r="C201" s="27">
        <v>0.92463528926383987</v>
      </c>
      <c r="D201" s="27">
        <v>7.5364710736160079E-2</v>
      </c>
      <c r="E201" s="27">
        <v>0</v>
      </c>
      <c r="F201" s="27">
        <v>0.85341788223320147</v>
      </c>
      <c r="G201" s="27">
        <v>0.14658211776679853</v>
      </c>
      <c r="H201" s="27">
        <v>0</v>
      </c>
      <c r="I201" s="27">
        <v>0.743358862465204</v>
      </c>
      <c r="J201" s="27">
        <v>0.256641137534796</v>
      </c>
      <c r="K201" s="27">
        <v>0</v>
      </c>
      <c r="L201" s="27">
        <v>0.21822452796104419</v>
      </c>
      <c r="M201" s="27">
        <v>0.46739095619722754</v>
      </c>
      <c r="N201" s="27">
        <v>0.31438451584172822</v>
      </c>
      <c r="O201" s="27">
        <v>-11.154800870270861</v>
      </c>
      <c r="P201" s="27">
        <v>3.6229583825553954E-2</v>
      </c>
      <c r="Q201" s="27">
        <v>6.5519788293550614E-5</v>
      </c>
      <c r="R201" s="27">
        <v>1.0615593616030694</v>
      </c>
      <c r="S201" s="154"/>
      <c r="T201">
        <v>1.0040256829591907</v>
      </c>
      <c r="U201">
        <v>2.238787924691235</v>
      </c>
      <c r="V201">
        <v>2.9737013984129916</v>
      </c>
      <c r="W201">
        <v>1</v>
      </c>
      <c r="Y201" s="2">
        <v>188.51366774088601</v>
      </c>
      <c r="Z201" s="2">
        <v>453.49765275411949</v>
      </c>
      <c r="AA201" s="2">
        <v>901.87574059471069</v>
      </c>
      <c r="AB201" s="2">
        <v>7747.5188300225182</v>
      </c>
      <c r="AC201" s="2">
        <v>262.92964953604434</v>
      </c>
      <c r="AD201" s="2">
        <v>416.62525471658319</v>
      </c>
      <c r="AE201" s="2">
        <v>573.4289570229131</v>
      </c>
      <c r="AF201" s="2">
        <v>938.59064140419343</v>
      </c>
      <c r="AG201" s="2">
        <v>229.22571449540985</v>
      </c>
      <c r="AH201" s="2">
        <v>511.17741927386868</v>
      </c>
      <c r="AI201" s="2">
        <v>422841.11509538355</v>
      </c>
      <c r="AJ201" s="2">
        <v>376540.09000388789</v>
      </c>
      <c r="AL201" s="27">
        <v>0.91530511605957188</v>
      </c>
      <c r="AM201" s="27">
        <v>0.92151760003847116</v>
      </c>
      <c r="AN201" s="27">
        <v>0.92021744750811774</v>
      </c>
      <c r="AO201" s="27">
        <v>0.86817866776773311</v>
      </c>
      <c r="AP201" s="27">
        <v>0.69036635079067077</v>
      </c>
      <c r="AQ201" s="27">
        <v>0.91530511605957188</v>
      </c>
      <c r="AR201" s="27">
        <v>0.92151760003847116</v>
      </c>
      <c r="AS201" s="27">
        <v>0.92021744750811774</v>
      </c>
      <c r="AT201" s="27">
        <v>0.86817866776773311</v>
      </c>
      <c r="AU201" s="27">
        <v>0.69036635079067077</v>
      </c>
      <c r="AW201" s="1">
        <v>13.713161373742423</v>
      </c>
      <c r="AX201" s="1">
        <v>15.830486193737627</v>
      </c>
      <c r="AY201" s="2">
        <v>1584641.3853448827</v>
      </c>
      <c r="AZ201" s="1">
        <v>15.493722921548002</v>
      </c>
      <c r="BA201" s="1">
        <v>17.511471503845421</v>
      </c>
      <c r="BB201" s="2">
        <v>1276995.0384724853</v>
      </c>
      <c r="BC201" s="2">
        <f t="shared" si="28"/>
        <v>-307646.34687239747</v>
      </c>
      <c r="BD201" s="292">
        <f t="shared" si="29"/>
        <v>1.7805615478055792</v>
      </c>
      <c r="BF201" s="170">
        <f t="shared" si="24"/>
        <v>609464.43445390486</v>
      </c>
      <c r="BG201" s="2">
        <f t="shared" si="25"/>
        <v>1202000.6289751953</v>
      </c>
      <c r="BI201">
        <f t="shared" si="26"/>
        <v>0</v>
      </c>
      <c r="BJ201" s="95">
        <f t="shared" si="27"/>
        <v>1</v>
      </c>
      <c r="BP201" s="217">
        <f t="shared" si="30"/>
        <v>1202000.6289751953</v>
      </c>
    </row>
    <row r="202" spans="1:68">
      <c r="A202" s="11">
        <v>196</v>
      </c>
      <c r="C202" s="27">
        <v>0.92234963308102147</v>
      </c>
      <c r="D202" s="27">
        <v>7.7650366918978531E-2</v>
      </c>
      <c r="E202" s="27">
        <v>0</v>
      </c>
      <c r="F202" s="27">
        <v>0.86225451368158101</v>
      </c>
      <c r="G202" s="27">
        <v>0.13774548631841901</v>
      </c>
      <c r="H202" s="27">
        <v>0</v>
      </c>
      <c r="I202" s="27">
        <v>0.7510060168099274</v>
      </c>
      <c r="J202" s="27">
        <v>0.24899398319007257</v>
      </c>
      <c r="K202" s="27">
        <v>0</v>
      </c>
      <c r="L202" s="27">
        <v>0.18877984094303341</v>
      </c>
      <c r="M202" s="27">
        <v>0.5087692365398343</v>
      </c>
      <c r="N202" s="27">
        <v>0.30245092251713229</v>
      </c>
      <c r="O202" s="27">
        <v>-11.385988207067069</v>
      </c>
      <c r="P202" s="27">
        <v>3.3569824204597233E-2</v>
      </c>
      <c r="Q202" s="27">
        <v>4.6500123452873377E-5</v>
      </c>
      <c r="R202" s="27">
        <v>1.1060006146503789</v>
      </c>
      <c r="S202" s="154"/>
      <c r="T202">
        <v>1.0092060575622825</v>
      </c>
      <c r="U202">
        <v>2.1825644102988111</v>
      </c>
      <c r="V202">
        <v>3.0508572302110077</v>
      </c>
      <c r="W202">
        <v>1</v>
      </c>
      <c r="Y202" s="2">
        <v>124.09253955852409</v>
      </c>
      <c r="Z202" s="2">
        <v>19518.786290261945</v>
      </c>
      <c r="AA202" s="2">
        <v>977.97826444862915</v>
      </c>
      <c r="AB202" s="2">
        <v>6727.5843368863007</v>
      </c>
      <c r="AC202" s="2">
        <v>297.02684774277282</v>
      </c>
      <c r="AD202" s="2">
        <v>2863.7743606247741</v>
      </c>
      <c r="AE202" s="2">
        <v>593.66235071783728</v>
      </c>
      <c r="AF202" s="2">
        <v>1289.695714316839</v>
      </c>
      <c r="AG202" s="2">
        <v>98.715016648090099</v>
      </c>
      <c r="AH202" s="2">
        <v>349.93189571382356</v>
      </c>
      <c r="AI202" s="2">
        <v>505367.24108955398</v>
      </c>
      <c r="AJ202" s="2">
        <v>477739.42956901033</v>
      </c>
      <c r="AL202" s="27">
        <v>0.91958557490291259</v>
      </c>
      <c r="AM202" s="27">
        <v>0.91663982191869997</v>
      </c>
      <c r="AN202" s="27">
        <v>0.9058717576180555</v>
      </c>
      <c r="AO202" s="27">
        <v>0.87611269867715036</v>
      </c>
      <c r="AP202" s="27">
        <v>0.60976281595364934</v>
      </c>
      <c r="AQ202" s="27">
        <v>0.91958557490291259</v>
      </c>
      <c r="AR202" s="27">
        <v>0.91663982191869997</v>
      </c>
      <c r="AS202" s="27">
        <v>0.9058717576180555</v>
      </c>
      <c r="AT202" s="27">
        <v>0.87611269867715036</v>
      </c>
      <c r="AU202" s="27">
        <v>0.60976281595364934</v>
      </c>
      <c r="AW202" s="1">
        <v>13.475975313460356</v>
      </c>
      <c r="AX202" s="1">
        <v>15.865238379696184</v>
      </c>
      <c r="AY202" s="2">
        <v>2294546.9542210833</v>
      </c>
      <c r="AZ202" s="1">
        <v>15.369745480678022</v>
      </c>
      <c r="BA202" s="1">
        <v>17.59222662277849</v>
      </c>
      <c r="BB202" s="2">
        <v>1602932.0318544814</v>
      </c>
      <c r="BC202" s="2">
        <f t="shared" si="28"/>
        <v>-691614.92236660188</v>
      </c>
      <c r="BD202" s="292">
        <f t="shared" si="29"/>
        <v>1.8937701672176654</v>
      </c>
      <c r="BF202" s="170">
        <f t="shared" si="24"/>
        <v>-138390.90406742645</v>
      </c>
      <c r="BG202" s="2">
        <f t="shared" si="25"/>
        <v>856227.24505400192</v>
      </c>
      <c r="BI202">
        <f t="shared" si="26"/>
        <v>0</v>
      </c>
      <c r="BJ202" s="95">
        <f t="shared" si="27"/>
        <v>1</v>
      </c>
      <c r="BP202" s="217">
        <f t="shared" si="30"/>
        <v>856227.24505400192</v>
      </c>
    </row>
    <row r="203" spans="1:68">
      <c r="A203" s="11">
        <v>197</v>
      </c>
      <c r="C203" s="27">
        <v>0.92379919399556087</v>
      </c>
      <c r="D203" s="27">
        <v>7.6200806004439112E-2</v>
      </c>
      <c r="E203" s="27">
        <v>0</v>
      </c>
      <c r="F203" s="27">
        <v>0.85697904528810653</v>
      </c>
      <c r="G203" s="27">
        <v>0.14302095471189347</v>
      </c>
      <c r="H203" s="27">
        <v>0</v>
      </c>
      <c r="I203" s="27">
        <v>0.76383393153048251</v>
      </c>
      <c r="J203" s="27">
        <v>0.23616606846951746</v>
      </c>
      <c r="K203" s="27">
        <v>0</v>
      </c>
      <c r="L203" s="27">
        <v>0.19409211376335084</v>
      </c>
      <c r="M203" s="27">
        <v>0.45256657138919404</v>
      </c>
      <c r="N203" s="27">
        <v>0.35334131484745518</v>
      </c>
      <c r="O203" s="27">
        <v>-11.147708411433628</v>
      </c>
      <c r="P203" s="27">
        <v>3.6310745244815916E-2</v>
      </c>
      <c r="Q203" s="27">
        <v>6.6211452522713061E-5</v>
      </c>
      <c r="R203" s="27">
        <v>1.0591617767547463</v>
      </c>
      <c r="S203" s="154"/>
      <c r="T203">
        <v>1.0128215236817513</v>
      </c>
      <c r="U203">
        <v>2.2505478616764925</v>
      </c>
      <c r="V203">
        <v>2.969265250274606</v>
      </c>
      <c r="W203">
        <v>1</v>
      </c>
      <c r="Y203" s="2">
        <v>442.23096176704507</v>
      </c>
      <c r="Z203" s="2">
        <v>805.71474517560853</v>
      </c>
      <c r="AA203" s="2">
        <v>181.35742821866626</v>
      </c>
      <c r="AB203" s="2">
        <v>9977.0121963323618</v>
      </c>
      <c r="AC203" s="2">
        <v>50.12711538960766</v>
      </c>
      <c r="AD203" s="2">
        <v>2412.7099295721205</v>
      </c>
      <c r="AE203" s="2">
        <v>585.39571977863852</v>
      </c>
      <c r="AF203" s="2">
        <v>1203.4227176985019</v>
      </c>
      <c r="AG203" s="2">
        <v>130.86226628730248</v>
      </c>
      <c r="AH203" s="2">
        <v>179.89518051778578</v>
      </c>
      <c r="AI203" s="2">
        <v>620005.51266279526</v>
      </c>
      <c r="AJ203" s="2">
        <v>585574.88165667269</v>
      </c>
      <c r="AL203" s="27">
        <v>0.91576152259023291</v>
      </c>
      <c r="AM203" s="27">
        <v>0.91308836985043151</v>
      </c>
      <c r="AN203" s="27">
        <v>0.91110211619825576</v>
      </c>
      <c r="AO203" s="27">
        <v>0.87656935279342385</v>
      </c>
      <c r="AP203" s="27">
        <v>0.71353844261359622</v>
      </c>
      <c r="AQ203" s="27">
        <v>0.91576152259023291</v>
      </c>
      <c r="AR203" s="27">
        <v>0.91308836985043151</v>
      </c>
      <c r="AS203" s="27">
        <v>0.91110211619825576</v>
      </c>
      <c r="AT203" s="27">
        <v>0.87656935279342385</v>
      </c>
      <c r="AU203" s="27">
        <v>0.71353844261359622</v>
      </c>
      <c r="AW203" s="1">
        <v>13.633348714467488</v>
      </c>
      <c r="AX203" s="1">
        <v>15.631005030710885</v>
      </c>
      <c r="AY203" s="2">
        <v>2320341.3848268352</v>
      </c>
      <c r="AZ203" s="1">
        <v>15.494954492303783</v>
      </c>
      <c r="BA203" s="1">
        <v>17.453944604187619</v>
      </c>
      <c r="BB203" s="2">
        <v>1816696.3025060315</v>
      </c>
      <c r="BC203" s="2">
        <f t="shared" si="28"/>
        <v>-503645.08232080378</v>
      </c>
      <c r="BD203" s="292">
        <f t="shared" si="29"/>
        <v>1.8616057778362958</v>
      </c>
      <c r="BF203" s="170">
        <f t="shared" si="24"/>
        <v>-139005.59051203728</v>
      </c>
      <c r="BG203" s="2">
        <f t="shared" si="25"/>
        <v>662496.41626257403</v>
      </c>
      <c r="BI203">
        <f t="shared" si="26"/>
        <v>0</v>
      </c>
      <c r="BJ203" s="95">
        <f t="shared" si="27"/>
        <v>1</v>
      </c>
      <c r="BP203" s="217">
        <f t="shared" si="30"/>
        <v>662496.41626257403</v>
      </c>
    </row>
    <row r="204" spans="1:68">
      <c r="A204" s="11">
        <v>198</v>
      </c>
      <c r="C204" s="27">
        <v>0.92124099803524584</v>
      </c>
      <c r="D204" s="27">
        <v>7.8759001964754161E-2</v>
      </c>
      <c r="E204" s="27">
        <v>0</v>
      </c>
      <c r="F204" s="27">
        <v>0.85876844226136051</v>
      </c>
      <c r="G204" s="27">
        <v>0.14123155773863946</v>
      </c>
      <c r="H204" s="27">
        <v>0</v>
      </c>
      <c r="I204" s="27">
        <v>0.74928400118522875</v>
      </c>
      <c r="J204" s="27">
        <v>0.25071599881477125</v>
      </c>
      <c r="K204" s="27">
        <v>0</v>
      </c>
      <c r="L204" s="27">
        <v>0.11806201702170122</v>
      </c>
      <c r="M204" s="27">
        <v>0.53188637484100543</v>
      </c>
      <c r="N204" s="27">
        <v>0.35005160813729336</v>
      </c>
      <c r="O204" s="27">
        <v>-11.1339567799288</v>
      </c>
      <c r="P204" s="27">
        <v>3.3298581816315925E-2</v>
      </c>
      <c r="Q204" s="27">
        <v>5.9151042462654978E-5</v>
      </c>
      <c r="R204" s="27">
        <v>1.07450234384423</v>
      </c>
      <c r="S204" s="154"/>
      <c r="T204">
        <v>1.0299930788495979</v>
      </c>
      <c r="U204">
        <v>2.2479812005701634</v>
      </c>
      <c r="V204">
        <v>3.431832503940301</v>
      </c>
      <c r="W204">
        <v>1</v>
      </c>
      <c r="Y204" s="2">
        <v>649.58468737379644</v>
      </c>
      <c r="Z204" s="2">
        <v>3413.3954580113277</v>
      </c>
      <c r="AA204" s="2">
        <v>86.749828842141511</v>
      </c>
      <c r="AB204" s="2">
        <v>12943.24405748095</v>
      </c>
      <c r="AC204" s="2">
        <v>3386.5953311277926</v>
      </c>
      <c r="AD204" s="2">
        <v>1807.869199518133</v>
      </c>
      <c r="AE204" s="2">
        <v>550.72278931401684</v>
      </c>
      <c r="AF204" s="2">
        <v>985.32270657397021</v>
      </c>
      <c r="AG204" s="2">
        <v>139.95658350429071</v>
      </c>
      <c r="AH204" s="2">
        <v>711.96039430542237</v>
      </c>
      <c r="AI204" s="2">
        <v>438135.27067842783</v>
      </c>
      <c r="AJ204" s="2">
        <v>399743.48125570192</v>
      </c>
      <c r="AL204" s="27">
        <v>0.91964094454680012</v>
      </c>
      <c r="AM204" s="27">
        <v>0.91628892464353617</v>
      </c>
      <c r="AN204" s="27">
        <v>0.90807489670075658</v>
      </c>
      <c r="AO204" s="27">
        <v>0.87017492477094682</v>
      </c>
      <c r="AP204" s="27">
        <v>0.77632612339260598</v>
      </c>
      <c r="AQ204" s="27">
        <v>0.91964094454680012</v>
      </c>
      <c r="AR204" s="27">
        <v>0.91628892464353617</v>
      </c>
      <c r="AS204" s="27">
        <v>0.90807489670075658</v>
      </c>
      <c r="AT204" s="27">
        <v>0.87017492477094682</v>
      </c>
      <c r="AU204" s="27">
        <v>0.77632612339260598</v>
      </c>
      <c r="AW204" s="1">
        <v>13.768527761456593</v>
      </c>
      <c r="AX204" s="1">
        <v>15.572023398854496</v>
      </c>
      <c r="AY204" s="2">
        <v>1839174.3967729649</v>
      </c>
      <c r="AZ204" s="1">
        <v>15.650474637198096</v>
      </c>
      <c r="BA204" s="1">
        <v>17.461034179438208</v>
      </c>
      <c r="BB204" s="2">
        <v>1458501.1345273266</v>
      </c>
      <c r="BC204" s="2">
        <f t="shared" si="28"/>
        <v>-380673.2622456383</v>
      </c>
      <c r="BD204" s="292">
        <f t="shared" si="29"/>
        <v>1.8819468757415034</v>
      </c>
      <c r="BF204" s="170">
        <f t="shared" si="24"/>
        <v>363790.04506008979</v>
      </c>
      <c r="BG204" s="2">
        <f t="shared" si="25"/>
        <v>1045574.8074243688</v>
      </c>
      <c r="BI204">
        <f t="shared" si="26"/>
        <v>0</v>
      </c>
      <c r="BJ204" s="95">
        <f t="shared" si="27"/>
        <v>1</v>
      </c>
      <c r="BP204" s="217">
        <f t="shared" si="30"/>
        <v>1045574.8074243688</v>
      </c>
    </row>
    <row r="205" spans="1:68">
      <c r="A205" s="11">
        <v>199</v>
      </c>
      <c r="C205" s="27">
        <v>0.92430995974453622</v>
      </c>
      <c r="D205" s="27">
        <v>7.5690040255463789E-2</v>
      </c>
      <c r="E205" s="27">
        <v>0</v>
      </c>
      <c r="F205" s="27">
        <v>0.85842362415730233</v>
      </c>
      <c r="G205" s="27">
        <v>0.14157637584269767</v>
      </c>
      <c r="H205" s="27">
        <v>0</v>
      </c>
      <c r="I205" s="27">
        <v>0.76033139233106473</v>
      </c>
      <c r="J205" s="27">
        <v>0.23966860766893527</v>
      </c>
      <c r="K205" s="27">
        <v>0</v>
      </c>
      <c r="L205" s="27">
        <v>5.798913257595173E-2</v>
      </c>
      <c r="M205" s="27">
        <v>0.56680855580267597</v>
      </c>
      <c r="N205" s="27">
        <v>0.3752023116213723</v>
      </c>
      <c r="O205" s="27">
        <v>-11.075971598061125</v>
      </c>
      <c r="P205" s="27">
        <v>3.4112614268299882E-2</v>
      </c>
      <c r="Q205" s="27">
        <v>6.486244256284728E-5</v>
      </c>
      <c r="R205" s="27">
        <v>1.0601322051378026</v>
      </c>
      <c r="S205" s="154"/>
      <c r="T205">
        <v>1.0615535048420333</v>
      </c>
      <c r="U205">
        <v>2.3046125276518521</v>
      </c>
      <c r="V205">
        <v>3.0097796796858702</v>
      </c>
      <c r="W205">
        <v>1</v>
      </c>
      <c r="Y205" s="2">
        <v>82.111016365632196</v>
      </c>
      <c r="Z205" s="2">
        <v>1744.883654920973</v>
      </c>
      <c r="AA205" s="2">
        <v>2614.1473589970851</v>
      </c>
      <c r="AB205" s="2">
        <v>2889.4615359904105</v>
      </c>
      <c r="AC205" s="2">
        <v>1866.2863143813645</v>
      </c>
      <c r="AD205" s="2">
        <v>801.12148967611813</v>
      </c>
      <c r="AE205" s="2">
        <v>554.60205474987913</v>
      </c>
      <c r="AF205" s="2">
        <v>668.03006671808055</v>
      </c>
      <c r="AG205" s="2">
        <v>111.21012350274513</v>
      </c>
      <c r="AH205" s="2">
        <v>255.05408573727334</v>
      </c>
      <c r="AI205" s="2">
        <v>470825.9876405322</v>
      </c>
      <c r="AJ205" s="2">
        <v>450418.02591086755</v>
      </c>
      <c r="AL205" s="27">
        <v>0.91480821789369604</v>
      </c>
      <c r="AM205" s="27">
        <v>0.91527944253461291</v>
      </c>
      <c r="AN205" s="27">
        <v>0.91304072616358722</v>
      </c>
      <c r="AO205" s="27">
        <v>0.82483178329724871</v>
      </c>
      <c r="AP205" s="27">
        <v>0.65247821292681696</v>
      </c>
      <c r="AQ205" s="27">
        <v>0.91480821789369604</v>
      </c>
      <c r="AR205" s="27">
        <v>0.91527944253461291</v>
      </c>
      <c r="AS205" s="27">
        <v>0.91304072616358722</v>
      </c>
      <c r="AT205" s="27">
        <v>0.82483178329724871</v>
      </c>
      <c r="AU205" s="27">
        <v>0.65247821292681696</v>
      </c>
      <c r="AW205" s="1">
        <v>13.353683307738647</v>
      </c>
      <c r="AX205" s="1">
        <v>15.674313085238204</v>
      </c>
      <c r="AY205" s="2">
        <v>2020690.4743610951</v>
      </c>
      <c r="AZ205" s="1">
        <v>15.416434263906616</v>
      </c>
      <c r="BA205" s="1">
        <v>17.588464987089544</v>
      </c>
      <c r="BB205" s="2">
        <v>1440215.7363961251</v>
      </c>
      <c r="BC205" s="2">
        <f t="shared" si="28"/>
        <v>-580474.73796497006</v>
      </c>
      <c r="BD205" s="292">
        <f t="shared" si="29"/>
        <v>2.0627509561679691</v>
      </c>
      <c r="BF205" s="170">
        <f t="shared" si="24"/>
        <v>115898.85487708822</v>
      </c>
      <c r="BG205" s="2">
        <f t="shared" si="25"/>
        <v>1026413.7458289335</v>
      </c>
      <c r="BI205">
        <f t="shared" si="26"/>
        <v>0</v>
      </c>
      <c r="BJ205" s="95">
        <f t="shared" si="27"/>
        <v>1</v>
      </c>
      <c r="BP205" s="217">
        <f t="shared" si="30"/>
        <v>1026413.7458289335</v>
      </c>
    </row>
    <row r="206" spans="1:68">
      <c r="A206" s="11">
        <v>200</v>
      </c>
      <c r="C206" s="27">
        <v>0.92639314169601739</v>
      </c>
      <c r="D206" s="27">
        <v>7.3606858303982642E-2</v>
      </c>
      <c r="E206" s="27">
        <v>0</v>
      </c>
      <c r="F206" s="27">
        <v>0.85674038676739117</v>
      </c>
      <c r="G206" s="27">
        <v>0.14325961323260883</v>
      </c>
      <c r="H206" s="27">
        <v>0</v>
      </c>
      <c r="I206" s="27">
        <v>0.75043735307848258</v>
      </c>
      <c r="J206" s="27">
        <v>0.24956264692151739</v>
      </c>
      <c r="K206" s="27">
        <v>0</v>
      </c>
      <c r="L206" s="27">
        <v>0.18857273147790576</v>
      </c>
      <c r="M206" s="27">
        <v>0.41780581988783749</v>
      </c>
      <c r="N206" s="27">
        <v>0.39362144863425674</v>
      </c>
      <c r="O206" s="27">
        <v>-11.001120012294134</v>
      </c>
      <c r="P206" s="27">
        <v>3.7338821824504827E-2</v>
      </c>
      <c r="Q206" s="27">
        <v>8.0047568346605931E-5</v>
      </c>
      <c r="R206" s="27">
        <v>1.0345570053188509</v>
      </c>
      <c r="S206" s="154"/>
      <c r="T206">
        <v>0.92079533075427444</v>
      </c>
      <c r="U206">
        <v>2.2408707502215979</v>
      </c>
      <c r="V206">
        <v>2.7032292034890575</v>
      </c>
      <c r="W206">
        <v>1</v>
      </c>
      <c r="Y206" s="2">
        <v>700.91689191806381</v>
      </c>
      <c r="Z206" s="2">
        <v>6018.614873407234</v>
      </c>
      <c r="AA206" s="2">
        <v>587.21931484867628</v>
      </c>
      <c r="AB206" s="2">
        <v>946.63846457030456</v>
      </c>
      <c r="AC206" s="2">
        <v>1386.4517628940519</v>
      </c>
      <c r="AD206" s="2">
        <v>300.41935825597164</v>
      </c>
      <c r="AE206" s="2">
        <v>526.34305082711705</v>
      </c>
      <c r="AF206" s="2">
        <v>781.95937138607496</v>
      </c>
      <c r="AG206" s="2">
        <v>228.33395908234363</v>
      </c>
      <c r="AH206" s="2">
        <v>720.39412261677876</v>
      </c>
      <c r="AI206" s="2">
        <v>439670.88190341718</v>
      </c>
      <c r="AJ206" s="2">
        <v>391834.26135186222</v>
      </c>
      <c r="AL206" s="27">
        <v>0.9132661923766181</v>
      </c>
      <c r="AM206" s="27">
        <v>0.91264150017361767</v>
      </c>
      <c r="AN206" s="27">
        <v>0.91662550005330212</v>
      </c>
      <c r="AO206" s="27">
        <v>0.86202083838965138</v>
      </c>
      <c r="AP206" s="27">
        <v>0.58804134397137564</v>
      </c>
      <c r="AQ206" s="27">
        <v>0.9132661923766181</v>
      </c>
      <c r="AR206" s="27">
        <v>0.91264150017361767</v>
      </c>
      <c r="AS206" s="27">
        <v>0.91662550005330212</v>
      </c>
      <c r="AT206" s="27">
        <v>0.86202083838965138</v>
      </c>
      <c r="AU206" s="27">
        <v>0.58804134397137564</v>
      </c>
      <c r="AW206" s="1">
        <v>13.505295417501799</v>
      </c>
      <c r="AX206" s="1">
        <v>15.81145792447186</v>
      </c>
      <c r="AY206" s="2">
        <v>1466529.5596682047</v>
      </c>
      <c r="AZ206" s="1">
        <v>15.121164405120107</v>
      </c>
      <c r="BA206" s="1">
        <v>17.316615978588242</v>
      </c>
      <c r="BB206" s="2">
        <v>1042674.3313286407</v>
      </c>
      <c r="BC206" s="2">
        <f t="shared" si="28"/>
        <v>-423855.22833956406</v>
      </c>
      <c r="BD206" s="292">
        <f t="shared" si="29"/>
        <v>1.6158689876183079</v>
      </c>
      <c r="BF206" s="170">
        <f t="shared" si="24"/>
        <v>694317.7071320829</v>
      </c>
      <c r="BG206" s="2">
        <f t="shared" si="25"/>
        <v>1376711.9734905763</v>
      </c>
      <c r="BI206">
        <f t="shared" si="26"/>
        <v>0</v>
      </c>
      <c r="BJ206" s="95">
        <f t="shared" si="27"/>
        <v>1</v>
      </c>
      <c r="BP206" s="217">
        <f t="shared" si="30"/>
        <v>1376711.9734905763</v>
      </c>
    </row>
    <row r="207" spans="1:68">
      <c r="A207" s="11">
        <v>201</v>
      </c>
      <c r="C207" s="27">
        <v>0.92004127411210157</v>
      </c>
      <c r="D207" s="27">
        <v>7.995872588789843E-2</v>
      </c>
      <c r="E207" s="27">
        <v>0</v>
      </c>
      <c r="F207" s="27">
        <v>0.857796128076873</v>
      </c>
      <c r="G207" s="27">
        <v>0.14220387192312697</v>
      </c>
      <c r="H207" s="27">
        <v>0</v>
      </c>
      <c r="I207" s="27">
        <v>0.74658374395090499</v>
      </c>
      <c r="J207" s="27">
        <v>0.25341625604909501</v>
      </c>
      <c r="K207" s="27">
        <v>0</v>
      </c>
      <c r="L207" s="27">
        <v>9.1718213810353832E-2</v>
      </c>
      <c r="M207" s="27">
        <v>0.49049593060567931</v>
      </c>
      <c r="N207" s="27">
        <v>0.41778585558396686</v>
      </c>
      <c r="O207" s="27">
        <v>-11.073171935433345</v>
      </c>
      <c r="P207" s="27">
        <v>3.3262421372701099E-2</v>
      </c>
      <c r="Q207" s="27">
        <v>6.276266059836863E-5</v>
      </c>
      <c r="R207" s="27">
        <v>1.0727796298434844</v>
      </c>
      <c r="S207" s="154"/>
      <c r="T207">
        <v>0.99811810099531495</v>
      </c>
      <c r="U207">
        <v>2.2666450894140282</v>
      </c>
      <c r="V207">
        <v>2.683138850078179</v>
      </c>
      <c r="W207">
        <v>1</v>
      </c>
      <c r="Y207" s="2">
        <v>1436.3735406691239</v>
      </c>
      <c r="Z207" s="2">
        <v>3461.4064400786333</v>
      </c>
      <c r="AA207" s="2">
        <v>17.402002156021798</v>
      </c>
      <c r="AB207" s="2">
        <v>14338.358402565716</v>
      </c>
      <c r="AC207" s="2">
        <v>874.60462408273474</v>
      </c>
      <c r="AD207" s="2">
        <v>3654.1777985611629</v>
      </c>
      <c r="AE207" s="2">
        <v>577.84293384378532</v>
      </c>
      <c r="AF207" s="2">
        <v>997.64588216607353</v>
      </c>
      <c r="AG207" s="2">
        <v>107.39783776096174</v>
      </c>
      <c r="AH207" s="2">
        <v>344.7128967326957</v>
      </c>
      <c r="AI207" s="2">
        <v>545957.15880063968</v>
      </c>
      <c r="AJ207" s="2">
        <v>514010.1636625487</v>
      </c>
      <c r="AL207" s="27">
        <v>0.91904907422305948</v>
      </c>
      <c r="AM207" s="27">
        <v>0.91277657449405913</v>
      </c>
      <c r="AN207" s="27">
        <v>0.91250582819190007</v>
      </c>
      <c r="AO207" s="27">
        <v>0.83854123790452295</v>
      </c>
      <c r="AP207" s="27">
        <v>0.59625783489990258</v>
      </c>
      <c r="AQ207" s="27">
        <v>0.91904907422305948</v>
      </c>
      <c r="AR207" s="27">
        <v>0.91277657449405913</v>
      </c>
      <c r="AS207" s="27">
        <v>0.91250582819190007</v>
      </c>
      <c r="AT207" s="27">
        <v>0.83854123790452295</v>
      </c>
      <c r="AU207" s="27">
        <v>0.59625783489990258</v>
      </c>
      <c r="AW207" s="1">
        <v>13.000465618628994</v>
      </c>
      <c r="AX207" s="1">
        <v>15.2894278888798</v>
      </c>
      <c r="AY207" s="2">
        <v>2004759.8937346849</v>
      </c>
      <c r="AZ207" s="1">
        <v>14.949901875069788</v>
      </c>
      <c r="BA207" s="1">
        <v>17.114459092717841</v>
      </c>
      <c r="BB207" s="2">
        <v>1679786.5657606726</v>
      </c>
      <c r="BC207" s="2">
        <f t="shared" si="28"/>
        <v>-324973.32797401235</v>
      </c>
      <c r="BD207" s="292">
        <f t="shared" si="29"/>
        <v>1.9494362564407943</v>
      </c>
      <c r="BF207" s="170">
        <f t="shared" si="24"/>
        <v>75314.605245954124</v>
      </c>
      <c r="BG207" s="2">
        <f t="shared" si="25"/>
        <v>712197.73425049335</v>
      </c>
      <c r="BI207">
        <f t="shared" si="26"/>
        <v>0</v>
      </c>
      <c r="BJ207" s="95">
        <f t="shared" si="27"/>
        <v>1</v>
      </c>
      <c r="BP207" s="217">
        <f t="shared" si="30"/>
        <v>712197.73425049335</v>
      </c>
    </row>
    <row r="208" spans="1:68">
      <c r="A208" s="11">
        <v>202</v>
      </c>
      <c r="C208" s="27">
        <v>0.921950549482078</v>
      </c>
      <c r="D208" s="27">
        <v>7.8049450517922003E-2</v>
      </c>
      <c r="E208" s="27">
        <v>0</v>
      </c>
      <c r="F208" s="27">
        <v>0.85723049978815413</v>
      </c>
      <c r="G208" s="27">
        <v>0.14276950021184592</v>
      </c>
      <c r="H208" s="27">
        <v>0</v>
      </c>
      <c r="I208" s="27">
        <v>0.75546901953464618</v>
      </c>
      <c r="J208" s="27">
        <v>0.24453098046535382</v>
      </c>
      <c r="K208" s="27">
        <v>0</v>
      </c>
      <c r="L208" s="27">
        <v>0.15584843793641612</v>
      </c>
      <c r="M208" s="27">
        <v>0.50874843937092395</v>
      </c>
      <c r="N208" s="27">
        <v>0.33540312269265993</v>
      </c>
      <c r="O208" s="27">
        <v>-10.889895467631606</v>
      </c>
      <c r="P208" s="27">
        <v>3.1720131202351211E-2</v>
      </c>
      <c r="Q208" s="27">
        <v>7.0658654568713007E-5</v>
      </c>
      <c r="R208" s="27">
        <v>1.0655249985950335</v>
      </c>
      <c r="S208" s="154"/>
      <c r="T208">
        <v>0.87864854817981142</v>
      </c>
      <c r="U208">
        <v>2.2647300544294859</v>
      </c>
      <c r="V208">
        <v>3.0287555224464011</v>
      </c>
      <c r="W208">
        <v>1</v>
      </c>
      <c r="Y208" s="2">
        <v>1890.8457737445024</v>
      </c>
      <c r="Z208" s="2">
        <v>5849.0637121331856</v>
      </c>
      <c r="AA208" s="2">
        <v>4547.9389891419005</v>
      </c>
      <c r="AB208" s="2">
        <v>23309.552049193033</v>
      </c>
      <c r="AC208" s="2">
        <v>243.50736169966427</v>
      </c>
      <c r="AD208" s="2">
        <v>162.63394832447543</v>
      </c>
      <c r="AE208" s="2">
        <v>542.6895307123765</v>
      </c>
      <c r="AF208" s="2">
        <v>1148.0938265276798</v>
      </c>
      <c r="AG208" s="2">
        <v>124.10396687617789</v>
      </c>
      <c r="AH208" s="2">
        <v>521.42569963938217</v>
      </c>
      <c r="AI208" s="2">
        <v>497188.75895694253</v>
      </c>
      <c r="AJ208" s="2">
        <v>468191.10591639508</v>
      </c>
      <c r="AL208" s="27">
        <v>0.9216701083697687</v>
      </c>
      <c r="AM208" s="27">
        <v>0.910590316770716</v>
      </c>
      <c r="AN208" s="27">
        <v>0.90478417486764051</v>
      </c>
      <c r="AO208" s="27">
        <v>0.87361694241087196</v>
      </c>
      <c r="AP208" s="27">
        <v>0.627140819771555</v>
      </c>
      <c r="AQ208" s="27">
        <v>0.9216701083697687</v>
      </c>
      <c r="AR208" s="27">
        <v>0.910590316770716</v>
      </c>
      <c r="AS208" s="27">
        <v>0.90478417486764051</v>
      </c>
      <c r="AT208" s="27">
        <v>0.87361694241087196</v>
      </c>
      <c r="AU208" s="27">
        <v>0.627140819771555</v>
      </c>
      <c r="AW208" s="1">
        <v>13.758431602150782</v>
      </c>
      <c r="AX208" s="1">
        <v>15.989047378600922</v>
      </c>
      <c r="AY208" s="2">
        <v>1898548.0658200535</v>
      </c>
      <c r="AZ208" s="1">
        <v>15.274029670756908</v>
      </c>
      <c r="BA208" s="1">
        <v>17.425605792861926</v>
      </c>
      <c r="BB208" s="2">
        <v>1819305.4098495378</v>
      </c>
      <c r="BC208" s="2">
        <f t="shared" si="28"/>
        <v>-79242.655970515683</v>
      </c>
      <c r="BD208" s="292">
        <f t="shared" si="29"/>
        <v>1.5155980686061259</v>
      </c>
      <c r="BF208" s="170">
        <f t="shared" si="24"/>
        <v>302800.99052407197</v>
      </c>
      <c r="BG208" s="2">
        <f t="shared" si="25"/>
        <v>624539.33747156779</v>
      </c>
      <c r="BI208">
        <f t="shared" si="26"/>
        <v>0</v>
      </c>
      <c r="BJ208" s="95">
        <f t="shared" si="27"/>
        <v>1</v>
      </c>
      <c r="BP208" s="217">
        <f t="shared" si="30"/>
        <v>624539.33747156779</v>
      </c>
    </row>
    <row r="209" spans="1:68">
      <c r="A209" s="11">
        <v>203</v>
      </c>
      <c r="C209" s="27">
        <v>0.92312104168894593</v>
      </c>
      <c r="D209" s="27">
        <v>7.6878958311054041E-2</v>
      </c>
      <c r="E209" s="27">
        <v>0</v>
      </c>
      <c r="F209" s="27">
        <v>0.86164267799679994</v>
      </c>
      <c r="G209" s="27">
        <v>0.13835732200320003</v>
      </c>
      <c r="H209" s="27">
        <v>0</v>
      </c>
      <c r="I209" s="27">
        <v>0.74504400836240781</v>
      </c>
      <c r="J209" s="27">
        <v>0.25495599163759219</v>
      </c>
      <c r="K209" s="27">
        <v>0</v>
      </c>
      <c r="L209" s="27">
        <v>0.15446438492675618</v>
      </c>
      <c r="M209" s="27">
        <v>0.51060360853682796</v>
      </c>
      <c r="N209" s="27">
        <v>0.33493200653641586</v>
      </c>
      <c r="O209" s="27">
        <v>-10.916299326601917</v>
      </c>
      <c r="P209" s="27">
        <v>3.2926546945849774E-2</v>
      </c>
      <c r="Q209" s="27">
        <v>7.2394201259849645E-5</v>
      </c>
      <c r="R209" s="27">
        <v>1.0485007020155332</v>
      </c>
      <c r="S209" s="154"/>
      <c r="T209">
        <v>0.95657061734280868</v>
      </c>
      <c r="U209">
        <v>2.1798519629626907</v>
      </c>
      <c r="V209">
        <v>3.061347626485686</v>
      </c>
      <c r="W209">
        <v>1</v>
      </c>
      <c r="Y209" s="2">
        <v>633.5273441983278</v>
      </c>
      <c r="Z209" s="2">
        <v>4767.8079783199682</v>
      </c>
      <c r="AA209" s="2">
        <v>750.65080458363411</v>
      </c>
      <c r="AB209" s="2">
        <v>9308.6619243884361</v>
      </c>
      <c r="AC209" s="2">
        <v>73.356981350819083</v>
      </c>
      <c r="AD209" s="2">
        <v>1383.2185578918527</v>
      </c>
      <c r="AE209" s="2">
        <v>560.69209856614748</v>
      </c>
      <c r="AF209" s="2">
        <v>709.97329308831672</v>
      </c>
      <c r="AG209" s="2">
        <v>92.175102186159535</v>
      </c>
      <c r="AH209" s="2">
        <v>616.33755798953757</v>
      </c>
      <c r="AI209" s="2">
        <v>493915.38407321082</v>
      </c>
      <c r="AJ209" s="2">
        <v>460192.55324757268</v>
      </c>
      <c r="AL209" s="27">
        <v>0.91211620390990578</v>
      </c>
      <c r="AM209" s="27">
        <v>0.91578558900222107</v>
      </c>
      <c r="AN209" s="27">
        <v>0.91045006273337437</v>
      </c>
      <c r="AO209" s="27">
        <v>0.8364827027974685</v>
      </c>
      <c r="AP209" s="27">
        <v>0.56615960217260386</v>
      </c>
      <c r="AQ209" s="27">
        <v>0.91211620390990578</v>
      </c>
      <c r="AR209" s="27">
        <v>0.91578558900222107</v>
      </c>
      <c r="AS209" s="27">
        <v>0.91045006273337437</v>
      </c>
      <c r="AT209" s="27">
        <v>0.8364827027974685</v>
      </c>
      <c r="AU209" s="27">
        <v>0.56615960217260386</v>
      </c>
      <c r="AW209" s="1">
        <v>13.398754193569557</v>
      </c>
      <c r="AX209" s="1">
        <v>16.013543123671198</v>
      </c>
      <c r="AY209" s="2">
        <v>1988805.08418341</v>
      </c>
      <c r="AZ209" s="1">
        <v>15.16402343209737</v>
      </c>
      <c r="BA209" s="1">
        <v>17.578379738978867</v>
      </c>
      <c r="BB209" s="2">
        <v>1577984.8420054612</v>
      </c>
      <c r="BC209" s="2">
        <f t="shared" si="28"/>
        <v>-410820.24217794882</v>
      </c>
      <c r="BD209" s="292">
        <f t="shared" si="29"/>
        <v>1.7652692385278126</v>
      </c>
      <c r="BF209" s="170">
        <f t="shared" si="24"/>
        <v>154995.58678771905</v>
      </c>
      <c r="BG209" s="2">
        <f t="shared" si="25"/>
        <v>848258.90713011776</v>
      </c>
      <c r="BI209">
        <f t="shared" si="26"/>
        <v>0</v>
      </c>
      <c r="BJ209" s="95">
        <f t="shared" si="27"/>
        <v>1</v>
      </c>
      <c r="BP209" s="217">
        <f t="shared" si="30"/>
        <v>848258.90713011776</v>
      </c>
    </row>
    <row r="210" spans="1:68">
      <c r="A210" s="11">
        <v>204</v>
      </c>
      <c r="C210" s="27">
        <v>0.92423931675097104</v>
      </c>
      <c r="D210" s="27">
        <v>7.5760683249028973E-2</v>
      </c>
      <c r="E210" s="27">
        <v>0</v>
      </c>
      <c r="F210" s="27">
        <v>0.85524432435238451</v>
      </c>
      <c r="G210" s="27">
        <v>0.14475567564761549</v>
      </c>
      <c r="H210" s="27">
        <v>0</v>
      </c>
      <c r="I210" s="27">
        <v>0.75661012601649857</v>
      </c>
      <c r="J210" s="27">
        <v>0.24338987398350143</v>
      </c>
      <c r="K210" s="27">
        <v>0</v>
      </c>
      <c r="L210" s="27">
        <v>9.9238652104867042E-2</v>
      </c>
      <c r="M210" s="27">
        <v>0.50545334629666894</v>
      </c>
      <c r="N210" s="27">
        <v>0.39530800159846402</v>
      </c>
      <c r="O210" s="27">
        <v>-11.086975588363389</v>
      </c>
      <c r="P210" s="27">
        <v>3.6457061807827165E-2</v>
      </c>
      <c r="Q210" s="27">
        <v>7.0790978164822339E-5</v>
      </c>
      <c r="R210" s="27">
        <v>1.0478201181400053</v>
      </c>
      <c r="S210" s="154"/>
      <c r="T210">
        <v>0.89623551907075649</v>
      </c>
      <c r="U210">
        <v>2.3219674533612049</v>
      </c>
      <c r="V210">
        <v>2.8857743937038807</v>
      </c>
      <c r="W210">
        <v>1</v>
      </c>
      <c r="Y210" s="2">
        <v>3476.8341803506046</v>
      </c>
      <c r="Z210" s="2">
        <v>7663.3203510958492</v>
      </c>
      <c r="AA210" s="2">
        <v>2201.9527233000413</v>
      </c>
      <c r="AB210" s="2">
        <v>5366.9077575919964</v>
      </c>
      <c r="AC210" s="2">
        <v>212.15955776438153</v>
      </c>
      <c r="AD210" s="2">
        <v>988.71031971701689</v>
      </c>
      <c r="AE210" s="2">
        <v>517.97543173875147</v>
      </c>
      <c r="AF210" s="2">
        <v>903.8684390331124</v>
      </c>
      <c r="AG210" s="2">
        <v>123.49298448033106</v>
      </c>
      <c r="AH210" s="2">
        <v>289.94117586174838</v>
      </c>
      <c r="AI210" s="2">
        <v>539398.15945120319</v>
      </c>
      <c r="AJ210" s="2">
        <v>500492.60221948213</v>
      </c>
      <c r="AL210" s="27">
        <v>0.92341188098284799</v>
      </c>
      <c r="AM210" s="27">
        <v>0.91254820096828304</v>
      </c>
      <c r="AN210" s="27">
        <v>0.91780659754598204</v>
      </c>
      <c r="AO210" s="27">
        <v>0.90448201594623623</v>
      </c>
      <c r="AP210" s="27">
        <v>0.67617248152339737</v>
      </c>
      <c r="AQ210" s="27">
        <v>0.92341188098284799</v>
      </c>
      <c r="AR210" s="27">
        <v>0.91254820096828304</v>
      </c>
      <c r="AS210" s="27">
        <v>0.91780659754598204</v>
      </c>
      <c r="AT210" s="27">
        <v>0.90448201594623623</v>
      </c>
      <c r="AU210" s="27">
        <v>0.67617248152339737</v>
      </c>
      <c r="AW210" s="1">
        <v>13.929904002493485</v>
      </c>
      <c r="AX210" s="1">
        <v>15.946476548868747</v>
      </c>
      <c r="AY210" s="2">
        <v>2063051.8460317208</v>
      </c>
      <c r="AZ210" s="1">
        <v>15.457066988511752</v>
      </c>
      <c r="BA210" s="1">
        <v>17.416341886384053</v>
      </c>
      <c r="BB210" s="2">
        <v>1559640.8209910432</v>
      </c>
      <c r="BC210" s="2">
        <f t="shared" si="28"/>
        <v>-503411.02504067752</v>
      </c>
      <c r="BD210" s="292">
        <f t="shared" si="29"/>
        <v>1.5271629860182667</v>
      </c>
      <c r="BF210" s="170">
        <f t="shared" si="24"/>
        <v>165732.79436723702</v>
      </c>
      <c r="BG210" s="2">
        <f t="shared" si="25"/>
        <v>913489.89717083727</v>
      </c>
      <c r="BI210">
        <f t="shared" si="26"/>
        <v>0</v>
      </c>
      <c r="BJ210" s="95">
        <f t="shared" si="27"/>
        <v>1</v>
      </c>
      <c r="BP210" s="217">
        <f t="shared" si="30"/>
        <v>913489.89717083727</v>
      </c>
    </row>
    <row r="211" spans="1:68">
      <c r="A211" s="11">
        <v>205</v>
      </c>
      <c r="C211" s="27">
        <v>0.92127179031421624</v>
      </c>
      <c r="D211" s="27">
        <v>7.8728209685783757E-2</v>
      </c>
      <c r="E211" s="27">
        <v>0</v>
      </c>
      <c r="F211" s="27">
        <v>0.85565772169817689</v>
      </c>
      <c r="G211" s="27">
        <v>0.14434227830182311</v>
      </c>
      <c r="H211" s="27">
        <v>0</v>
      </c>
      <c r="I211" s="27">
        <v>0.75505141944953047</v>
      </c>
      <c r="J211" s="27">
        <v>0.2449485805504695</v>
      </c>
      <c r="K211" s="27">
        <v>0</v>
      </c>
      <c r="L211" s="27">
        <v>0.19505114864227929</v>
      </c>
      <c r="M211" s="27">
        <v>0.47894037249541072</v>
      </c>
      <c r="N211" s="27">
        <v>0.32600847886231005</v>
      </c>
      <c r="O211" s="27">
        <v>-11.170107794337284</v>
      </c>
      <c r="P211" s="27">
        <v>3.6057347539250481E-2</v>
      </c>
      <c r="Q211" s="27">
        <v>6.4059437305484919E-5</v>
      </c>
      <c r="R211" s="27">
        <v>1.0664027072847664</v>
      </c>
      <c r="S211" s="154"/>
      <c r="T211">
        <v>0.94591004620293329</v>
      </c>
      <c r="U211">
        <v>2.2291312876097611</v>
      </c>
      <c r="V211">
        <v>3.0382091933179325</v>
      </c>
      <c r="W211">
        <v>1</v>
      </c>
      <c r="Y211" s="2">
        <v>534.66959241221718</v>
      </c>
      <c r="Z211" s="2">
        <v>363.53269148317537</v>
      </c>
      <c r="AA211" s="2">
        <v>2432.063778404502</v>
      </c>
      <c r="AB211" s="2">
        <v>2342.3091495184754</v>
      </c>
      <c r="AC211" s="2">
        <v>1717.7486327050615</v>
      </c>
      <c r="AD211" s="2">
        <v>1109.3362124620019</v>
      </c>
      <c r="AE211" s="2">
        <v>550.13384787256666</v>
      </c>
      <c r="AF211" s="2">
        <v>1083.2015459768857</v>
      </c>
      <c r="AG211" s="2">
        <v>104.00224287988037</v>
      </c>
      <c r="AH211" s="2">
        <v>380.51830023285737</v>
      </c>
      <c r="AI211" s="2">
        <v>521990.42483411293</v>
      </c>
      <c r="AJ211" s="2">
        <v>471422.77269074338</v>
      </c>
      <c r="AL211" s="27">
        <v>0.91775731079949807</v>
      </c>
      <c r="AM211" s="27">
        <v>0.91674882043869799</v>
      </c>
      <c r="AN211" s="27">
        <v>0.91670515828534338</v>
      </c>
      <c r="AO211" s="27">
        <v>0.88430818479750894</v>
      </c>
      <c r="AP211" s="27">
        <v>0.76856312011544015</v>
      </c>
      <c r="AQ211" s="27">
        <v>0.91775731079949807</v>
      </c>
      <c r="AR211" s="27">
        <v>0.91674882043869799</v>
      </c>
      <c r="AS211" s="27">
        <v>0.91670515828534338</v>
      </c>
      <c r="AT211" s="27">
        <v>0.88430818479750894</v>
      </c>
      <c r="AU211" s="27">
        <v>0.76856312011544015</v>
      </c>
      <c r="AW211" s="1">
        <v>14.027322456557425</v>
      </c>
      <c r="AX211" s="1">
        <v>15.847315478792808</v>
      </c>
      <c r="AY211" s="2">
        <v>1950158.2107875517</v>
      </c>
      <c r="AZ211" s="1">
        <v>15.633286128116085</v>
      </c>
      <c r="BA211" s="1">
        <v>17.448975618910858</v>
      </c>
      <c r="BB211" s="2">
        <v>1494362.6237057627</v>
      </c>
      <c r="BC211" s="2">
        <f t="shared" si="28"/>
        <v>-455795.58708178904</v>
      </c>
      <c r="BD211" s="292">
        <f t="shared" si="29"/>
        <v>1.6059636715586603</v>
      </c>
      <c r="BF211" s="170">
        <f t="shared" si="24"/>
        <v>294213.38226163643</v>
      </c>
      <c r="BG211" s="2">
        <f t="shared" si="25"/>
        <v>1006963.1567928109</v>
      </c>
      <c r="BI211">
        <f t="shared" si="26"/>
        <v>0</v>
      </c>
      <c r="BJ211" s="95">
        <f t="shared" si="27"/>
        <v>1</v>
      </c>
      <c r="BP211" s="217">
        <f t="shared" si="30"/>
        <v>1006963.1567928109</v>
      </c>
    </row>
    <row r="212" spans="1:68">
      <c r="A212" s="11">
        <v>206</v>
      </c>
      <c r="C212" s="27">
        <v>0.9242454117791068</v>
      </c>
      <c r="D212" s="27">
        <v>7.575458822089319E-2</v>
      </c>
      <c r="E212" s="27">
        <v>0</v>
      </c>
      <c r="F212" s="27">
        <v>0.86176699452631689</v>
      </c>
      <c r="G212" s="27">
        <v>0.13823300547368311</v>
      </c>
      <c r="H212" s="27">
        <v>0</v>
      </c>
      <c r="I212" s="27">
        <v>0.74106083416974777</v>
      </c>
      <c r="J212" s="27">
        <v>0.25893916583025223</v>
      </c>
      <c r="K212" s="27">
        <v>0</v>
      </c>
      <c r="L212" s="27">
        <v>0.2025273135853386</v>
      </c>
      <c r="M212" s="27">
        <v>0.47926239013953337</v>
      </c>
      <c r="N212" s="27">
        <v>0.31821029627512798</v>
      </c>
      <c r="O212" s="27">
        <v>-11.241156528167252</v>
      </c>
      <c r="P212" s="27">
        <v>3.7049606308264815E-2</v>
      </c>
      <c r="Q212" s="27">
        <v>6.220513140059294E-5</v>
      </c>
      <c r="R212" s="27">
        <v>1.0622998920744084</v>
      </c>
      <c r="S212" s="154"/>
      <c r="T212">
        <v>0.96333499811564183</v>
      </c>
      <c r="U212">
        <v>2.2915296450029525</v>
      </c>
      <c r="V212">
        <v>2.8588211875917313</v>
      </c>
      <c r="W212">
        <v>1</v>
      </c>
      <c r="Y212" s="2">
        <v>412.5118770755771</v>
      </c>
      <c r="Z212" s="2">
        <v>1226.3573942917001</v>
      </c>
      <c r="AA212" s="2">
        <v>1706.8661502272896</v>
      </c>
      <c r="AB212" s="2">
        <v>15649.576423966148</v>
      </c>
      <c r="AC212" s="2">
        <v>1839.1563050293335</v>
      </c>
      <c r="AD212" s="2">
        <v>1049.8996698519625</v>
      </c>
      <c r="AE212" s="2">
        <v>568.26533727379854</v>
      </c>
      <c r="AF212" s="2">
        <v>922.80998031652689</v>
      </c>
      <c r="AG212" s="2">
        <v>188.87463894319615</v>
      </c>
      <c r="AH212" s="2">
        <v>244.72594689344314</v>
      </c>
      <c r="AI212" s="2">
        <v>522260.32158646744</v>
      </c>
      <c r="AJ212" s="2">
        <v>493242.21976713743</v>
      </c>
      <c r="AL212" s="27">
        <v>0.91221959654665785</v>
      </c>
      <c r="AM212" s="27">
        <v>0.91434529603016601</v>
      </c>
      <c r="AN212" s="27">
        <v>0.91505198520308506</v>
      </c>
      <c r="AO212" s="27">
        <v>0.90507962392934826</v>
      </c>
      <c r="AP212" s="27">
        <v>0.66979566733670803</v>
      </c>
      <c r="AQ212" s="27">
        <v>0.91221959654665785</v>
      </c>
      <c r="AR212" s="27">
        <v>0.91434529603016601</v>
      </c>
      <c r="AS212" s="27">
        <v>0.91505198520308506</v>
      </c>
      <c r="AT212" s="27">
        <v>0.90507962392934826</v>
      </c>
      <c r="AU212" s="27">
        <v>0.66979566733670803</v>
      </c>
      <c r="AW212" s="1">
        <v>13.816041003957107</v>
      </c>
      <c r="AX212" s="1">
        <v>16.036776450310498</v>
      </c>
      <c r="AY212" s="2">
        <v>2095161.2498455606</v>
      </c>
      <c r="AZ212" s="1">
        <v>15.490492625220952</v>
      </c>
      <c r="BA212" s="1">
        <v>17.612247358826295</v>
      </c>
      <c r="BB212" s="2">
        <v>1777629.4979310532</v>
      </c>
      <c r="BC212" s="2">
        <f t="shared" si="28"/>
        <v>-317531.75191450748</v>
      </c>
      <c r="BD212" s="292">
        <f t="shared" si="29"/>
        <v>1.6744516212638452</v>
      </c>
      <c r="BF212" s="170">
        <f t="shared" si="24"/>
        <v>115405.31078757625</v>
      </c>
      <c r="BG212" s="2">
        <f t="shared" si="25"/>
        <v>700849.32210429921</v>
      </c>
      <c r="BI212">
        <f t="shared" si="26"/>
        <v>0</v>
      </c>
      <c r="BJ212" s="95">
        <f t="shared" si="27"/>
        <v>1</v>
      </c>
      <c r="BP212" s="217">
        <f t="shared" si="30"/>
        <v>700849.32210429921</v>
      </c>
    </row>
    <row r="213" spans="1:68">
      <c r="A213" s="11">
        <v>207</v>
      </c>
      <c r="C213" s="27">
        <v>0.92106965582722666</v>
      </c>
      <c r="D213" s="27">
        <v>7.8930344172773337E-2</v>
      </c>
      <c r="E213" s="27">
        <v>0</v>
      </c>
      <c r="F213" s="27">
        <v>0.85733588964032115</v>
      </c>
      <c r="G213" s="27">
        <v>0.14266411035967891</v>
      </c>
      <c r="H213" s="27">
        <v>0</v>
      </c>
      <c r="I213" s="27">
        <v>0.75130045208785468</v>
      </c>
      <c r="J213" s="27">
        <v>0.24869954791214532</v>
      </c>
      <c r="K213" s="27">
        <v>0</v>
      </c>
      <c r="L213" s="27">
        <v>4.6701454139270737E-3</v>
      </c>
      <c r="M213" s="27">
        <v>0.64196719088547727</v>
      </c>
      <c r="N213" s="27">
        <v>0.35336266370059566</v>
      </c>
      <c r="O213" s="27">
        <v>-11.51256583519819</v>
      </c>
      <c r="P213" s="27">
        <v>3.7083968915015163E-2</v>
      </c>
      <c r="Q213" s="27">
        <v>4.7487732626777639E-5</v>
      </c>
      <c r="R213" s="27">
        <v>1.1050376037662182</v>
      </c>
      <c r="S213" s="154"/>
      <c r="T213">
        <v>0.98025018827325983</v>
      </c>
      <c r="U213">
        <v>2.2363818479094628</v>
      </c>
      <c r="V213">
        <v>3.0105978530899442</v>
      </c>
      <c r="W213">
        <v>1</v>
      </c>
      <c r="Y213" s="2">
        <v>1955.8864085614732</v>
      </c>
      <c r="Z213" s="2">
        <v>3831.3955555764724</v>
      </c>
      <c r="AA213" s="2">
        <v>289.75233307052304</v>
      </c>
      <c r="AB213" s="2">
        <v>5793.8301116041484</v>
      </c>
      <c r="AC213" s="2">
        <v>866.30983722345934</v>
      </c>
      <c r="AD213" s="2">
        <v>5981.9919083501854</v>
      </c>
      <c r="AE213" s="2">
        <v>615.47640657473835</v>
      </c>
      <c r="AF213" s="2">
        <v>1131.7424508081938</v>
      </c>
      <c r="AG213" s="2">
        <v>108.96668207215252</v>
      </c>
      <c r="AH213" s="2">
        <v>270.27482385848668</v>
      </c>
      <c r="AI213" s="2">
        <v>511755.13296994119</v>
      </c>
      <c r="AJ213" s="2">
        <v>466806.00492654979</v>
      </c>
      <c r="AL213" s="27">
        <v>0.92111099399098717</v>
      </c>
      <c r="AM213" s="27">
        <v>0.91629790266479616</v>
      </c>
      <c r="AN213" s="27">
        <v>0.90860909566718329</v>
      </c>
      <c r="AO213" s="27">
        <v>0.87488281026860992</v>
      </c>
      <c r="AP213" s="27">
        <v>0.74652318851763122</v>
      </c>
      <c r="AQ213" s="27">
        <v>0.92111099399098717</v>
      </c>
      <c r="AR213" s="27">
        <v>0.91629790266479616</v>
      </c>
      <c r="AS213" s="27">
        <v>0.90860909566718329</v>
      </c>
      <c r="AT213" s="27">
        <v>0.87488281026860992</v>
      </c>
      <c r="AU213" s="27">
        <v>0.74652318851763122</v>
      </c>
      <c r="AW213" s="1">
        <v>13.92998761792466</v>
      </c>
      <c r="AX213" s="1">
        <v>15.850820587778024</v>
      </c>
      <c r="AY213" s="2">
        <v>2146159.2785941469</v>
      </c>
      <c r="AZ213" s="1">
        <v>15.625500674997115</v>
      </c>
      <c r="BA213" s="1">
        <v>17.516455200964895</v>
      </c>
      <c r="BB213" s="2">
        <v>1673399.3513390191</v>
      </c>
      <c r="BC213" s="2">
        <f t="shared" si="28"/>
        <v>-472759.92725512781</v>
      </c>
      <c r="BD213" s="292">
        <f t="shared" si="29"/>
        <v>1.6955130570724553</v>
      </c>
      <c r="BF213" s="170">
        <f t="shared" si="24"/>
        <v>82638.74027379835</v>
      </c>
      <c r="BG213" s="2">
        <f t="shared" si="25"/>
        <v>826680.7566605194</v>
      </c>
      <c r="BI213">
        <f t="shared" si="26"/>
        <v>0</v>
      </c>
      <c r="BJ213" s="95">
        <f t="shared" si="27"/>
        <v>1</v>
      </c>
      <c r="BP213" s="217">
        <f t="shared" si="30"/>
        <v>826680.7566605194</v>
      </c>
    </row>
    <row r="214" spans="1:68">
      <c r="A214" s="11">
        <v>208</v>
      </c>
      <c r="C214" s="27">
        <v>0.9186441351753486</v>
      </c>
      <c r="D214" s="27">
        <v>8.1355864824651403E-2</v>
      </c>
      <c r="E214" s="27">
        <v>0</v>
      </c>
      <c r="F214" s="27">
        <v>0.8528046980079903</v>
      </c>
      <c r="G214" s="27">
        <v>0.1471953019920097</v>
      </c>
      <c r="H214" s="27">
        <v>0</v>
      </c>
      <c r="I214" s="27">
        <v>0.74410256796635632</v>
      </c>
      <c r="J214" s="27">
        <v>0.25589743203364368</v>
      </c>
      <c r="K214" s="27">
        <v>0</v>
      </c>
      <c r="L214" s="27">
        <v>0.11211262863502003</v>
      </c>
      <c r="M214" s="27">
        <v>0.50448152431311</v>
      </c>
      <c r="N214" s="27">
        <v>0.38340584705186997</v>
      </c>
      <c r="O214" s="27">
        <v>-11.556072393415027</v>
      </c>
      <c r="P214" s="27">
        <v>3.7624816796938805E-2</v>
      </c>
      <c r="Q214" s="27">
        <v>4.651061053076219E-5</v>
      </c>
      <c r="R214" s="27">
        <v>1.1022002644006603</v>
      </c>
      <c r="S214" s="154"/>
      <c r="T214">
        <v>1.0073904599777901</v>
      </c>
      <c r="U214">
        <v>2.273213313289713</v>
      </c>
      <c r="V214">
        <v>3.1369773916703863</v>
      </c>
      <c r="W214">
        <v>1</v>
      </c>
      <c r="Y214" s="2">
        <v>531.72504216935351</v>
      </c>
      <c r="Z214" s="2">
        <v>7724.1597202481571</v>
      </c>
      <c r="AA214" s="2">
        <v>1090.8357109506369</v>
      </c>
      <c r="AB214" s="2">
        <v>5304.5517641569104</v>
      </c>
      <c r="AC214" s="2">
        <v>116.58394697299843</v>
      </c>
      <c r="AD214" s="2">
        <v>4537.4394936660647</v>
      </c>
      <c r="AE214" s="2">
        <v>579.09968411417742</v>
      </c>
      <c r="AF214" s="2">
        <v>875.61672547211231</v>
      </c>
      <c r="AG214" s="2">
        <v>95.759391846391196</v>
      </c>
      <c r="AH214" s="2">
        <v>312.47008791988003</v>
      </c>
      <c r="AI214" s="2">
        <v>422108.52626081911</v>
      </c>
      <c r="AJ214" s="2">
        <v>391931.01055633917</v>
      </c>
      <c r="AL214" s="27">
        <v>0.91582724301880503</v>
      </c>
      <c r="AM214" s="27">
        <v>0.91778470702225912</v>
      </c>
      <c r="AN214" s="27">
        <v>0.88641638259199373</v>
      </c>
      <c r="AO214" s="27">
        <v>0.89617689491226171</v>
      </c>
      <c r="AP214" s="27">
        <v>0.73436179257057299</v>
      </c>
      <c r="AQ214" s="27">
        <v>0.91582724301880503</v>
      </c>
      <c r="AR214" s="27">
        <v>0.91778470702225912</v>
      </c>
      <c r="AS214" s="27">
        <v>0.88641638259199373</v>
      </c>
      <c r="AT214" s="27">
        <v>0.89617689491226171</v>
      </c>
      <c r="AU214" s="27">
        <v>0.73436179257057299</v>
      </c>
      <c r="AW214" s="1">
        <v>13.359865329095005</v>
      </c>
      <c r="AX214" s="1">
        <v>15.279269876918793</v>
      </c>
      <c r="AY214" s="2">
        <v>1714503.7313319047</v>
      </c>
      <c r="AZ214" s="1">
        <v>15.222305197380217</v>
      </c>
      <c r="BA214" s="1">
        <v>17.149453489993395</v>
      </c>
      <c r="BB214" s="2">
        <v>1318669.5813674449</v>
      </c>
      <c r="BC214" s="2">
        <f t="shared" si="28"/>
        <v>-395834.14996445971</v>
      </c>
      <c r="BD214" s="292">
        <f t="shared" si="29"/>
        <v>1.8624398682852128</v>
      </c>
      <c r="BF214" s="170">
        <f t="shared" si="24"/>
        <v>423074.72132329619</v>
      </c>
      <c r="BG214" s="2">
        <f t="shared" si="25"/>
        <v>1116899.25021339</v>
      </c>
      <c r="BI214">
        <f t="shared" si="26"/>
        <v>0</v>
      </c>
      <c r="BJ214" s="95">
        <f t="shared" si="27"/>
        <v>1</v>
      </c>
      <c r="BP214" s="217">
        <f t="shared" si="30"/>
        <v>1116899.25021339</v>
      </c>
    </row>
    <row r="215" spans="1:68">
      <c r="A215" s="11">
        <v>209</v>
      </c>
      <c r="C215" s="27">
        <v>0.9201117852098506</v>
      </c>
      <c r="D215" s="27">
        <v>7.9888214790149403E-2</v>
      </c>
      <c r="E215" s="27">
        <v>0</v>
      </c>
      <c r="F215" s="27">
        <v>0.85730531579886338</v>
      </c>
      <c r="G215" s="27">
        <v>0.14269468420113665</v>
      </c>
      <c r="H215" s="27">
        <v>0</v>
      </c>
      <c r="I215" s="27">
        <v>0.74922156234372472</v>
      </c>
      <c r="J215" s="27">
        <v>0.25077843765627528</v>
      </c>
      <c r="K215" s="27">
        <v>0</v>
      </c>
      <c r="L215" s="27">
        <v>0.13568825480680241</v>
      </c>
      <c r="M215" s="27">
        <v>0.53645757435136299</v>
      </c>
      <c r="N215" s="27">
        <v>0.3278541708418346</v>
      </c>
      <c r="O215" s="27">
        <v>-11.129898974222296</v>
      </c>
      <c r="P215" s="27">
        <v>3.3157087871102997E-2</v>
      </c>
      <c r="Q215" s="27">
        <v>5.9039651312920231E-5</v>
      </c>
      <c r="R215" s="27">
        <v>1.0835377176703789</v>
      </c>
      <c r="S215" s="154"/>
      <c r="T215">
        <v>0.93167048350042903</v>
      </c>
      <c r="U215">
        <v>2.2253982428461714</v>
      </c>
      <c r="V215">
        <v>3.1294331735741037</v>
      </c>
      <c r="W215">
        <v>1</v>
      </c>
      <c r="Y215" s="2">
        <v>1680.2735117759037</v>
      </c>
      <c r="Z215" s="2">
        <v>1094.3623968190138</v>
      </c>
      <c r="AA215" s="2">
        <v>1679.4492707712604</v>
      </c>
      <c r="AB215" s="2">
        <v>65.573208020690743</v>
      </c>
      <c r="AC215" s="2">
        <v>590.10373593803354</v>
      </c>
      <c r="AD215" s="2">
        <v>1389.6381898465759</v>
      </c>
      <c r="AE215" s="2">
        <v>604.80617415612176</v>
      </c>
      <c r="AF215" s="2">
        <v>1131.399360226005</v>
      </c>
      <c r="AG215" s="2">
        <v>109.16396755384929</v>
      </c>
      <c r="AH215" s="2">
        <v>481.19839398425609</v>
      </c>
      <c r="AI215" s="2">
        <v>767147.68903859507</v>
      </c>
      <c r="AJ215" s="2">
        <v>739043.41745153686</v>
      </c>
      <c r="AL215" s="27">
        <v>0.90758801524934518</v>
      </c>
      <c r="AM215" s="27">
        <v>0.92144819864569616</v>
      </c>
      <c r="AN215" s="27">
        <v>0.91325415547930178</v>
      </c>
      <c r="AO215" s="27">
        <v>0.85121948477504827</v>
      </c>
      <c r="AP215" s="27">
        <v>0.77069249017194574</v>
      </c>
      <c r="AQ215" s="27">
        <v>0.90758801524934518</v>
      </c>
      <c r="AR215" s="27">
        <v>0.92144819864569616</v>
      </c>
      <c r="AS215" s="27">
        <v>0.91325415547930178</v>
      </c>
      <c r="AT215" s="27">
        <v>0.85121948477504827</v>
      </c>
      <c r="AU215" s="27">
        <v>0.77069249017194574</v>
      </c>
      <c r="AW215" s="1">
        <v>13.918022555351138</v>
      </c>
      <c r="AX215" s="1">
        <v>15.846167651253898</v>
      </c>
      <c r="AY215" s="2">
        <v>3079309.0844060946</v>
      </c>
      <c r="AZ215" s="1">
        <v>15.511527183206056</v>
      </c>
      <c r="BA215" s="1">
        <v>17.423206497575439</v>
      </c>
      <c r="BB215" s="2">
        <v>2277005.3630769048</v>
      </c>
      <c r="BC215" s="2">
        <f t="shared" si="28"/>
        <v>-802303.72132918984</v>
      </c>
      <c r="BD215" s="292">
        <f t="shared" si="29"/>
        <v>1.5935046278549176</v>
      </c>
      <c r="BF215" s="170">
        <f t="shared" si="24"/>
        <v>-852425.47554991255</v>
      </c>
      <c r="BG215" s="2">
        <f t="shared" si="25"/>
        <v>204838.98623606423</v>
      </c>
      <c r="BI215">
        <f t="shared" si="26"/>
        <v>0</v>
      </c>
      <c r="BJ215" s="95">
        <f t="shared" si="27"/>
        <v>1</v>
      </c>
      <c r="BP215" s="217">
        <f t="shared" si="30"/>
        <v>204838.98623606423</v>
      </c>
    </row>
    <row r="216" spans="1:68">
      <c r="A216" s="11">
        <v>210</v>
      </c>
      <c r="C216" s="27">
        <v>0.92094660180004184</v>
      </c>
      <c r="D216" s="27">
        <v>7.9053398199958158E-2</v>
      </c>
      <c r="E216" s="27">
        <v>0</v>
      </c>
      <c r="F216" s="27">
        <v>0.85229252995165317</v>
      </c>
      <c r="G216" s="27">
        <v>0.14770747004834683</v>
      </c>
      <c r="H216" s="27">
        <v>0</v>
      </c>
      <c r="I216" s="27">
        <v>0.74329732417314842</v>
      </c>
      <c r="J216" s="27">
        <v>0.25670267582685158</v>
      </c>
      <c r="K216" s="27">
        <v>0</v>
      </c>
      <c r="L216" s="27">
        <v>8.9404402235300107E-2</v>
      </c>
      <c r="M216" s="27">
        <v>0.49773787967492256</v>
      </c>
      <c r="N216" s="27">
        <v>0.41285771808977734</v>
      </c>
      <c r="O216" s="27">
        <v>-10.670094032102886</v>
      </c>
      <c r="P216" s="27">
        <v>3.1697289081817924E-2</v>
      </c>
      <c r="Q216" s="27">
        <v>8.794421273865579E-5</v>
      </c>
      <c r="R216" s="27">
        <v>1.0297554180283612</v>
      </c>
      <c r="S216" s="154"/>
      <c r="T216">
        <v>1.0521033488824532</v>
      </c>
      <c r="U216">
        <v>2.2691210464087668</v>
      </c>
      <c r="V216">
        <v>3.2269951471520733</v>
      </c>
      <c r="W216">
        <v>1</v>
      </c>
      <c r="Y216" s="2">
        <v>989.79272586718002</v>
      </c>
      <c r="Z216" s="2">
        <v>9174.2145671057024</v>
      </c>
      <c r="AA216" s="2">
        <v>1528.7407397299021</v>
      </c>
      <c r="AB216" s="2">
        <v>6883.2302539842167</v>
      </c>
      <c r="AC216" s="2">
        <v>11.841492792463225</v>
      </c>
      <c r="AD216" s="2">
        <v>2051.2074353577073</v>
      </c>
      <c r="AE216" s="2">
        <v>570.32434478509845</v>
      </c>
      <c r="AF216" s="2">
        <v>1200.0121924146817</v>
      </c>
      <c r="AG216" s="2">
        <v>169.68659319042018</v>
      </c>
      <c r="AH216" s="2">
        <v>257.57852933489727</v>
      </c>
      <c r="AI216" s="2">
        <v>450691.99296175671</v>
      </c>
      <c r="AJ216" s="2">
        <v>407011.33078556048</v>
      </c>
      <c r="AL216" s="27">
        <v>0.9245486969602984</v>
      </c>
      <c r="AM216" s="27">
        <v>0.91074209036239562</v>
      </c>
      <c r="AN216" s="27">
        <v>0.90956109094378601</v>
      </c>
      <c r="AO216" s="27">
        <v>0.84782485021389142</v>
      </c>
      <c r="AP216" s="27">
        <v>0.75389121125953018</v>
      </c>
      <c r="AQ216" s="27">
        <v>0.9245486969602984</v>
      </c>
      <c r="AR216" s="27">
        <v>0.91074209036239562</v>
      </c>
      <c r="AS216" s="27">
        <v>0.90956109094378601</v>
      </c>
      <c r="AT216" s="27">
        <v>0.84782485021389142</v>
      </c>
      <c r="AU216" s="27">
        <v>0.75389121125953018</v>
      </c>
      <c r="AW216" s="1">
        <v>13.36412256907149</v>
      </c>
      <c r="AX216" s="1">
        <v>15.157506946047807</v>
      </c>
      <c r="AY216" s="2">
        <v>1796191.0247509358</v>
      </c>
      <c r="AZ216" s="1">
        <v>15.358191950597856</v>
      </c>
      <c r="BA216" s="1">
        <v>17.160408684060453</v>
      </c>
      <c r="BB216" s="2">
        <v>1335067.5891153268</v>
      </c>
      <c r="BC216" s="2">
        <f t="shared" si="28"/>
        <v>-461123.43563560909</v>
      </c>
      <c r="BD216" s="292">
        <f t="shared" si="29"/>
        <v>1.9940693815263657</v>
      </c>
      <c r="BF216" s="170">
        <f t="shared" si="24"/>
        <v>342068.58630050253</v>
      </c>
      <c r="BG216" s="2">
        <f t="shared" si="25"/>
        <v>1122243.1229803301</v>
      </c>
      <c r="BI216">
        <f t="shared" si="26"/>
        <v>0</v>
      </c>
      <c r="BJ216" s="95">
        <f t="shared" si="27"/>
        <v>1</v>
      </c>
      <c r="BP216" s="217">
        <f t="shared" si="30"/>
        <v>1122243.1229803301</v>
      </c>
    </row>
    <row r="217" spans="1:68">
      <c r="A217" s="11">
        <v>211</v>
      </c>
      <c r="C217" s="27">
        <v>0.92240604699223983</v>
      </c>
      <c r="D217" s="27">
        <v>7.7593953007760175E-2</v>
      </c>
      <c r="E217" s="27">
        <v>0</v>
      </c>
      <c r="F217" s="27">
        <v>0.86259424701222898</v>
      </c>
      <c r="G217" s="27">
        <v>0.13740575298777105</v>
      </c>
      <c r="H217" s="27">
        <v>0</v>
      </c>
      <c r="I217" s="27">
        <v>0.75138965598431695</v>
      </c>
      <c r="J217" s="27">
        <v>0.24861034401568299</v>
      </c>
      <c r="K217" s="27">
        <v>0</v>
      </c>
      <c r="L217" s="27">
        <v>0.17979678299361218</v>
      </c>
      <c r="M217" s="27">
        <v>0.50927970929408761</v>
      </c>
      <c r="N217" s="27">
        <v>0.31092350771230021</v>
      </c>
      <c r="O217" s="27">
        <v>-10.932994384754224</v>
      </c>
      <c r="P217" s="27">
        <v>3.3855162342671802E-2</v>
      </c>
      <c r="Q217" s="27">
        <v>7.4027229489994866E-5</v>
      </c>
      <c r="R217" s="27">
        <v>1.0480297844337916</v>
      </c>
      <c r="S217" s="154"/>
      <c r="T217">
        <v>1.0503299713052627</v>
      </c>
      <c r="U217">
        <v>2.2961236414991388</v>
      </c>
      <c r="V217">
        <v>3.207152325167594</v>
      </c>
      <c r="W217">
        <v>1</v>
      </c>
      <c r="Y217" s="2">
        <v>458.29195404640194</v>
      </c>
      <c r="Z217" s="2">
        <v>6525.3931112954997</v>
      </c>
      <c r="AA217" s="2">
        <v>3462.9785784726455</v>
      </c>
      <c r="AB217" s="2">
        <v>17934.11536955717</v>
      </c>
      <c r="AC217" s="2">
        <v>287.2348237059507</v>
      </c>
      <c r="AD217" s="2">
        <v>1114.0564573933918</v>
      </c>
      <c r="AE217" s="2">
        <v>535.92810136167338</v>
      </c>
      <c r="AF217" s="2">
        <v>1037.3058360294601</v>
      </c>
      <c r="AG217" s="2">
        <v>124.69882216605892</v>
      </c>
      <c r="AH217" s="2">
        <v>194.95690874061907</v>
      </c>
      <c r="AI217" s="2">
        <v>474056.49745419994</v>
      </c>
      <c r="AJ217" s="2">
        <v>442646.61736174033</v>
      </c>
      <c r="AL217" s="27">
        <v>0.91895792275885546</v>
      </c>
      <c r="AM217" s="27">
        <v>0.91202312149240694</v>
      </c>
      <c r="AN217" s="27">
        <v>0.90790462276420458</v>
      </c>
      <c r="AO217" s="27">
        <v>0.83959661097144578</v>
      </c>
      <c r="AP217" s="27">
        <v>0.73630680914037683</v>
      </c>
      <c r="AQ217" s="27">
        <v>0.91895792275885546</v>
      </c>
      <c r="AR217" s="27">
        <v>0.91202312149240694</v>
      </c>
      <c r="AS217" s="27">
        <v>0.90790462276420458</v>
      </c>
      <c r="AT217" s="27">
        <v>0.83959661097144578</v>
      </c>
      <c r="AU217" s="27">
        <v>0.73630680914037683</v>
      </c>
      <c r="AW217" s="1">
        <v>13.752832250514825</v>
      </c>
      <c r="AX217" s="1">
        <v>15.773389276703385</v>
      </c>
      <c r="AY217" s="2">
        <v>2085833.4981156932</v>
      </c>
      <c r="AZ217" s="1">
        <v>15.684610652377065</v>
      </c>
      <c r="BA217" s="1">
        <v>17.655915025231966</v>
      </c>
      <c r="BB217" s="2">
        <v>1730653.1836724582</v>
      </c>
      <c r="BC217" s="2">
        <f t="shared" si="28"/>
        <v>-355180.31444323505</v>
      </c>
      <c r="BD217" s="292">
        <f t="shared" si="29"/>
        <v>1.9317784018622408</v>
      </c>
      <c r="BF217" s="170">
        <f t="shared" si="24"/>
        <v>114619.66196667869</v>
      </c>
      <c r="BG217" s="2">
        <f t="shared" si="25"/>
        <v>778884.52070787246</v>
      </c>
      <c r="BI217">
        <f t="shared" si="26"/>
        <v>0</v>
      </c>
      <c r="BJ217" s="95">
        <f t="shared" si="27"/>
        <v>1</v>
      </c>
      <c r="BP217" s="217">
        <f t="shared" si="30"/>
        <v>778884.52070787246</v>
      </c>
    </row>
    <row r="218" spans="1:68">
      <c r="A218" s="11">
        <v>212</v>
      </c>
      <c r="C218" s="27">
        <v>0.92124021050659655</v>
      </c>
      <c r="D218" s="27">
        <v>7.8759789493403454E-2</v>
      </c>
      <c r="E218" s="27">
        <v>0</v>
      </c>
      <c r="F218" s="27">
        <v>0.8531576302935604</v>
      </c>
      <c r="G218" s="27">
        <v>0.1468423697064396</v>
      </c>
      <c r="H218" s="27">
        <v>0</v>
      </c>
      <c r="I218" s="27">
        <v>0.7613530884185451</v>
      </c>
      <c r="J218" s="27">
        <v>0.23864691158145487</v>
      </c>
      <c r="K218" s="27">
        <v>0</v>
      </c>
      <c r="L218" s="27">
        <v>0.12586265889916792</v>
      </c>
      <c r="M218" s="27">
        <v>0.49050469225236626</v>
      </c>
      <c r="N218" s="27">
        <v>0.38363264884846582</v>
      </c>
      <c r="O218" s="27">
        <v>-11.181451904159589</v>
      </c>
      <c r="P218" s="27">
        <v>3.5624060155479038E-2</v>
      </c>
      <c r="Q218" s="27">
        <v>6.2194662261721531E-5</v>
      </c>
      <c r="R218" s="27">
        <v>1.0674335974427445</v>
      </c>
      <c r="S218" s="154"/>
      <c r="T218">
        <v>1.115541166793778</v>
      </c>
      <c r="U218">
        <v>2.2713042828989938</v>
      </c>
      <c r="V218">
        <v>3.0275479650690587</v>
      </c>
      <c r="W218">
        <v>1</v>
      </c>
      <c r="Y218" s="2">
        <v>2335.6419687225343</v>
      </c>
      <c r="Z218" s="2">
        <v>2951.9691880828227</v>
      </c>
      <c r="AA218" s="2">
        <v>1343.2286022202659</v>
      </c>
      <c r="AB218" s="2">
        <v>2113.2152039129255</v>
      </c>
      <c r="AC218" s="2">
        <v>1111.0425825393722</v>
      </c>
      <c r="AD218" s="2">
        <v>158.42627432728841</v>
      </c>
      <c r="AE218" s="2">
        <v>555.02273659545642</v>
      </c>
      <c r="AF218" s="2">
        <v>757.08993906067349</v>
      </c>
      <c r="AG218" s="2">
        <v>162.75243602308191</v>
      </c>
      <c r="AH218" s="2">
        <v>456.42907710529363</v>
      </c>
      <c r="AI218" s="2">
        <v>303002.60541752802</v>
      </c>
      <c r="AJ218" s="2">
        <v>275015.07798758178</v>
      </c>
      <c r="AL218" s="27">
        <v>0.92546493883911285</v>
      </c>
      <c r="AM218" s="27">
        <v>0.91643821563122541</v>
      </c>
      <c r="AN218" s="27">
        <v>0.91190667095742883</v>
      </c>
      <c r="AO218" s="27">
        <v>0.89000391888640118</v>
      </c>
      <c r="AP218" s="27">
        <v>0.72065974900496843</v>
      </c>
      <c r="AQ218" s="27">
        <v>0.92546493883911285</v>
      </c>
      <c r="AR218" s="27">
        <v>0.91643821563122541</v>
      </c>
      <c r="AS218" s="27">
        <v>0.91190667095742883</v>
      </c>
      <c r="AT218" s="27">
        <v>0.89000391888640118</v>
      </c>
      <c r="AU218" s="27">
        <v>0.72065974900496843</v>
      </c>
      <c r="AW218" s="1">
        <v>13.275915020282378</v>
      </c>
      <c r="AX218" s="1">
        <v>15.156266431006536</v>
      </c>
      <c r="AY218" s="2">
        <v>1244408.4785332049</v>
      </c>
      <c r="AZ218" s="1">
        <v>15.466292418276677</v>
      </c>
      <c r="BA218" s="1">
        <v>17.300919095209391</v>
      </c>
      <c r="BB218" s="2">
        <v>845082.10044461209</v>
      </c>
      <c r="BC218" s="2">
        <f t="shared" si="28"/>
        <v>-399326.37808859278</v>
      </c>
      <c r="BD218" s="292">
        <f t="shared" si="29"/>
        <v>2.1903773979942986</v>
      </c>
      <c r="BF218" s="170">
        <f t="shared" si="24"/>
        <v>879737.9247119755</v>
      </c>
      <c r="BG218" s="2">
        <f t="shared" si="25"/>
        <v>1629524.686479656</v>
      </c>
      <c r="BI218">
        <f t="shared" si="26"/>
        <v>0</v>
      </c>
      <c r="BJ218" s="95">
        <f t="shared" si="27"/>
        <v>1</v>
      </c>
      <c r="BP218" s="217">
        <f t="shared" si="30"/>
        <v>1629524.686479656</v>
      </c>
    </row>
    <row r="219" spans="1:68">
      <c r="A219" s="11">
        <v>213</v>
      </c>
      <c r="C219" s="27">
        <v>0.92055118964955873</v>
      </c>
      <c r="D219" s="27">
        <v>7.9448810350441268E-2</v>
      </c>
      <c r="E219" s="27">
        <v>0</v>
      </c>
      <c r="F219" s="27">
        <v>0.85893727823561972</v>
      </c>
      <c r="G219" s="27">
        <v>0.14106272176438031</v>
      </c>
      <c r="H219" s="27">
        <v>0</v>
      </c>
      <c r="I219" s="27">
        <v>0.75345682815826054</v>
      </c>
      <c r="J219" s="27">
        <v>0.24654317184173952</v>
      </c>
      <c r="K219" s="27">
        <v>0</v>
      </c>
      <c r="L219" s="27">
        <v>0.18456066954666717</v>
      </c>
      <c r="M219" s="27">
        <v>0.48371352001795981</v>
      </c>
      <c r="N219" s="27">
        <v>0.33172581043537297</v>
      </c>
      <c r="O219" s="27">
        <v>-11.084350501780932</v>
      </c>
      <c r="P219" s="27">
        <v>2.8921063077893612E-2</v>
      </c>
      <c r="Q219" s="27">
        <v>5.1720007838229583E-5</v>
      </c>
      <c r="R219" s="27">
        <v>1.1110240383175551</v>
      </c>
      <c r="S219" s="154"/>
      <c r="T219">
        <v>0.88875859643087385</v>
      </c>
      <c r="U219">
        <v>2.3647541164776236</v>
      </c>
      <c r="V219">
        <v>3.1299968823737183</v>
      </c>
      <c r="W219">
        <v>1</v>
      </c>
      <c r="Y219" s="2">
        <v>2289.5624116517483</v>
      </c>
      <c r="Z219" s="2">
        <v>3757.4044802183066</v>
      </c>
      <c r="AA219" s="2">
        <v>1325.5159989076246</v>
      </c>
      <c r="AB219" s="2">
        <v>8036.07718644754</v>
      </c>
      <c r="AC219" s="2">
        <v>940.44611028939698</v>
      </c>
      <c r="AD219" s="2">
        <v>476.6386615018634</v>
      </c>
      <c r="AE219" s="2">
        <v>580.87724807420227</v>
      </c>
      <c r="AF219" s="2">
        <v>1284.3397499346795</v>
      </c>
      <c r="AG219" s="2">
        <v>140.24591522640711</v>
      </c>
      <c r="AH219" s="2">
        <v>244.15459740682195</v>
      </c>
      <c r="AI219" s="2">
        <v>379843.20313625672</v>
      </c>
      <c r="AJ219" s="2">
        <v>351853.59058405377</v>
      </c>
      <c r="AL219" s="27">
        <v>0.91318232839214419</v>
      </c>
      <c r="AM219" s="27">
        <v>0.91782642990396379</v>
      </c>
      <c r="AN219" s="27">
        <v>0.90647564738932007</v>
      </c>
      <c r="AO219" s="27">
        <v>0.83922640574522445</v>
      </c>
      <c r="AP219" s="27">
        <v>0.73672810131821653</v>
      </c>
      <c r="AQ219" s="27">
        <v>0.91318232839214419</v>
      </c>
      <c r="AR219" s="27">
        <v>0.91782642990396379</v>
      </c>
      <c r="AS219" s="27">
        <v>0.90647564738932007</v>
      </c>
      <c r="AT219" s="27">
        <v>0.83922640574522445</v>
      </c>
      <c r="AU219" s="27">
        <v>0.73672810131821653</v>
      </c>
      <c r="AW219" s="1">
        <v>13.74004157844945</v>
      </c>
      <c r="AX219" s="1">
        <v>15.669678828205813</v>
      </c>
      <c r="AY219" s="2">
        <v>1376264.1934869108</v>
      </c>
      <c r="AZ219" s="1">
        <v>15.341668592865389</v>
      </c>
      <c r="BA219" s="1">
        <v>17.26237077726303</v>
      </c>
      <c r="BB219" s="2">
        <v>1120652.3320261508</v>
      </c>
      <c r="BC219" s="2">
        <f t="shared" si="28"/>
        <v>-255611.86146076</v>
      </c>
      <c r="BD219" s="292">
        <f t="shared" si="29"/>
        <v>1.6016270144159392</v>
      </c>
      <c r="BF219" s="170">
        <f t="shared" si="24"/>
        <v>822142.45906500099</v>
      </c>
      <c r="BG219" s="2">
        <f t="shared" si="25"/>
        <v>1334014.6428323116</v>
      </c>
      <c r="BI219">
        <f t="shared" si="26"/>
        <v>0</v>
      </c>
      <c r="BJ219" s="95">
        <f t="shared" si="27"/>
        <v>1</v>
      </c>
      <c r="BP219" s="217">
        <f t="shared" si="30"/>
        <v>1334014.6428323116</v>
      </c>
    </row>
    <row r="220" spans="1:68">
      <c r="A220" s="11">
        <v>214</v>
      </c>
      <c r="C220" s="27">
        <v>0.92638826116431316</v>
      </c>
      <c r="D220" s="27">
        <v>7.3611738835686849E-2</v>
      </c>
      <c r="E220" s="27">
        <v>0</v>
      </c>
      <c r="F220" s="27">
        <v>0.86203350740805307</v>
      </c>
      <c r="G220" s="27">
        <v>0.13796649259194693</v>
      </c>
      <c r="H220" s="27">
        <v>0</v>
      </c>
      <c r="I220" s="27">
        <v>0.7460390942465166</v>
      </c>
      <c r="J220" s="27">
        <v>0.2539609057534834</v>
      </c>
      <c r="K220" s="27">
        <v>0</v>
      </c>
      <c r="L220" s="27">
        <v>8.2772961674031253E-2</v>
      </c>
      <c r="M220" s="27">
        <v>0.50944725202967622</v>
      </c>
      <c r="N220" s="27">
        <v>0.40777978629629252</v>
      </c>
      <c r="O220" s="27">
        <v>-10.671569764975359</v>
      </c>
      <c r="P220" s="27">
        <v>2.8874494213270777E-2</v>
      </c>
      <c r="Q220" s="27">
        <v>7.7996936474185243E-5</v>
      </c>
      <c r="R220" s="27">
        <v>1.0513344195857741</v>
      </c>
      <c r="S220" s="154"/>
      <c r="T220">
        <v>1.031779434635639</v>
      </c>
      <c r="U220">
        <v>2.2757074476516554</v>
      </c>
      <c r="V220">
        <v>3.2370087957707989</v>
      </c>
      <c r="W220">
        <v>1</v>
      </c>
      <c r="Y220" s="2">
        <v>31.372896870818227</v>
      </c>
      <c r="Z220" s="2">
        <v>7653.9318136702132</v>
      </c>
      <c r="AA220" s="2">
        <v>1060.1539659580358</v>
      </c>
      <c r="AB220" s="2">
        <v>1290.1947949223909</v>
      </c>
      <c r="AC220" s="2">
        <v>46.706614205163866</v>
      </c>
      <c r="AD220" s="2">
        <v>119.12927599879123</v>
      </c>
      <c r="AE220" s="2">
        <v>543.60272958396297</v>
      </c>
      <c r="AF220" s="2">
        <v>918.01700740326976</v>
      </c>
      <c r="AG220" s="2">
        <v>149.57885025610793</v>
      </c>
      <c r="AH220" s="2">
        <v>580.16212226750508</v>
      </c>
      <c r="AI220" s="2">
        <v>686358.21242712031</v>
      </c>
      <c r="AJ220" s="2">
        <v>639093.91551583225</v>
      </c>
      <c r="AL220" s="27">
        <v>0.91813919308907976</v>
      </c>
      <c r="AM220" s="27">
        <v>0.91810345833316076</v>
      </c>
      <c r="AN220" s="27">
        <v>0.90353565914893663</v>
      </c>
      <c r="AO220" s="27">
        <v>0.79538731422322406</v>
      </c>
      <c r="AP220" s="27">
        <v>0.60895486707096536</v>
      </c>
      <c r="AQ220" s="27">
        <v>0.91813919308907976</v>
      </c>
      <c r="AR220" s="27">
        <v>0.91810345833316076</v>
      </c>
      <c r="AS220" s="27">
        <v>0.90353565914893663</v>
      </c>
      <c r="AT220" s="27">
        <v>0.79538731422322406</v>
      </c>
      <c r="AU220" s="27">
        <v>0.60895486707096536</v>
      </c>
      <c r="AW220" s="1">
        <v>13.138134037506006</v>
      </c>
      <c r="AX220" s="1">
        <v>15.439589228836162</v>
      </c>
      <c r="AY220" s="2">
        <v>2525233.5412282883</v>
      </c>
      <c r="AZ220" s="1">
        <v>15.217875596559947</v>
      </c>
      <c r="BA220" s="1">
        <v>17.379592469157807</v>
      </c>
      <c r="BB220" s="2">
        <v>1714361.2284159716</v>
      </c>
      <c r="BC220" s="2">
        <f t="shared" si="28"/>
        <v>-810872.3128123167</v>
      </c>
      <c r="BD220" s="292">
        <f t="shared" si="29"/>
        <v>2.0797415590539412</v>
      </c>
      <c r="BF220" s="170">
        <f t="shared" si="24"/>
        <v>-423132.0952273272</v>
      </c>
      <c r="BG220" s="2">
        <f t="shared" si="25"/>
        <v>720498.8670336199</v>
      </c>
      <c r="BI220">
        <f t="shared" si="26"/>
        <v>0</v>
      </c>
      <c r="BJ220" s="95">
        <f t="shared" si="27"/>
        <v>1</v>
      </c>
      <c r="BP220" s="217">
        <f t="shared" si="30"/>
        <v>720498.8670336199</v>
      </c>
    </row>
    <row r="221" spans="1:68">
      <c r="A221" s="11">
        <v>215</v>
      </c>
      <c r="C221" s="27">
        <v>0.92324004909448298</v>
      </c>
      <c r="D221" s="27">
        <v>7.6759950905517071E-2</v>
      </c>
      <c r="E221" s="27">
        <v>0</v>
      </c>
      <c r="F221" s="27">
        <v>0.8630986745957131</v>
      </c>
      <c r="G221" s="27">
        <v>0.13690132540428693</v>
      </c>
      <c r="H221" s="27">
        <v>0</v>
      </c>
      <c r="I221" s="27">
        <v>0.75702353660804744</v>
      </c>
      <c r="J221" s="27">
        <v>0.24297646339195253</v>
      </c>
      <c r="K221" s="27">
        <v>0</v>
      </c>
      <c r="L221" s="27">
        <v>0.18269911494141722</v>
      </c>
      <c r="M221" s="27">
        <v>0.4476782803322506</v>
      </c>
      <c r="N221" s="27">
        <v>0.36962260472633224</v>
      </c>
      <c r="O221" s="27">
        <v>-10.918764993908285</v>
      </c>
      <c r="P221" s="27">
        <v>2.9819641235872427E-2</v>
      </c>
      <c r="Q221" s="27">
        <v>6.3381403356473203E-5</v>
      </c>
      <c r="R221" s="27">
        <v>1.0697914394911552</v>
      </c>
      <c r="S221" s="154"/>
      <c r="T221">
        <v>0.94931071658935107</v>
      </c>
      <c r="U221">
        <v>2.2881682448649898</v>
      </c>
      <c r="V221">
        <v>3.0265333952317826</v>
      </c>
      <c r="W221">
        <v>1</v>
      </c>
      <c r="Y221" s="2">
        <v>248.14701300852175</v>
      </c>
      <c r="Z221" s="2">
        <v>5036.8097596545122</v>
      </c>
      <c r="AA221" s="2">
        <v>233.70183657836154</v>
      </c>
      <c r="AB221" s="2">
        <v>2218.0247698617004</v>
      </c>
      <c r="AC221" s="2">
        <v>1531.1631697949063</v>
      </c>
      <c r="AD221" s="2">
        <v>759.19832904741884</v>
      </c>
      <c r="AE221" s="2">
        <v>622.2861152172087</v>
      </c>
      <c r="AF221" s="2">
        <v>697.03528162303905</v>
      </c>
      <c r="AG221" s="2">
        <v>80.656993490061623</v>
      </c>
      <c r="AH221" s="2">
        <v>441.91408733497735</v>
      </c>
      <c r="AI221" s="2">
        <v>523471.9024155059</v>
      </c>
      <c r="AJ221" s="2">
        <v>494522.85099881404</v>
      </c>
      <c r="AL221" s="27">
        <v>0.9129115892705878</v>
      </c>
      <c r="AM221" s="27">
        <v>0.91738663333338222</v>
      </c>
      <c r="AN221" s="27">
        <v>0.90223727684061383</v>
      </c>
      <c r="AO221" s="27">
        <v>0.83971591015309421</v>
      </c>
      <c r="AP221" s="27">
        <v>0.69244742715480334</v>
      </c>
      <c r="AQ221" s="27">
        <v>0.9129115892705878</v>
      </c>
      <c r="AR221" s="27">
        <v>0.91738663333338222</v>
      </c>
      <c r="AS221" s="27">
        <v>0.90223727684061383</v>
      </c>
      <c r="AT221" s="27">
        <v>0.83971591015309421</v>
      </c>
      <c r="AU221" s="27">
        <v>0.69244742715480334</v>
      </c>
      <c r="AW221" s="1">
        <v>13.586764436981568</v>
      </c>
      <c r="AX221" s="1">
        <v>15.651053226731388</v>
      </c>
      <c r="AY221" s="2">
        <v>1898477.6542292177</v>
      </c>
      <c r="AZ221" s="1">
        <v>15.352702555244354</v>
      </c>
      <c r="BA221" s="1">
        <v>17.372184419875754</v>
      </c>
      <c r="BB221" s="2">
        <v>1342919.3585688882</v>
      </c>
      <c r="BC221" s="2">
        <f t="shared" si="28"/>
        <v>-555558.29566032952</v>
      </c>
      <c r="BD221" s="292">
        <f t="shared" si="29"/>
        <v>1.7659381182627865</v>
      </c>
      <c r="BF221" s="170">
        <f t="shared" si="24"/>
        <v>275404.6556878332</v>
      </c>
      <c r="BG221" s="2">
        <f t="shared" si="25"/>
        <v>1113513.0502702086</v>
      </c>
      <c r="BI221">
        <f t="shared" si="26"/>
        <v>0</v>
      </c>
      <c r="BJ221" s="95">
        <f t="shared" si="27"/>
        <v>1</v>
      </c>
      <c r="BP221" s="217">
        <f t="shared" si="30"/>
        <v>1113513.0502702086</v>
      </c>
    </row>
    <row r="222" spans="1:68">
      <c r="A222" s="11">
        <v>216</v>
      </c>
      <c r="C222" s="27">
        <v>0.92288694308668495</v>
      </c>
      <c r="D222" s="27">
        <v>7.7113056913315048E-2</v>
      </c>
      <c r="E222" s="27">
        <v>0</v>
      </c>
      <c r="F222" s="27">
        <v>0.85866776625741914</v>
      </c>
      <c r="G222" s="27">
        <v>0.14133223374258083</v>
      </c>
      <c r="H222" s="27">
        <v>0</v>
      </c>
      <c r="I222" s="27">
        <v>0.74916131407045827</v>
      </c>
      <c r="J222" s="27">
        <v>0.25083868592954173</v>
      </c>
      <c r="K222" s="27">
        <v>0</v>
      </c>
      <c r="L222" s="27">
        <v>0.18954478662877405</v>
      </c>
      <c r="M222" s="27">
        <v>0.4356860383767539</v>
      </c>
      <c r="N222" s="27">
        <v>0.37476917499447204</v>
      </c>
      <c r="O222" s="27">
        <v>-10.971456762589076</v>
      </c>
      <c r="P222" s="27">
        <v>3.3298546047921436E-2</v>
      </c>
      <c r="Q222" s="27">
        <v>6.9588041106033045E-5</v>
      </c>
      <c r="R222" s="27">
        <v>1.0594502152597169</v>
      </c>
      <c r="S222" s="154"/>
      <c r="T222">
        <v>1.0293894970038615</v>
      </c>
      <c r="U222">
        <v>2.2343964614366154</v>
      </c>
      <c r="V222">
        <v>3.0750103569115788</v>
      </c>
      <c r="W222">
        <v>1</v>
      </c>
      <c r="Y222" s="2">
        <v>620.99298722368223</v>
      </c>
      <c r="Z222" s="2">
        <v>2540.4870629426287</v>
      </c>
      <c r="AA222" s="2">
        <v>935.69935067773429</v>
      </c>
      <c r="AB222" s="2">
        <v>1499.0493518363091</v>
      </c>
      <c r="AC222" s="2">
        <v>961.17680132826001</v>
      </c>
      <c r="AD222" s="2">
        <v>529.11004883817566</v>
      </c>
      <c r="AE222" s="2">
        <v>474.07402217028419</v>
      </c>
      <c r="AF222" s="2">
        <v>1122.4179943356924</v>
      </c>
      <c r="AG222" s="2">
        <v>153.86540787480837</v>
      </c>
      <c r="AH222" s="2">
        <v>354.14264061680262</v>
      </c>
      <c r="AI222" s="2">
        <v>436099.33246706554</v>
      </c>
      <c r="AJ222" s="2">
        <v>401712.13734839088</v>
      </c>
      <c r="AL222" s="27">
        <v>0.92030763848575103</v>
      </c>
      <c r="AM222" s="27">
        <v>0.91315087166232711</v>
      </c>
      <c r="AN222" s="27">
        <v>0.90619258030771999</v>
      </c>
      <c r="AO222" s="27">
        <v>0.89377035670630378</v>
      </c>
      <c r="AP222" s="27">
        <v>0.79930701098214296</v>
      </c>
      <c r="AQ222" s="27">
        <v>0.92030763848575103</v>
      </c>
      <c r="AR222" s="27">
        <v>0.91315087166232711</v>
      </c>
      <c r="AS222" s="27">
        <v>0.90619258030771999</v>
      </c>
      <c r="AT222" s="27">
        <v>0.89377035670630378</v>
      </c>
      <c r="AU222" s="27">
        <v>0.79930701098214296</v>
      </c>
      <c r="AW222" s="1">
        <v>13.69327366254663</v>
      </c>
      <c r="AX222" s="1">
        <v>15.327248685806232</v>
      </c>
      <c r="AY222" s="2">
        <v>1567290.7530261581</v>
      </c>
      <c r="AZ222" s="1">
        <v>15.556707452320753</v>
      </c>
      <c r="BA222" s="1">
        <v>17.255708835941707</v>
      </c>
      <c r="BB222" s="2">
        <v>1111648.42045749</v>
      </c>
      <c r="BC222" s="2">
        <f t="shared" si="28"/>
        <v>-455642.33256866806</v>
      </c>
      <c r="BD222" s="292">
        <f t="shared" si="29"/>
        <v>1.8634337897741222</v>
      </c>
      <c r="BF222" s="170">
        <f t="shared" si="24"/>
        <v>623633.03298130259</v>
      </c>
      <c r="BG222" s="2">
        <f t="shared" si="25"/>
        <v>1377424.7719138304</v>
      </c>
      <c r="BI222">
        <f t="shared" si="26"/>
        <v>0</v>
      </c>
      <c r="BJ222" s="95">
        <f t="shared" si="27"/>
        <v>1</v>
      </c>
      <c r="BP222" s="217">
        <f t="shared" si="30"/>
        <v>1377424.7719138304</v>
      </c>
    </row>
    <row r="223" spans="1:68">
      <c r="A223" s="11">
        <v>217</v>
      </c>
      <c r="C223" s="27">
        <v>0.92337168948265413</v>
      </c>
      <c r="D223" s="27">
        <v>7.6628310517345866E-2</v>
      </c>
      <c r="E223" s="27">
        <v>0</v>
      </c>
      <c r="F223" s="27">
        <v>0.8572086040938699</v>
      </c>
      <c r="G223" s="27">
        <v>0.14279139590613013</v>
      </c>
      <c r="H223" s="27">
        <v>0</v>
      </c>
      <c r="I223" s="27">
        <v>0.75342087415670589</v>
      </c>
      <c r="J223" s="27">
        <v>0.24657912584329406</v>
      </c>
      <c r="K223" s="27">
        <v>0</v>
      </c>
      <c r="L223" s="27">
        <v>9.9937167098142599E-2</v>
      </c>
      <c r="M223" s="27">
        <v>0.51521158230964992</v>
      </c>
      <c r="N223" s="27">
        <v>0.38485125059220748</v>
      </c>
      <c r="O223" s="27">
        <v>-11.144173474617698</v>
      </c>
      <c r="P223" s="27">
        <v>3.4348714137059887E-2</v>
      </c>
      <c r="Q223" s="27">
        <v>6.118995714429164E-5</v>
      </c>
      <c r="R223" s="27">
        <v>1.0705704864205496</v>
      </c>
      <c r="S223" s="154"/>
      <c r="T223">
        <v>1.209583905975911</v>
      </c>
      <c r="U223">
        <v>2.2621235388807066</v>
      </c>
      <c r="V223">
        <v>2.8664666661882188</v>
      </c>
      <c r="W223">
        <v>1</v>
      </c>
      <c r="Y223" s="2">
        <v>1386.9674800621076</v>
      </c>
      <c r="Z223" s="2">
        <v>3557.3234467941616</v>
      </c>
      <c r="AA223" s="2">
        <v>1089.8529736622247</v>
      </c>
      <c r="AB223" s="2">
        <v>3955.2052170706183</v>
      </c>
      <c r="AC223" s="2">
        <v>1191.1774726826861</v>
      </c>
      <c r="AD223" s="2">
        <v>609.19758797485804</v>
      </c>
      <c r="AE223" s="2">
        <v>628.03759180839268</v>
      </c>
      <c r="AF223" s="2">
        <v>1190.5123833084281</v>
      </c>
      <c r="AG223" s="2">
        <v>139.81153743935874</v>
      </c>
      <c r="AH223" s="2">
        <v>383.22696453095824</v>
      </c>
      <c r="AI223" s="2">
        <v>474977.00365766248</v>
      </c>
      <c r="AJ223" s="2">
        <v>435092.46761573543</v>
      </c>
      <c r="AL223" s="27">
        <v>0.9160835486815232</v>
      </c>
      <c r="AM223" s="27">
        <v>0.91391265186517501</v>
      </c>
      <c r="AN223" s="27">
        <v>0.91804604286150793</v>
      </c>
      <c r="AO223" s="27">
        <v>0.86577229253280985</v>
      </c>
      <c r="AP223" s="27">
        <v>0.66762331694210442</v>
      </c>
      <c r="AQ223" s="27">
        <v>0.9160835486815232</v>
      </c>
      <c r="AR223" s="27">
        <v>0.91391265186517501</v>
      </c>
      <c r="AS223" s="27">
        <v>0.91804604286150793</v>
      </c>
      <c r="AT223" s="27">
        <v>0.86577229253280985</v>
      </c>
      <c r="AU223" s="27">
        <v>0.66762331694210442</v>
      </c>
      <c r="AW223" s="1">
        <v>12.914536784203085</v>
      </c>
      <c r="AX223" s="1">
        <v>15.091961673279348</v>
      </c>
      <c r="AY223" s="2">
        <v>1971589.4012720396</v>
      </c>
      <c r="AZ223" s="1">
        <v>15.333209690658421</v>
      </c>
      <c r="BA223" s="1">
        <v>17.3891220183074</v>
      </c>
      <c r="BB223" s="2">
        <v>1330776.6528523173</v>
      </c>
      <c r="BC223" s="2">
        <f t="shared" si="28"/>
        <v>-640812.74841972231</v>
      </c>
      <c r="BD223" s="292">
        <f t="shared" si="29"/>
        <v>2.4186729064553365</v>
      </c>
      <c r="BF223" s="170">
        <f t="shared" si="24"/>
        <v>94736.484200453851</v>
      </c>
      <c r="BG223" s="2">
        <f t="shared" si="25"/>
        <v>1122536.8976530302</v>
      </c>
      <c r="BI223">
        <f t="shared" si="26"/>
        <v>0</v>
      </c>
      <c r="BJ223" s="95">
        <f t="shared" si="27"/>
        <v>1</v>
      </c>
      <c r="BP223" s="217">
        <f t="shared" si="30"/>
        <v>1122536.8976530302</v>
      </c>
    </row>
    <row r="224" spans="1:68">
      <c r="A224" s="11">
        <v>218</v>
      </c>
      <c r="C224" s="27">
        <v>0.92224081938299518</v>
      </c>
      <c r="D224" s="27">
        <v>7.7759180617004819E-2</v>
      </c>
      <c r="E224" s="27">
        <v>0</v>
      </c>
      <c r="F224" s="27">
        <v>0.85390844000499155</v>
      </c>
      <c r="G224" s="27">
        <v>0.14609155999500845</v>
      </c>
      <c r="H224" s="27">
        <v>0</v>
      </c>
      <c r="I224" s="27">
        <v>0.75349191459023834</v>
      </c>
      <c r="J224" s="27">
        <v>0.24650808540976171</v>
      </c>
      <c r="K224" s="27">
        <v>0</v>
      </c>
      <c r="L224" s="27">
        <v>0.12293415366091109</v>
      </c>
      <c r="M224" s="27">
        <v>0.47735834384618192</v>
      </c>
      <c r="N224" s="27">
        <v>0.39970750249290699</v>
      </c>
      <c r="O224" s="27">
        <v>-11.23468769450316</v>
      </c>
      <c r="P224" s="27">
        <v>3.3123512723344725E-2</v>
      </c>
      <c r="Q224" s="27">
        <v>5.3091157971679138E-5</v>
      </c>
      <c r="R224" s="27">
        <v>1.0978504985096096</v>
      </c>
      <c r="S224" s="154"/>
      <c r="T224">
        <v>1.0206008855466753</v>
      </c>
      <c r="U224">
        <v>2.252387998060478</v>
      </c>
      <c r="V224">
        <v>3.2373082479904012</v>
      </c>
      <c r="W224">
        <v>1</v>
      </c>
      <c r="Y224" s="2">
        <v>1069.281491762961</v>
      </c>
      <c r="Z224" s="2">
        <v>2850.1944430032718</v>
      </c>
      <c r="AA224" s="2">
        <v>724.50260922875555</v>
      </c>
      <c r="AB224" s="2">
        <v>10350.42662471167</v>
      </c>
      <c r="AC224" s="2">
        <v>668.74163518959324</v>
      </c>
      <c r="AD224" s="2">
        <v>1294.7370459312931</v>
      </c>
      <c r="AE224" s="2">
        <v>538.05333481430137</v>
      </c>
      <c r="AF224" s="2">
        <v>1004.1339986424592</v>
      </c>
      <c r="AG224" s="2">
        <v>127.7002394771559</v>
      </c>
      <c r="AH224" s="2">
        <v>229.1294137905675</v>
      </c>
      <c r="AI224" s="2">
        <v>460287.51752393285</v>
      </c>
      <c r="AJ224" s="2">
        <v>413045.42773009057</v>
      </c>
      <c r="AL224" s="27">
        <v>0.9199977618189239</v>
      </c>
      <c r="AM224" s="27">
        <v>0.91563455689253681</v>
      </c>
      <c r="AN224" s="27">
        <v>0.90732723231107615</v>
      </c>
      <c r="AO224" s="27">
        <v>0.87309383148396236</v>
      </c>
      <c r="AP224" s="27">
        <v>0.74212376420031112</v>
      </c>
      <c r="AQ224" s="27">
        <v>0.9199977618189239</v>
      </c>
      <c r="AR224" s="27">
        <v>0.91563455689253681</v>
      </c>
      <c r="AS224" s="27">
        <v>0.90732723231107615</v>
      </c>
      <c r="AT224" s="27">
        <v>0.87309383148396236</v>
      </c>
      <c r="AU224" s="27">
        <v>0.74212376420031112</v>
      </c>
      <c r="AW224" s="1">
        <v>13.358081530251008</v>
      </c>
      <c r="AX224" s="1">
        <v>15.155012469276528</v>
      </c>
      <c r="AY224" s="2">
        <v>1593410.5477891755</v>
      </c>
      <c r="AZ224" s="1">
        <v>15.320159609410441</v>
      </c>
      <c r="BA224" s="1">
        <v>17.128891728706524</v>
      </c>
      <c r="BB224" s="2">
        <v>1281165.7515617178</v>
      </c>
      <c r="BC224" s="2">
        <f t="shared" si="28"/>
        <v>-312244.7962274577</v>
      </c>
      <c r="BD224" s="292">
        <f t="shared" si="29"/>
        <v>1.9620780791594328</v>
      </c>
      <c r="BF224" s="170">
        <f t="shared" si="24"/>
        <v>543882.49705098569</v>
      </c>
      <c r="BG224" s="2">
        <f t="shared" si="25"/>
        <v>1170059.7859439526</v>
      </c>
      <c r="BI224">
        <f t="shared" si="26"/>
        <v>0</v>
      </c>
      <c r="BJ224" s="95">
        <f t="shared" si="27"/>
        <v>1</v>
      </c>
      <c r="BP224" s="217">
        <f t="shared" si="30"/>
        <v>1170059.7859439526</v>
      </c>
    </row>
    <row r="225" spans="1:68">
      <c r="A225" s="11">
        <v>219</v>
      </c>
      <c r="C225" s="27">
        <v>0.91904853393258812</v>
      </c>
      <c r="D225" s="27">
        <v>8.0951466067411881E-2</v>
      </c>
      <c r="E225" s="27">
        <v>0</v>
      </c>
      <c r="F225" s="27">
        <v>0.85566478575406102</v>
      </c>
      <c r="G225" s="27">
        <v>0.14433521424593898</v>
      </c>
      <c r="H225" s="27">
        <v>0</v>
      </c>
      <c r="I225" s="27">
        <v>0.7495184720261735</v>
      </c>
      <c r="J225" s="27">
        <v>0.2504815279738265</v>
      </c>
      <c r="K225" s="27">
        <v>0</v>
      </c>
      <c r="L225" s="27">
        <v>0.13327144248870548</v>
      </c>
      <c r="M225" s="27">
        <v>0.48585115496728815</v>
      </c>
      <c r="N225" s="27">
        <v>0.38087740254400637</v>
      </c>
      <c r="O225" s="27">
        <v>-11.234864799758855</v>
      </c>
      <c r="P225" s="27">
        <v>3.3984191639912613E-2</v>
      </c>
      <c r="Q225" s="27">
        <v>5.5035685773745439E-5</v>
      </c>
      <c r="R225" s="27">
        <v>1.0886338498968418</v>
      </c>
      <c r="S225" s="154"/>
      <c r="T225">
        <v>1.0687917149683022</v>
      </c>
      <c r="U225">
        <v>2.2384637278566233</v>
      </c>
      <c r="V225">
        <v>2.9803818073739796</v>
      </c>
      <c r="W225">
        <v>1</v>
      </c>
      <c r="Y225" s="2">
        <v>302.69889505139923</v>
      </c>
      <c r="Z225" s="2">
        <v>7162.8444062950839</v>
      </c>
      <c r="AA225" s="2">
        <v>1227.133702810251</v>
      </c>
      <c r="AB225" s="2">
        <v>10712.476946836214</v>
      </c>
      <c r="AC225" s="2">
        <v>2573.8613743090441</v>
      </c>
      <c r="AD225" s="2">
        <v>1336.1492377480763</v>
      </c>
      <c r="AE225" s="2">
        <v>543.37420938341222</v>
      </c>
      <c r="AF225" s="2">
        <v>754.85528297054043</v>
      </c>
      <c r="AG225" s="2">
        <v>98.5392228584507</v>
      </c>
      <c r="AH225" s="2">
        <v>366.16453829359915</v>
      </c>
      <c r="AI225" s="2">
        <v>518691.06780973618</v>
      </c>
      <c r="AJ225" s="2">
        <v>485865.10082795814</v>
      </c>
      <c r="AL225" s="27">
        <v>0.91402522716626455</v>
      </c>
      <c r="AM225" s="27">
        <v>0.9146496728365211</v>
      </c>
      <c r="AN225" s="27">
        <v>0.90991103085973857</v>
      </c>
      <c r="AO225" s="27">
        <v>0.91708200764771575</v>
      </c>
      <c r="AP225" s="27">
        <v>0.75414079100136266</v>
      </c>
      <c r="AQ225" s="27">
        <v>0.91402522716626455</v>
      </c>
      <c r="AR225" s="27">
        <v>0.9146496728365211</v>
      </c>
      <c r="AS225" s="27">
        <v>0.90991103085973857</v>
      </c>
      <c r="AT225" s="27">
        <v>0.91708200764771575</v>
      </c>
      <c r="AU225" s="27">
        <v>0.75414079100136266</v>
      </c>
      <c r="AW225" s="1">
        <v>13.294189864774125</v>
      </c>
      <c r="AX225" s="1">
        <v>15.116497743452801</v>
      </c>
      <c r="AY225" s="2">
        <v>2084705.3528687488</v>
      </c>
      <c r="AZ225" s="1">
        <v>15.317645209796602</v>
      </c>
      <c r="BA225" s="1">
        <v>17.157466899034024</v>
      </c>
      <c r="BB225" s="2">
        <v>1567310.1217556256</v>
      </c>
      <c r="BC225" s="2">
        <f t="shared" si="28"/>
        <v>-517395.23111312324</v>
      </c>
      <c r="BD225" s="292">
        <f t="shared" si="29"/>
        <v>2.0234553450224766</v>
      </c>
      <c r="BF225" s="170">
        <f t="shared" si="24"/>
        <v>42365.025495111011</v>
      </c>
      <c r="BG225" s="2">
        <f t="shared" si="25"/>
        <v>883513.11181183066</v>
      </c>
      <c r="BI225">
        <f t="shared" si="26"/>
        <v>0</v>
      </c>
      <c r="BJ225" s="95">
        <f t="shared" si="27"/>
        <v>1</v>
      </c>
      <c r="BP225" s="217">
        <f t="shared" si="30"/>
        <v>883513.11181183066</v>
      </c>
    </row>
    <row r="226" spans="1:68">
      <c r="A226" s="11">
        <v>220</v>
      </c>
      <c r="C226" s="27">
        <v>0.92225006269898735</v>
      </c>
      <c r="D226" s="27">
        <v>7.774993730101265E-2</v>
      </c>
      <c r="E226" s="27">
        <v>0</v>
      </c>
      <c r="F226" s="27">
        <v>0.85167533961553932</v>
      </c>
      <c r="G226" s="27">
        <v>0.14832466038446068</v>
      </c>
      <c r="H226" s="27">
        <v>0</v>
      </c>
      <c r="I226" s="27">
        <v>0.7495036137312977</v>
      </c>
      <c r="J226" s="27">
        <v>0.2504963862687023</v>
      </c>
      <c r="K226" s="27">
        <v>0</v>
      </c>
      <c r="L226" s="27">
        <v>6.6102927393265065E-2</v>
      </c>
      <c r="M226" s="27">
        <v>0.54398281410281446</v>
      </c>
      <c r="N226" s="27">
        <v>0.38991425850392047</v>
      </c>
      <c r="O226" s="27">
        <v>-10.733869270721923</v>
      </c>
      <c r="P226" s="27">
        <v>3.2532376849491708E-2</v>
      </c>
      <c r="Q226" s="27">
        <v>8.5455956530559608E-5</v>
      </c>
      <c r="R226" s="27">
        <v>1.0351094195118149</v>
      </c>
      <c r="S226" s="154"/>
      <c r="T226">
        <v>1.0157425145375716</v>
      </c>
      <c r="U226">
        <v>2.2443785556254032</v>
      </c>
      <c r="V226">
        <v>3.0061989493003174</v>
      </c>
      <c r="W226">
        <v>1</v>
      </c>
      <c r="Y226" s="2">
        <v>2320.7432872505174</v>
      </c>
      <c r="Z226" s="2">
        <v>458.90860387650207</v>
      </c>
      <c r="AA226" s="2">
        <v>2674.0877586106512</v>
      </c>
      <c r="AB226" s="2">
        <v>309.24826532236273</v>
      </c>
      <c r="AC226" s="2">
        <v>448.53645864632699</v>
      </c>
      <c r="AD226" s="2">
        <v>1312.5972425164684</v>
      </c>
      <c r="AE226" s="2">
        <v>581.33658931783805</v>
      </c>
      <c r="AF226" s="2">
        <v>1304.3183023397021</v>
      </c>
      <c r="AG226" s="2">
        <v>109.19458106049508</v>
      </c>
      <c r="AH226" s="2">
        <v>524.07928454480123</v>
      </c>
      <c r="AI226" s="2">
        <v>449510.3751840943</v>
      </c>
      <c r="AJ226" s="2">
        <v>395973.66131409863</v>
      </c>
      <c r="AL226" s="27">
        <v>0.91046450896746689</v>
      </c>
      <c r="AM226" s="27">
        <v>0.91533636824310904</v>
      </c>
      <c r="AN226" s="27">
        <v>0.90130681487910558</v>
      </c>
      <c r="AO226" s="27">
        <v>0.85913254239809433</v>
      </c>
      <c r="AP226" s="27">
        <v>0.60228677450172508</v>
      </c>
      <c r="AQ226" s="27">
        <v>0.91046450896746689</v>
      </c>
      <c r="AR226" s="27">
        <v>0.91533636824310904</v>
      </c>
      <c r="AS226" s="27">
        <v>0.90130681487910558</v>
      </c>
      <c r="AT226" s="27">
        <v>0.85913254239809433</v>
      </c>
      <c r="AU226" s="27">
        <v>0.60228677450172508</v>
      </c>
      <c r="AW226" s="1">
        <v>13.068674832824808</v>
      </c>
      <c r="AX226" s="1">
        <v>15.531872883572312</v>
      </c>
      <c r="AY226" s="2">
        <v>1701580.0252450311</v>
      </c>
      <c r="AZ226" s="1">
        <v>15.019536433866723</v>
      </c>
      <c r="BA226" s="1">
        <v>17.334762868416941</v>
      </c>
      <c r="BB226" s="2">
        <v>1260504.7032584099</v>
      </c>
      <c r="BC226" s="2">
        <f t="shared" si="28"/>
        <v>-441075.32198662125</v>
      </c>
      <c r="BD226" s="292">
        <f t="shared" si="29"/>
        <v>1.9508616010419146</v>
      </c>
      <c r="BF226" s="170">
        <f t="shared" si="24"/>
        <v>389407.94800693821</v>
      </c>
      <c r="BG226" s="2">
        <f t="shared" si="25"/>
        <v>1142621.1261602656</v>
      </c>
      <c r="BI226">
        <f t="shared" si="26"/>
        <v>0</v>
      </c>
      <c r="BJ226" s="95">
        <f t="shared" si="27"/>
        <v>1</v>
      </c>
      <c r="BP226" s="217">
        <f t="shared" si="30"/>
        <v>1142621.1261602656</v>
      </c>
    </row>
    <row r="227" spans="1:68">
      <c r="A227" s="11">
        <v>221</v>
      </c>
      <c r="C227" s="27">
        <v>0.923893105027905</v>
      </c>
      <c r="D227" s="27">
        <v>7.6106894972094982E-2</v>
      </c>
      <c r="E227" s="27">
        <v>0</v>
      </c>
      <c r="F227" s="27">
        <v>0.85764673354324472</v>
      </c>
      <c r="G227" s="27">
        <v>0.14235326645675533</v>
      </c>
      <c r="H227" s="27">
        <v>0</v>
      </c>
      <c r="I227" s="27">
        <v>0.75025910937622142</v>
      </c>
      <c r="J227" s="27">
        <v>0.24974089062377855</v>
      </c>
      <c r="K227" s="27">
        <v>0</v>
      </c>
      <c r="L227" s="27">
        <v>4.3154775361994857E-2</v>
      </c>
      <c r="M227" s="27">
        <v>0.52069652302360014</v>
      </c>
      <c r="N227" s="27">
        <v>0.436148701614405</v>
      </c>
      <c r="O227" s="27">
        <v>-11.075793088343447</v>
      </c>
      <c r="P227" s="27">
        <v>3.4624695161482054E-2</v>
      </c>
      <c r="Q227" s="27">
        <v>6.6284406032868803E-5</v>
      </c>
      <c r="R227" s="27">
        <v>1.0560903227540903</v>
      </c>
      <c r="S227" s="154"/>
      <c r="T227">
        <v>0.88209083391693488</v>
      </c>
      <c r="U227">
        <v>2.266131205243088</v>
      </c>
      <c r="V227">
        <v>2.968179533119597</v>
      </c>
      <c r="W227">
        <v>1</v>
      </c>
      <c r="Y227" s="2">
        <v>497.22139009907107</v>
      </c>
      <c r="Z227" s="2">
        <v>2766.6549722269997</v>
      </c>
      <c r="AA227" s="2">
        <v>574.04622919214808</v>
      </c>
      <c r="AB227" s="2">
        <v>2391.1456554956649</v>
      </c>
      <c r="AC227" s="2">
        <v>1937.4169828275708</v>
      </c>
      <c r="AD227" s="2">
        <v>285.63733850486972</v>
      </c>
      <c r="AE227" s="2">
        <v>591.75891701414446</v>
      </c>
      <c r="AF227" s="2">
        <v>1062.4703931890788</v>
      </c>
      <c r="AG227" s="2">
        <v>110.86863345436412</v>
      </c>
      <c r="AH227" s="2">
        <v>333.07263509597766</v>
      </c>
      <c r="AI227" s="2">
        <v>476979.66954271996</v>
      </c>
      <c r="AJ227" s="2">
        <v>447669.47014509712</v>
      </c>
      <c r="AL227" s="27">
        <v>0.91904166772174489</v>
      </c>
      <c r="AM227" s="27">
        <v>0.91828078676643465</v>
      </c>
      <c r="AN227" s="27">
        <v>0.90199811717394907</v>
      </c>
      <c r="AO227" s="27">
        <v>0.87936264877932291</v>
      </c>
      <c r="AP227" s="27">
        <v>0.70530703476096801</v>
      </c>
      <c r="AQ227" s="27">
        <v>0.91904166772174489</v>
      </c>
      <c r="AR227" s="27">
        <v>0.91828078676643465</v>
      </c>
      <c r="AS227" s="27">
        <v>0.90199811717394907</v>
      </c>
      <c r="AT227" s="27">
        <v>0.87936264877932291</v>
      </c>
      <c r="AU227" s="27">
        <v>0.70530703476096801</v>
      </c>
      <c r="AW227" s="1">
        <v>13.911125405146738</v>
      </c>
      <c r="AX227" s="1">
        <v>15.86301102686042</v>
      </c>
      <c r="AY227" s="2">
        <v>1708896.0343239957</v>
      </c>
      <c r="AZ227" s="1">
        <v>15.3807170695189</v>
      </c>
      <c r="BA227" s="1">
        <v>17.308709684520263</v>
      </c>
      <c r="BB227" s="2">
        <v>1290216.9192417553</v>
      </c>
      <c r="BC227" s="2">
        <f t="shared" si="28"/>
        <v>-418679.11508224043</v>
      </c>
      <c r="BD227" s="292">
        <f t="shared" si="29"/>
        <v>1.469591664372162</v>
      </c>
      <c r="BF227" s="170">
        <f t="shared" si="24"/>
        <v>516884.03049948229</v>
      </c>
      <c r="BG227" s="2">
        <f t="shared" si="25"/>
        <v>1170697.8118812689</v>
      </c>
      <c r="BI227">
        <f t="shared" si="26"/>
        <v>0</v>
      </c>
      <c r="BJ227" s="95">
        <f t="shared" si="27"/>
        <v>1</v>
      </c>
      <c r="BP227" s="217">
        <f t="shared" si="30"/>
        <v>1170697.8118812689</v>
      </c>
    </row>
    <row r="228" spans="1:68">
      <c r="A228" s="11">
        <v>222</v>
      </c>
      <c r="C228" s="27">
        <v>0.92326984807688284</v>
      </c>
      <c r="D228" s="27">
        <v>7.6730151923117135E-2</v>
      </c>
      <c r="E228" s="27">
        <v>0</v>
      </c>
      <c r="F228" s="27">
        <v>0.8570181696515331</v>
      </c>
      <c r="G228" s="27">
        <v>0.1429818303484669</v>
      </c>
      <c r="H228" s="27">
        <v>0</v>
      </c>
      <c r="I228" s="27">
        <v>0.75539522680604787</v>
      </c>
      <c r="J228" s="27">
        <v>0.2446047731939521</v>
      </c>
      <c r="K228" s="27">
        <v>0</v>
      </c>
      <c r="L228" s="27">
        <v>8.7923653893702658E-2</v>
      </c>
      <c r="M228" s="27">
        <v>0.53819782203030464</v>
      </c>
      <c r="N228" s="27">
        <v>0.3738785240759927</v>
      </c>
      <c r="O228" s="27">
        <v>-11.848640102233404</v>
      </c>
      <c r="P228" s="27">
        <v>3.7635794909421719E-2</v>
      </c>
      <c r="Q228" s="27">
        <v>3.4728957253329145E-5</v>
      </c>
      <c r="R228" s="27">
        <v>1.1507172901642291</v>
      </c>
      <c r="S228" s="154"/>
      <c r="T228">
        <v>0.93732268431599008</v>
      </c>
      <c r="U228">
        <v>2.2922044322202364</v>
      </c>
      <c r="V228">
        <v>2.9975506609339742</v>
      </c>
      <c r="W228">
        <v>1</v>
      </c>
      <c r="Y228" s="2">
        <v>50.66471603805374</v>
      </c>
      <c r="Z228" s="2">
        <v>2189.8428413116258</v>
      </c>
      <c r="AA228" s="2">
        <v>1429.6867220324143</v>
      </c>
      <c r="AB228" s="2">
        <v>2863.9758734313441</v>
      </c>
      <c r="AC228" s="2">
        <v>1242.0123807480136</v>
      </c>
      <c r="AD228" s="2">
        <v>2066.9561790213693</v>
      </c>
      <c r="AE228" s="2">
        <v>513.29934188215225</v>
      </c>
      <c r="AF228" s="2">
        <v>971.13741039971728</v>
      </c>
      <c r="AG228" s="2">
        <v>159.7178132647652</v>
      </c>
      <c r="AH228" s="2">
        <v>489.23594720321836</v>
      </c>
      <c r="AI228" s="2">
        <v>425863.99879238755</v>
      </c>
      <c r="AJ228" s="2">
        <v>402100.47001219058</v>
      </c>
      <c r="AL228" s="27">
        <v>0.92023074851559628</v>
      </c>
      <c r="AM228" s="27">
        <v>0.91504919350751979</v>
      </c>
      <c r="AN228" s="27">
        <v>0.91206908207667536</v>
      </c>
      <c r="AO228" s="27">
        <v>0.90189391181808587</v>
      </c>
      <c r="AP228" s="27">
        <v>0.69903787074657575</v>
      </c>
      <c r="AQ228" s="27">
        <v>0.92023074851559628</v>
      </c>
      <c r="AR228" s="27">
        <v>0.91504919350751979</v>
      </c>
      <c r="AS228" s="27">
        <v>0.91206908207667536</v>
      </c>
      <c r="AT228" s="27">
        <v>0.90189391181808587</v>
      </c>
      <c r="AU228" s="27">
        <v>0.69903787074657575</v>
      </c>
      <c r="AW228" s="1">
        <v>13.679046099872716</v>
      </c>
      <c r="AX228" s="1">
        <v>15.615044897628049</v>
      </c>
      <c r="AY228" s="2">
        <v>1524006.0775314327</v>
      </c>
      <c r="AZ228" s="1">
        <v>15.378095782406637</v>
      </c>
      <c r="BA228" s="1">
        <v>17.282290342026734</v>
      </c>
      <c r="BB228" s="2">
        <v>1186361.1272081507</v>
      </c>
      <c r="BC228" s="2">
        <f t="shared" si="28"/>
        <v>-337644.95032328204</v>
      </c>
      <c r="BD228" s="292">
        <f t="shared" si="29"/>
        <v>1.6990496825339214</v>
      </c>
      <c r="BF228" s="170">
        <f t="shared" si="24"/>
        <v>664641.29844820173</v>
      </c>
      <c r="BG228" s="2">
        <f t="shared" si="25"/>
        <v>1274134.1979769112</v>
      </c>
      <c r="BI228">
        <f t="shared" si="26"/>
        <v>0</v>
      </c>
      <c r="BJ228" s="95">
        <f t="shared" si="27"/>
        <v>1</v>
      </c>
      <c r="BP228" s="217">
        <f t="shared" si="30"/>
        <v>1274134.1979769112</v>
      </c>
    </row>
    <row r="229" spans="1:68">
      <c r="A229" s="11">
        <v>223</v>
      </c>
      <c r="C229" s="27">
        <v>0.9221345934097559</v>
      </c>
      <c r="D229" s="27">
        <v>7.7865406590244102E-2</v>
      </c>
      <c r="E229" s="27">
        <v>0</v>
      </c>
      <c r="F229" s="27">
        <v>0.85119924697313931</v>
      </c>
      <c r="G229" s="27">
        <v>0.14880075302686069</v>
      </c>
      <c r="H229" s="27">
        <v>0</v>
      </c>
      <c r="I229" s="27">
        <v>0.74638120786248485</v>
      </c>
      <c r="J229" s="27">
        <v>0.25361879213751515</v>
      </c>
      <c r="K229" s="27">
        <v>0</v>
      </c>
      <c r="L229" s="27">
        <v>0.14226611619416019</v>
      </c>
      <c r="M229" s="27">
        <v>0.42245105533115801</v>
      </c>
      <c r="N229" s="27">
        <v>0.4352828284746818</v>
      </c>
      <c r="O229" s="27">
        <v>-10.93880899085659</v>
      </c>
      <c r="P229" s="27">
        <v>3.3643737020794914E-2</v>
      </c>
      <c r="Q229" s="27">
        <v>7.2947391866170065E-5</v>
      </c>
      <c r="R229" s="27">
        <v>1.0489163065433553</v>
      </c>
      <c r="S229" s="154"/>
      <c r="T229">
        <v>1.1147369507289997</v>
      </c>
      <c r="U229">
        <v>2.2449414974720767</v>
      </c>
      <c r="V229">
        <v>3.1008922391120155</v>
      </c>
      <c r="W229">
        <v>1</v>
      </c>
      <c r="Y229" s="2">
        <v>2420.4665416036692</v>
      </c>
      <c r="Z229" s="2">
        <v>2742.9967681154108</v>
      </c>
      <c r="AA229" s="2">
        <v>1786.1990654890021</v>
      </c>
      <c r="AB229" s="2">
        <v>3231.0232242652523</v>
      </c>
      <c r="AC229" s="2">
        <v>693.78220342281611</v>
      </c>
      <c r="AD229" s="2">
        <v>13.169471281035728</v>
      </c>
      <c r="AE229" s="2">
        <v>518.24313661834424</v>
      </c>
      <c r="AF229" s="2">
        <v>903.84811695323685</v>
      </c>
      <c r="AG229" s="2">
        <v>148.58845558027198</v>
      </c>
      <c r="AH229" s="2">
        <v>426.64358485998036</v>
      </c>
      <c r="AI229" s="2">
        <v>593233.30240005453</v>
      </c>
      <c r="AJ229" s="2">
        <v>556451.30317527242</v>
      </c>
      <c r="AL229" s="27">
        <v>0.91508461250033513</v>
      </c>
      <c r="AM229" s="27">
        <v>0.91300329872376718</v>
      </c>
      <c r="AN229" s="27">
        <v>0.90839586344527268</v>
      </c>
      <c r="AO229" s="27">
        <v>0.89316097771065961</v>
      </c>
      <c r="AP229" s="27">
        <v>0.69514059246150528</v>
      </c>
      <c r="AQ229" s="27">
        <v>0.91508461250033513</v>
      </c>
      <c r="AR229" s="27">
        <v>0.91300329872376718</v>
      </c>
      <c r="AS229" s="27">
        <v>0.90839586344527268</v>
      </c>
      <c r="AT229" s="27">
        <v>0.89316097771065961</v>
      </c>
      <c r="AU229" s="27">
        <v>0.69514059246150528</v>
      </c>
      <c r="AW229" s="1">
        <v>12.819821348671105</v>
      </c>
      <c r="AX229" s="1">
        <v>14.759412362689064</v>
      </c>
      <c r="AY229" s="2">
        <v>2144159.5432772534</v>
      </c>
      <c r="AZ229" s="1">
        <v>15.063236291690011</v>
      </c>
      <c r="BA229" s="1">
        <v>16.985836593719711</v>
      </c>
      <c r="BB229" s="2">
        <v>1489240.5174553574</v>
      </c>
      <c r="BC229" s="2">
        <f t="shared" si="28"/>
        <v>-654919.02582189604</v>
      </c>
      <c r="BD229" s="292">
        <f t="shared" si="29"/>
        <v>2.2434149430189052</v>
      </c>
      <c r="BF229" s="170">
        <f t="shared" si="24"/>
        <v>-92988.127489876468</v>
      </c>
      <c r="BG229" s="2">
        <f t="shared" si="25"/>
        <v>920877.28921504435</v>
      </c>
      <c r="BI229">
        <f t="shared" si="26"/>
        <v>0</v>
      </c>
      <c r="BJ229" s="95">
        <f t="shared" si="27"/>
        <v>1</v>
      </c>
      <c r="BP229" s="217">
        <f t="shared" si="30"/>
        <v>920877.28921504435</v>
      </c>
    </row>
    <row r="230" spans="1:68">
      <c r="A230" s="11">
        <v>224</v>
      </c>
      <c r="C230" s="27">
        <v>0.92129302574572502</v>
      </c>
      <c r="D230" s="27">
        <v>7.8706974254274975E-2</v>
      </c>
      <c r="E230" s="27">
        <v>0</v>
      </c>
      <c r="F230" s="27">
        <v>0.8632990292558782</v>
      </c>
      <c r="G230" s="27">
        <v>0.13670097074412177</v>
      </c>
      <c r="H230" s="27">
        <v>0</v>
      </c>
      <c r="I230" s="27">
        <v>0.75123082587792989</v>
      </c>
      <c r="J230" s="27">
        <v>0.24876917412207011</v>
      </c>
      <c r="K230" s="27">
        <v>0</v>
      </c>
      <c r="L230" s="27">
        <v>0.16324001444822417</v>
      </c>
      <c r="M230" s="27">
        <v>0.4635753052979425</v>
      </c>
      <c r="N230" s="27">
        <v>0.37318468025383328</v>
      </c>
      <c r="O230" s="27">
        <v>-11.213895303249862</v>
      </c>
      <c r="P230" s="27">
        <v>3.2775494244992938E-2</v>
      </c>
      <c r="Q230" s="27">
        <v>5.3420043020334677E-5</v>
      </c>
      <c r="R230" s="27">
        <v>1.1024945733217331</v>
      </c>
      <c r="S230" s="154"/>
      <c r="T230">
        <v>0.9677981110027809</v>
      </c>
      <c r="U230">
        <v>2.2401793127719478</v>
      </c>
      <c r="V230">
        <v>2.8447081134258303</v>
      </c>
      <c r="W230">
        <v>1</v>
      </c>
      <c r="Y230" s="2">
        <v>157.36343877179669</v>
      </c>
      <c r="Z230" s="2">
        <v>8801.1542500244068</v>
      </c>
      <c r="AA230" s="2">
        <v>1069.0049481372409</v>
      </c>
      <c r="AB230" s="2">
        <v>2275.1040756059197</v>
      </c>
      <c r="AC230" s="2">
        <v>1124.6186740335995</v>
      </c>
      <c r="AD230" s="2">
        <v>3226.7267055136494</v>
      </c>
      <c r="AE230" s="2">
        <v>532.56482041199695</v>
      </c>
      <c r="AF230" s="2">
        <v>891.7413458036109</v>
      </c>
      <c r="AG230" s="2">
        <v>151.60792595003736</v>
      </c>
      <c r="AH230" s="2">
        <v>332.4645574051026</v>
      </c>
      <c r="AI230" s="2">
        <v>528851.12363834167</v>
      </c>
      <c r="AJ230" s="2">
        <v>490886.93206552614</v>
      </c>
      <c r="AL230" s="27">
        <v>0.9138253763301305</v>
      </c>
      <c r="AM230" s="27">
        <v>0.91422310217153779</v>
      </c>
      <c r="AN230" s="27">
        <v>0.91058992973480635</v>
      </c>
      <c r="AO230" s="27">
        <v>0.85799805608815582</v>
      </c>
      <c r="AP230" s="27">
        <v>0.7504832824029537</v>
      </c>
      <c r="AQ230" s="27">
        <v>0.9138253763301305</v>
      </c>
      <c r="AR230" s="27">
        <v>0.91422310217153779</v>
      </c>
      <c r="AS230" s="27">
        <v>0.91058992973480635</v>
      </c>
      <c r="AT230" s="27">
        <v>0.85799805608815582</v>
      </c>
      <c r="AU230" s="27">
        <v>0.7504832824029537</v>
      </c>
      <c r="AW230" s="1">
        <v>13.588262510805803</v>
      </c>
      <c r="AX230" s="1">
        <v>15.427045344661177</v>
      </c>
      <c r="AY230" s="2">
        <v>1871850.4191248165</v>
      </c>
      <c r="AZ230" s="1">
        <v>15.352456051977949</v>
      </c>
      <c r="BA230" s="1">
        <v>17.206187345442491</v>
      </c>
      <c r="BB230" s="2">
        <v>1356191.06359162</v>
      </c>
      <c r="BC230" s="2">
        <f t="shared" si="28"/>
        <v>-515659.35553319659</v>
      </c>
      <c r="BD230" s="292">
        <f t="shared" si="29"/>
        <v>1.7641935411721459</v>
      </c>
      <c r="BF230" s="170">
        <f t="shared" si="24"/>
        <v>302271.5826041121</v>
      </c>
      <c r="BG230" s="2">
        <f t="shared" si="25"/>
        <v>1100201.9047248517</v>
      </c>
      <c r="BI230">
        <f t="shared" si="26"/>
        <v>0</v>
      </c>
      <c r="BJ230" s="95">
        <f t="shared" si="27"/>
        <v>1</v>
      </c>
      <c r="BP230" s="217">
        <f t="shared" si="30"/>
        <v>1100201.9047248517</v>
      </c>
    </row>
    <row r="231" spans="1:68">
      <c r="A231" s="11">
        <v>225</v>
      </c>
      <c r="C231" s="27">
        <v>0.92433427514106603</v>
      </c>
      <c r="D231" s="27">
        <v>7.5665724858933997E-2</v>
      </c>
      <c r="E231" s="27">
        <v>0</v>
      </c>
      <c r="F231" s="27">
        <v>0.8536336186041662</v>
      </c>
      <c r="G231" s="27">
        <v>0.1463663813958338</v>
      </c>
      <c r="H231" s="27">
        <v>0</v>
      </c>
      <c r="I231" s="27">
        <v>0.74526462049224051</v>
      </c>
      <c r="J231" s="27">
        <v>0.25473537950775949</v>
      </c>
      <c r="K231" s="27">
        <v>0</v>
      </c>
      <c r="L231" s="27">
        <v>0.10959211591550277</v>
      </c>
      <c r="M231" s="27">
        <v>0.52127334211282017</v>
      </c>
      <c r="N231" s="27">
        <v>0.36913454197167705</v>
      </c>
      <c r="O231" s="27">
        <v>-11.798752696701687</v>
      </c>
      <c r="P231" s="27">
        <v>3.7477493623228678E-2</v>
      </c>
      <c r="Q231" s="27">
        <v>3.6263531464881044E-5</v>
      </c>
      <c r="R231" s="27">
        <v>1.1343124569022613</v>
      </c>
      <c r="S231" s="154"/>
      <c r="T231">
        <v>1.0905150233435552</v>
      </c>
      <c r="U231">
        <v>2.2697971526304141</v>
      </c>
      <c r="V231">
        <v>3.0866061905358144</v>
      </c>
      <c r="W231">
        <v>1</v>
      </c>
      <c r="Y231" s="2">
        <v>2043.5216030325932</v>
      </c>
      <c r="Z231" s="2">
        <v>2437.5643509190586</v>
      </c>
      <c r="AA231" s="2">
        <v>987.7125854673734</v>
      </c>
      <c r="AB231" s="2">
        <v>17274.545357991217</v>
      </c>
      <c r="AC231" s="2">
        <v>3044.210281520559</v>
      </c>
      <c r="AD231" s="2">
        <v>680.20376825932556</v>
      </c>
      <c r="AE231" s="2">
        <v>562.1653799021567</v>
      </c>
      <c r="AF231" s="2">
        <v>1285.1394911954512</v>
      </c>
      <c r="AG231" s="2">
        <v>121.44387512343155</v>
      </c>
      <c r="AH231" s="2">
        <v>343.3065869501869</v>
      </c>
      <c r="AI231" s="2">
        <v>592807.02209090535</v>
      </c>
      <c r="AJ231" s="2">
        <v>565080.62504248379</v>
      </c>
      <c r="AL231" s="27">
        <v>0.91729080636075278</v>
      </c>
      <c r="AM231" s="27">
        <v>0.91157634788699271</v>
      </c>
      <c r="AN231" s="27">
        <v>0.90361488244345745</v>
      </c>
      <c r="AO231" s="27">
        <v>0.85420146980725908</v>
      </c>
      <c r="AP231" s="27">
        <v>0.70061984405767874</v>
      </c>
      <c r="AQ231" s="27">
        <v>0.91729080636075278</v>
      </c>
      <c r="AR231" s="27">
        <v>0.91157634788699271</v>
      </c>
      <c r="AS231" s="27">
        <v>0.90361488244345745</v>
      </c>
      <c r="AT231" s="27">
        <v>0.85420146980725908</v>
      </c>
      <c r="AU231" s="27">
        <v>0.70061984405767874</v>
      </c>
      <c r="AW231" s="1">
        <v>13.247415674433205</v>
      </c>
      <c r="AX231" s="1">
        <v>15.300079512221226</v>
      </c>
      <c r="AY231" s="2">
        <v>2419453.9266864932</v>
      </c>
      <c r="AZ231" s="1">
        <v>15.322594696980136</v>
      </c>
      <c r="BA231" s="1">
        <v>17.325146901086732</v>
      </c>
      <c r="BB231" s="2">
        <v>1899234.2356690241</v>
      </c>
      <c r="BC231" s="2">
        <f t="shared" si="28"/>
        <v>-520219.69101746916</v>
      </c>
      <c r="BD231" s="292">
        <f t="shared" si="29"/>
        <v>2.0751790225469318</v>
      </c>
      <c r="BF231" s="170">
        <f t="shared" si="24"/>
        <v>-299867.41877718037</v>
      </c>
      <c r="BG231" s="2">
        <f t="shared" si="25"/>
        <v>552380.91584779765</v>
      </c>
      <c r="BI231">
        <f t="shared" si="26"/>
        <v>0</v>
      </c>
      <c r="BJ231" s="95">
        <f t="shared" si="27"/>
        <v>1</v>
      </c>
      <c r="BP231" s="217">
        <f t="shared" si="30"/>
        <v>552380.91584779765</v>
      </c>
    </row>
    <row r="232" spans="1:68">
      <c r="A232" s="11">
        <v>226</v>
      </c>
      <c r="C232" s="27">
        <v>0.92300329931050584</v>
      </c>
      <c r="D232" s="27">
        <v>7.6996700689494157E-2</v>
      </c>
      <c r="E232" s="27">
        <v>0</v>
      </c>
      <c r="F232" s="27">
        <v>0.85986133593793923</v>
      </c>
      <c r="G232" s="27">
        <v>0.1401386640620608</v>
      </c>
      <c r="H232" s="27">
        <v>0</v>
      </c>
      <c r="I232" s="27">
        <v>0.74836612818034243</v>
      </c>
      <c r="J232" s="27">
        <v>0.25163387181965757</v>
      </c>
      <c r="K232" s="27">
        <v>0</v>
      </c>
      <c r="L232" s="27">
        <v>0.1088429317663655</v>
      </c>
      <c r="M232" s="27">
        <v>0.44625549480772314</v>
      </c>
      <c r="N232" s="27">
        <v>0.44490157342591141</v>
      </c>
      <c r="O232" s="27">
        <v>-11.392089257308786</v>
      </c>
      <c r="P232" s="27">
        <v>3.6757410387621772E-2</v>
      </c>
      <c r="Q232" s="27">
        <v>5.2838100820884273E-5</v>
      </c>
      <c r="R232" s="27">
        <v>1.0879627205768951</v>
      </c>
      <c r="S232" s="154"/>
      <c r="T232">
        <v>0.95163145145847539</v>
      </c>
      <c r="U232">
        <v>2.2470104548198759</v>
      </c>
      <c r="V232">
        <v>2.9819525513746123</v>
      </c>
      <c r="W232">
        <v>1</v>
      </c>
      <c r="Y232" s="2">
        <v>1106.5062671341941</v>
      </c>
      <c r="Z232" s="2">
        <v>5843.1285221764256</v>
      </c>
      <c r="AA232" s="2">
        <v>3156.0314318773089</v>
      </c>
      <c r="AB232" s="2">
        <v>8766.7777192867034</v>
      </c>
      <c r="AC232" s="2">
        <v>362.98413913222521</v>
      </c>
      <c r="AD232" s="2">
        <v>1847.6181458559365</v>
      </c>
      <c r="AE232" s="2">
        <v>480.49626567106361</v>
      </c>
      <c r="AF232" s="2">
        <v>1012.8150466709905</v>
      </c>
      <c r="AG232" s="2">
        <v>97.155099126114607</v>
      </c>
      <c r="AH232" s="2">
        <v>257.32804300051583</v>
      </c>
      <c r="AI232" s="2">
        <v>594933.47606264718</v>
      </c>
      <c r="AJ232" s="2">
        <v>560785.66535001423</v>
      </c>
      <c r="AL232" s="27">
        <v>0.91606947212942014</v>
      </c>
      <c r="AM232" s="27">
        <v>0.91539313874672301</v>
      </c>
      <c r="AN232" s="27">
        <v>0.89935647524110129</v>
      </c>
      <c r="AO232" s="27">
        <v>0.851553734583268</v>
      </c>
      <c r="AP232" s="27">
        <v>0.77223136030199357</v>
      </c>
      <c r="AQ232" s="27">
        <v>0.91606947212942014</v>
      </c>
      <c r="AR232" s="27">
        <v>0.91539313874672301</v>
      </c>
      <c r="AS232" s="27">
        <v>0.89935647524110129</v>
      </c>
      <c r="AT232" s="27">
        <v>0.851553734583268</v>
      </c>
      <c r="AU232" s="27">
        <v>0.77223136030199357</v>
      </c>
      <c r="AW232" s="1">
        <v>13.597993267477777</v>
      </c>
      <c r="AX232" s="1">
        <v>15.333118587501048</v>
      </c>
      <c r="AY232" s="2">
        <v>1993693.120150551</v>
      </c>
      <c r="AZ232" s="1">
        <v>15.304579364465985</v>
      </c>
      <c r="BA232" s="1">
        <v>17.087953211355178</v>
      </c>
      <c r="BB232" s="2">
        <v>1601440.9416081309</v>
      </c>
      <c r="BC232" s="2">
        <f t="shared" si="28"/>
        <v>-392252.17854242004</v>
      </c>
      <c r="BD232" s="292">
        <f t="shared" si="29"/>
        <v>1.7065860969882074</v>
      </c>
      <c r="BF232" s="170">
        <f t="shared" si="24"/>
        <v>181985.80264589353</v>
      </c>
      <c r="BG232" s="2">
        <f t="shared" si="25"/>
        <v>847291.75670642685</v>
      </c>
      <c r="BI232">
        <f t="shared" si="26"/>
        <v>0</v>
      </c>
      <c r="BJ232" s="95">
        <f t="shared" si="27"/>
        <v>1</v>
      </c>
      <c r="BP232" s="217">
        <f t="shared" si="30"/>
        <v>847291.75670642685</v>
      </c>
    </row>
    <row r="233" spans="1:68">
      <c r="A233" s="11">
        <v>227</v>
      </c>
      <c r="C233" s="27">
        <v>0.92203028420593114</v>
      </c>
      <c r="D233" s="27">
        <v>7.7969715794068861E-2</v>
      </c>
      <c r="E233" s="27">
        <v>0</v>
      </c>
      <c r="F233" s="27">
        <v>0.85476041623729837</v>
      </c>
      <c r="G233" s="27">
        <v>0.14523958376270163</v>
      </c>
      <c r="H233" s="27">
        <v>0</v>
      </c>
      <c r="I233" s="27">
        <v>0.76045821636915745</v>
      </c>
      <c r="J233" s="27">
        <v>0.23954178363084253</v>
      </c>
      <c r="K233" s="27">
        <v>0</v>
      </c>
      <c r="L233" s="27">
        <v>-1.7535736716881578E-3</v>
      </c>
      <c r="M233" s="27">
        <v>0.5732467556619536</v>
      </c>
      <c r="N233" s="27">
        <v>0.42850681800973456</v>
      </c>
      <c r="O233" s="27">
        <v>-11.137038625166474</v>
      </c>
      <c r="P233" s="27">
        <v>3.4880798342272923E-2</v>
      </c>
      <c r="Q233" s="27">
        <v>6.3020839863313691E-5</v>
      </c>
      <c r="R233" s="27">
        <v>1.0622237840679953</v>
      </c>
      <c r="S233" s="154"/>
      <c r="T233">
        <v>1.0474529847207483</v>
      </c>
      <c r="U233">
        <v>2.2470027493807043</v>
      </c>
      <c r="V233">
        <v>2.9467632232148002</v>
      </c>
      <c r="W233">
        <v>1</v>
      </c>
      <c r="Y233" s="2">
        <v>908.06794545543028</v>
      </c>
      <c r="Z233" s="2">
        <v>13488.413696479778</v>
      </c>
      <c r="AA233" s="2">
        <v>2024.1137173896448</v>
      </c>
      <c r="AB233" s="2">
        <v>493.34377189102349</v>
      </c>
      <c r="AC233" s="2">
        <v>334.15332001566441</v>
      </c>
      <c r="AD233" s="2">
        <v>1569.4100043786686</v>
      </c>
      <c r="AE233" s="2">
        <v>579.71805055006973</v>
      </c>
      <c r="AF233" s="2">
        <v>1119.8963465935242</v>
      </c>
      <c r="AG233" s="2">
        <v>53.848321363548564</v>
      </c>
      <c r="AH233" s="2">
        <v>217.6883209635123</v>
      </c>
      <c r="AI233" s="2">
        <v>514980.59522837517</v>
      </c>
      <c r="AJ233" s="2">
        <v>476460.45086937578</v>
      </c>
      <c r="AL233" s="27">
        <v>0.91901426232482986</v>
      </c>
      <c r="AM233" s="27">
        <v>0.91864143063417991</v>
      </c>
      <c r="AN233" s="27">
        <v>0.90651985189528872</v>
      </c>
      <c r="AO233" s="27">
        <v>0.86256036496013311</v>
      </c>
      <c r="AP233" s="27">
        <v>0.61105010591902387</v>
      </c>
      <c r="AQ233" s="27">
        <v>0.91901426232482986</v>
      </c>
      <c r="AR233" s="27">
        <v>0.91864143063417991</v>
      </c>
      <c r="AS233" s="27">
        <v>0.90651985189528872</v>
      </c>
      <c r="AT233" s="27">
        <v>0.86256036496013311</v>
      </c>
      <c r="AU233" s="27">
        <v>0.61105010591902387</v>
      </c>
      <c r="AW233" s="1">
        <v>13.106086632460247</v>
      </c>
      <c r="AX233" s="1">
        <v>15.452803700725578</v>
      </c>
      <c r="AY233" s="2">
        <v>2205563.0204622387</v>
      </c>
      <c r="AZ233" s="1">
        <v>15.183911575412443</v>
      </c>
      <c r="BA233" s="1">
        <v>17.367098995302193</v>
      </c>
      <c r="BB233" s="2">
        <v>1460975.5641206186</v>
      </c>
      <c r="BC233" s="2">
        <f t="shared" si="28"/>
        <v>-744587.45634162007</v>
      </c>
      <c r="BD233" s="292">
        <f t="shared" si="29"/>
        <v>2.077824942952196</v>
      </c>
      <c r="BF233" s="170">
        <f t="shared" si="24"/>
        <v>-108589.15926859924</v>
      </c>
      <c r="BG233" s="2">
        <f t="shared" si="25"/>
        <v>968450.28794537205</v>
      </c>
      <c r="BI233">
        <f t="shared" si="26"/>
        <v>0</v>
      </c>
      <c r="BJ233" s="95">
        <f t="shared" si="27"/>
        <v>1</v>
      </c>
      <c r="BP233" s="217">
        <f t="shared" si="30"/>
        <v>968450.28794537205</v>
      </c>
    </row>
    <row r="234" spans="1:68">
      <c r="A234" s="11">
        <v>228</v>
      </c>
      <c r="C234" s="27">
        <v>0.92061585621514452</v>
      </c>
      <c r="D234" s="27">
        <v>7.9384143784855477E-2</v>
      </c>
      <c r="E234" s="27">
        <v>0</v>
      </c>
      <c r="F234" s="27">
        <v>0.85925587349808019</v>
      </c>
      <c r="G234" s="27">
        <v>0.14074412650191978</v>
      </c>
      <c r="H234" s="27">
        <v>0</v>
      </c>
      <c r="I234" s="27">
        <v>0.7495885746645875</v>
      </c>
      <c r="J234" s="27">
        <v>0.2504114253354125</v>
      </c>
      <c r="K234" s="27">
        <v>0</v>
      </c>
      <c r="L234" s="27">
        <v>0.1479494301370391</v>
      </c>
      <c r="M234" s="27">
        <v>0.49906862480034342</v>
      </c>
      <c r="N234" s="27">
        <v>0.35298194506261749</v>
      </c>
      <c r="O234" s="27">
        <v>-11.157707722611992</v>
      </c>
      <c r="P234" s="27">
        <v>3.3289516576003375E-2</v>
      </c>
      <c r="Q234" s="27">
        <v>5.7740713515466884E-5</v>
      </c>
      <c r="R234" s="27">
        <v>1.0765890766475896</v>
      </c>
      <c r="S234" s="154"/>
      <c r="T234">
        <v>0.96513341675930564</v>
      </c>
      <c r="U234">
        <v>2.2462182867745484</v>
      </c>
      <c r="V234">
        <v>3.0940415243589028</v>
      </c>
      <c r="W234">
        <v>1</v>
      </c>
      <c r="Y234" s="2">
        <v>371.65075193426003</v>
      </c>
      <c r="Z234" s="2">
        <v>957.90367098625768</v>
      </c>
      <c r="AA234" s="2">
        <v>322.67859908065799</v>
      </c>
      <c r="AB234" s="2">
        <v>2774.6932593368547</v>
      </c>
      <c r="AC234" s="2">
        <v>218.35825883614581</v>
      </c>
      <c r="AD234" s="2">
        <v>587.72785065789049</v>
      </c>
      <c r="AE234" s="2">
        <v>634.68833240145057</v>
      </c>
      <c r="AF234" s="2">
        <v>1050.6967854132236</v>
      </c>
      <c r="AG234" s="2">
        <v>152.24330117630564</v>
      </c>
      <c r="AH234" s="2">
        <v>492.24990157654082</v>
      </c>
      <c r="AI234" s="2">
        <v>341194.80805553938</v>
      </c>
      <c r="AJ234" s="2">
        <v>305496.24500373978</v>
      </c>
      <c r="AL234" s="27">
        <v>0.9251038184658501</v>
      </c>
      <c r="AM234" s="27">
        <v>0.91952740021962409</v>
      </c>
      <c r="AN234" s="27">
        <v>0.90996188757715579</v>
      </c>
      <c r="AO234" s="27">
        <v>0.8408577396646052</v>
      </c>
      <c r="AP234" s="27">
        <v>0.6440543041699891</v>
      </c>
      <c r="AQ234" s="27">
        <v>0.9251038184658501</v>
      </c>
      <c r="AR234" s="27">
        <v>0.91952740021962409</v>
      </c>
      <c r="AS234" s="27">
        <v>0.90996188757715579</v>
      </c>
      <c r="AT234" s="27">
        <v>0.8408577396646052</v>
      </c>
      <c r="AU234" s="27">
        <v>0.6440543041699891</v>
      </c>
      <c r="AW234" s="1">
        <v>13.516828754009303</v>
      </c>
      <c r="AX234" s="1">
        <v>15.698687276444744</v>
      </c>
      <c r="AY234" s="2">
        <v>1272030.398019854</v>
      </c>
      <c r="AZ234" s="1">
        <v>15.334142442046696</v>
      </c>
      <c r="BA234" s="1">
        <v>17.3948331045749</v>
      </c>
      <c r="BB234" s="2">
        <v>967707.18393833842</v>
      </c>
      <c r="BC234" s="2">
        <f t="shared" si="28"/>
        <v>-304323.21408151556</v>
      </c>
      <c r="BD234" s="292">
        <f t="shared" si="29"/>
        <v>1.8173136880373928</v>
      </c>
      <c r="BF234" s="170">
        <f t="shared" si="24"/>
        <v>890662.20262163458</v>
      </c>
      <c r="BG234" s="2">
        <f t="shared" si="25"/>
        <v>1485755.606789133</v>
      </c>
      <c r="BI234">
        <f t="shared" si="26"/>
        <v>0</v>
      </c>
      <c r="BJ234" s="95">
        <f t="shared" si="27"/>
        <v>1</v>
      </c>
      <c r="BP234" s="217">
        <f t="shared" si="30"/>
        <v>1485755.606789133</v>
      </c>
    </row>
    <row r="235" spans="1:68">
      <c r="A235" s="11">
        <v>229</v>
      </c>
      <c r="C235" s="27">
        <v>0.92751801275137824</v>
      </c>
      <c r="D235" s="27">
        <v>7.2481987248621718E-2</v>
      </c>
      <c r="E235" s="27">
        <v>0</v>
      </c>
      <c r="F235" s="27">
        <v>0.85363228378077327</v>
      </c>
      <c r="G235" s="27">
        <v>0.14636771621922673</v>
      </c>
      <c r="H235" s="27">
        <v>0</v>
      </c>
      <c r="I235" s="27">
        <v>0.74417341885197441</v>
      </c>
      <c r="J235" s="27">
        <v>0.25582658114802559</v>
      </c>
      <c r="K235" s="27">
        <v>0</v>
      </c>
      <c r="L235" s="27">
        <v>0.12184788005072777</v>
      </c>
      <c r="M235" s="27">
        <v>0.49051650557558613</v>
      </c>
      <c r="N235" s="27">
        <v>0.3876356143736861</v>
      </c>
      <c r="O235" s="27">
        <v>-11.224074677089156</v>
      </c>
      <c r="P235" s="27">
        <v>3.4065890512573596E-2</v>
      </c>
      <c r="Q235" s="27">
        <v>5.5823966391661604E-5</v>
      </c>
      <c r="R235" s="27">
        <v>1.0819231209844238</v>
      </c>
      <c r="S235" s="154"/>
      <c r="T235">
        <v>1.1666225281939264</v>
      </c>
      <c r="U235">
        <v>2.2293034402126763</v>
      </c>
      <c r="V235">
        <v>3.1485175722062841</v>
      </c>
      <c r="W235">
        <v>1</v>
      </c>
      <c r="Y235" s="2">
        <v>388.23385597733369</v>
      </c>
      <c r="Z235" s="2">
        <v>3279.7446322885821</v>
      </c>
      <c r="AA235" s="2">
        <v>2374.3178972211199</v>
      </c>
      <c r="AB235" s="2">
        <v>10188.846653177081</v>
      </c>
      <c r="AC235" s="2">
        <v>37.928042669504684</v>
      </c>
      <c r="AD235" s="2">
        <v>448.84450425348513</v>
      </c>
      <c r="AE235" s="2">
        <v>571.57788935816268</v>
      </c>
      <c r="AF235" s="2">
        <v>1121.049671806056</v>
      </c>
      <c r="AG235" s="2">
        <v>126.95327526708465</v>
      </c>
      <c r="AH235" s="2">
        <v>549.93008179885805</v>
      </c>
      <c r="AI235" s="2">
        <v>390729.76613510418</v>
      </c>
      <c r="AJ235" s="2">
        <v>360031.13192995853</v>
      </c>
      <c r="AL235" s="27">
        <v>0.91231751772439096</v>
      </c>
      <c r="AM235" s="27">
        <v>0.91466889864896705</v>
      </c>
      <c r="AN235" s="27">
        <v>0.90478718311415962</v>
      </c>
      <c r="AO235" s="27">
        <v>0.86485990670261448</v>
      </c>
      <c r="AP235" s="27">
        <v>0.74746830430159461</v>
      </c>
      <c r="AQ235" s="27">
        <v>0.91231751772439096</v>
      </c>
      <c r="AR235" s="27">
        <v>0.91466889864896705</v>
      </c>
      <c r="AS235" s="27">
        <v>0.90478718311415962</v>
      </c>
      <c r="AT235" s="27">
        <v>0.86485990670261448</v>
      </c>
      <c r="AU235" s="27">
        <v>0.74746830430159461</v>
      </c>
      <c r="AW235" s="1">
        <v>13.269430763415112</v>
      </c>
      <c r="AX235" s="1">
        <v>15.178617730396814</v>
      </c>
      <c r="AY235" s="2">
        <v>1520951.2080319945</v>
      </c>
      <c r="AZ235" s="1">
        <v>15.460111295455109</v>
      </c>
      <c r="BA235" s="1">
        <v>17.371184303261309</v>
      </c>
      <c r="BB235" s="2">
        <v>1201934.281632381</v>
      </c>
      <c r="BC235" s="2">
        <f t="shared" si="28"/>
        <v>-319016.9263996135</v>
      </c>
      <c r="BD235" s="292">
        <f t="shared" si="29"/>
        <v>2.1906805320399965</v>
      </c>
      <c r="BF235" s="170">
        <f t="shared" si="24"/>
        <v>602157.71411442361</v>
      </c>
      <c r="BG235" s="2">
        <f t="shared" si="25"/>
        <v>1271683.5256404364</v>
      </c>
      <c r="BI235">
        <f t="shared" si="26"/>
        <v>0</v>
      </c>
      <c r="BJ235" s="95">
        <f t="shared" si="27"/>
        <v>1</v>
      </c>
      <c r="BP235" s="217">
        <f t="shared" si="30"/>
        <v>1271683.5256404364</v>
      </c>
    </row>
    <row r="236" spans="1:68">
      <c r="A236" s="11">
        <v>230</v>
      </c>
      <c r="C236" s="27">
        <v>0.92400882045705879</v>
      </c>
      <c r="D236" s="27">
        <v>7.599117954294117E-2</v>
      </c>
      <c r="E236" s="27">
        <v>0</v>
      </c>
      <c r="F236" s="27">
        <v>0.85611056437039135</v>
      </c>
      <c r="G236" s="27">
        <v>0.14388943562960865</v>
      </c>
      <c r="H236" s="27">
        <v>0</v>
      </c>
      <c r="I236" s="27">
        <v>0.7503182259372867</v>
      </c>
      <c r="J236" s="27">
        <v>0.24968177406271325</v>
      </c>
      <c r="K236" s="27">
        <v>0</v>
      </c>
      <c r="L236" s="27">
        <v>0.18629058731378279</v>
      </c>
      <c r="M236" s="27">
        <v>0.44688473207695029</v>
      </c>
      <c r="N236" s="27">
        <v>0.36682468060926698</v>
      </c>
      <c r="O236" s="27">
        <v>-11.481353623489674</v>
      </c>
      <c r="P236" s="27">
        <v>3.4693803182159338E-2</v>
      </c>
      <c r="Q236" s="27">
        <v>4.4313823360857603E-5</v>
      </c>
      <c r="R236" s="27">
        <v>1.1186937408498023</v>
      </c>
      <c r="S236" s="154"/>
      <c r="T236">
        <v>1.0050053276561677</v>
      </c>
      <c r="U236">
        <v>2.1734688030292264</v>
      </c>
      <c r="V236">
        <v>3.1737836695546608</v>
      </c>
      <c r="W236">
        <v>1</v>
      </c>
      <c r="Y236" s="2">
        <v>335.57202495707003</v>
      </c>
      <c r="Z236" s="2">
        <v>2788.3817289165349</v>
      </c>
      <c r="AA236" s="2">
        <v>1484.0611126932092</v>
      </c>
      <c r="AB236" s="2">
        <v>9375.4188917336724</v>
      </c>
      <c r="AC236" s="2">
        <v>593.2426181667123</v>
      </c>
      <c r="AD236" s="2">
        <v>186.11957350098453</v>
      </c>
      <c r="AE236" s="2">
        <v>620.97630113268451</v>
      </c>
      <c r="AF236" s="2">
        <v>1203.3287957430794</v>
      </c>
      <c r="AG236" s="2">
        <v>177.29058994633263</v>
      </c>
      <c r="AH236" s="2">
        <v>505.36818622731323</v>
      </c>
      <c r="AI236" s="2">
        <v>405303.23551023286</v>
      </c>
      <c r="AJ236" s="2">
        <v>378079.55738245195</v>
      </c>
      <c r="AL236" s="27">
        <v>0.91452665584405435</v>
      </c>
      <c r="AM236" s="27">
        <v>0.91918905786896199</v>
      </c>
      <c r="AN236" s="27">
        <v>0.91427130584803262</v>
      </c>
      <c r="AO236" s="27">
        <v>0.88461431016197134</v>
      </c>
      <c r="AP236" s="27">
        <v>0.63264754201587503</v>
      </c>
      <c r="AQ236" s="27">
        <v>0.91452665584405435</v>
      </c>
      <c r="AR236" s="27">
        <v>0.91918905786896199</v>
      </c>
      <c r="AS236" s="27">
        <v>0.91427130584803262</v>
      </c>
      <c r="AT236" s="27">
        <v>0.88461431016197134</v>
      </c>
      <c r="AU236" s="27">
        <v>0.63264754201587503</v>
      </c>
      <c r="AW236" s="1">
        <v>13.21449210094481</v>
      </c>
      <c r="AX236" s="1">
        <v>15.36322666814015</v>
      </c>
      <c r="AY236" s="2">
        <v>1410307.9098316142</v>
      </c>
      <c r="AZ236" s="1">
        <v>15.158924797011618</v>
      </c>
      <c r="BA236" s="1">
        <v>17.212490726774789</v>
      </c>
      <c r="BB236" s="2">
        <v>1158522.3000716905</v>
      </c>
      <c r="BC236" s="2">
        <f t="shared" si="28"/>
        <v>-251785.60975992377</v>
      </c>
      <c r="BD236" s="292">
        <f t="shared" si="29"/>
        <v>1.9444326960668086</v>
      </c>
      <c r="BF236" s="170">
        <f t="shared" si="24"/>
        <v>704010.82631955529</v>
      </c>
      <c r="BG236" s="2">
        <f t="shared" si="25"/>
        <v>1266905.6674501684</v>
      </c>
      <c r="BI236">
        <f t="shared" si="26"/>
        <v>0</v>
      </c>
      <c r="BJ236" s="95">
        <f t="shared" si="27"/>
        <v>1</v>
      </c>
      <c r="BP236" s="217">
        <f t="shared" si="30"/>
        <v>1266905.6674501684</v>
      </c>
    </row>
    <row r="237" spans="1:68">
      <c r="A237" s="11">
        <v>231</v>
      </c>
      <c r="C237" s="27">
        <v>0.92618209095060144</v>
      </c>
      <c r="D237" s="27">
        <v>7.381790904939857E-2</v>
      </c>
      <c r="E237" s="27">
        <v>0</v>
      </c>
      <c r="F237" s="27">
        <v>0.85600522053105688</v>
      </c>
      <c r="G237" s="27">
        <v>0.14399477946894312</v>
      </c>
      <c r="H237" s="27">
        <v>0</v>
      </c>
      <c r="I237" s="27">
        <v>0.75605129550519989</v>
      </c>
      <c r="J237" s="27">
        <v>0.24394870449480011</v>
      </c>
      <c r="K237" s="27">
        <v>0</v>
      </c>
      <c r="L237" s="27">
        <v>0.17366856457381341</v>
      </c>
      <c r="M237" s="27">
        <v>0.45537015760440236</v>
      </c>
      <c r="N237" s="27">
        <v>0.37096127782178423</v>
      </c>
      <c r="O237" s="27">
        <v>-10.924725421348755</v>
      </c>
      <c r="P237" s="27">
        <v>2.9573124723577794E-2</v>
      </c>
      <c r="Q237" s="27">
        <v>6.235578029247253E-5</v>
      </c>
      <c r="R237" s="27">
        <v>1.0798016990348787</v>
      </c>
      <c r="S237" s="154"/>
      <c r="T237">
        <v>1.1145631570665135</v>
      </c>
      <c r="U237">
        <v>2.3155657758857182</v>
      </c>
      <c r="V237">
        <v>2.8870997608091025</v>
      </c>
      <c r="W237">
        <v>1</v>
      </c>
      <c r="Y237" s="2">
        <v>493.02818420197138</v>
      </c>
      <c r="Z237" s="2">
        <v>1241.129043125783</v>
      </c>
      <c r="AA237" s="2">
        <v>2021.9188592949745</v>
      </c>
      <c r="AB237" s="2">
        <v>1126.8150716873906</v>
      </c>
      <c r="AC237" s="2">
        <v>856.5548941591029</v>
      </c>
      <c r="AD237" s="2">
        <v>939.33297477592168</v>
      </c>
      <c r="AE237" s="2">
        <v>586.15666524028643</v>
      </c>
      <c r="AF237" s="2">
        <v>1188.9134282575603</v>
      </c>
      <c r="AG237" s="2">
        <v>78.422421049827662</v>
      </c>
      <c r="AH237" s="2">
        <v>656.3659484542776</v>
      </c>
      <c r="AI237" s="2">
        <v>468638.21174522827</v>
      </c>
      <c r="AJ237" s="2">
        <v>443738.67121830123</v>
      </c>
      <c r="AL237" s="27">
        <v>0.91077288383315391</v>
      </c>
      <c r="AM237" s="27">
        <v>0.9144674029169112</v>
      </c>
      <c r="AN237" s="27">
        <v>0.91758228287452825</v>
      </c>
      <c r="AO237" s="27">
        <v>0.88680214073909946</v>
      </c>
      <c r="AP237" s="27">
        <v>0.64746063496549033</v>
      </c>
      <c r="AQ237" s="27">
        <v>0.91077288383315391</v>
      </c>
      <c r="AR237" s="27">
        <v>0.9144674029169112</v>
      </c>
      <c r="AS237" s="27">
        <v>0.91758228287452825</v>
      </c>
      <c r="AT237" s="27">
        <v>0.88680214073909946</v>
      </c>
      <c r="AU237" s="27">
        <v>0.64746063496549033</v>
      </c>
      <c r="AW237" s="1">
        <v>13.007273156508985</v>
      </c>
      <c r="AX237" s="1">
        <v>15.178103055023563</v>
      </c>
      <c r="AY237" s="2">
        <v>1717042.6271832595</v>
      </c>
      <c r="AZ237" s="1">
        <v>15.249133678285498</v>
      </c>
      <c r="BA237" s="1">
        <v>17.325681690276415</v>
      </c>
      <c r="BB237" s="2">
        <v>1209570.9684411935</v>
      </c>
      <c r="BC237" s="2">
        <f t="shared" si="28"/>
        <v>-507471.65874206601</v>
      </c>
      <c r="BD237" s="292">
        <f t="shared" si="29"/>
        <v>2.2418605217765126</v>
      </c>
      <c r="BF237" s="170">
        <f t="shared" si="24"/>
        <v>364121.07785817818</v>
      </c>
      <c r="BG237" s="2">
        <f t="shared" si="25"/>
        <v>1230290.4200844862</v>
      </c>
      <c r="BI237">
        <f t="shared" si="26"/>
        <v>0</v>
      </c>
      <c r="BJ237" s="95">
        <f t="shared" si="27"/>
        <v>1</v>
      </c>
      <c r="BP237" s="217">
        <f t="shared" si="30"/>
        <v>1230290.4200844862</v>
      </c>
    </row>
    <row r="238" spans="1:68">
      <c r="A238" s="11">
        <v>232</v>
      </c>
      <c r="C238" s="27">
        <v>0.92260514652494363</v>
      </c>
      <c r="D238" s="27">
        <v>7.7394853475056369E-2</v>
      </c>
      <c r="E238" s="27">
        <v>0</v>
      </c>
      <c r="F238" s="27">
        <v>0.85245347916827885</v>
      </c>
      <c r="G238" s="27">
        <v>0.14754652083172115</v>
      </c>
      <c r="H238" s="27">
        <v>0</v>
      </c>
      <c r="I238" s="27">
        <v>0.74749944811420788</v>
      </c>
      <c r="J238" s="27">
        <v>0.25250055188579212</v>
      </c>
      <c r="K238" s="27">
        <v>0</v>
      </c>
      <c r="L238" s="27">
        <v>0.12680575180678288</v>
      </c>
      <c r="M238" s="27">
        <v>0.50964089183497352</v>
      </c>
      <c r="N238" s="27">
        <v>0.3635533563582436</v>
      </c>
      <c r="O238" s="27">
        <v>-11.108658411970682</v>
      </c>
      <c r="P238" s="27">
        <v>3.7193002234903474E-2</v>
      </c>
      <c r="Q238" s="27">
        <v>7.1447166026512127E-5</v>
      </c>
      <c r="R238" s="27">
        <v>1.0439940256552647</v>
      </c>
      <c r="S238" s="154"/>
      <c r="T238">
        <v>1.0510410118072493</v>
      </c>
      <c r="U238">
        <v>2.243362161519161</v>
      </c>
      <c r="V238">
        <v>2.8006503193442804</v>
      </c>
      <c r="W238">
        <v>1</v>
      </c>
      <c r="Y238" s="2">
        <v>720.56682519612434</v>
      </c>
      <c r="Z238" s="2">
        <v>275.51940617062291</v>
      </c>
      <c r="AA238" s="2">
        <v>2955.1979952775205</v>
      </c>
      <c r="AB238" s="2">
        <v>3992.1516087332534</v>
      </c>
      <c r="AC238" s="2">
        <v>4173.1830830015633</v>
      </c>
      <c r="AD238" s="2">
        <v>3960.1048442594501</v>
      </c>
      <c r="AE238" s="2">
        <v>517.1398810728333</v>
      </c>
      <c r="AF238" s="2">
        <v>1208.9631171840235</v>
      </c>
      <c r="AG238" s="2">
        <v>152.86304350912556</v>
      </c>
      <c r="AH238" s="2">
        <v>596.78351599848475</v>
      </c>
      <c r="AI238" s="2">
        <v>471743.79225226404</v>
      </c>
      <c r="AJ238" s="2">
        <v>446175.38363405905</v>
      </c>
      <c r="AL238" s="27">
        <v>0.92320542482344536</v>
      </c>
      <c r="AM238" s="27">
        <v>0.9144841726326729</v>
      </c>
      <c r="AN238" s="27">
        <v>0.9025132184503748</v>
      </c>
      <c r="AO238" s="27">
        <v>0.88866152265012588</v>
      </c>
      <c r="AP238" s="27">
        <v>0.76092925771145059</v>
      </c>
      <c r="AQ238" s="27">
        <v>0.92320542482344536</v>
      </c>
      <c r="AR238" s="27">
        <v>0.9144841726326729</v>
      </c>
      <c r="AS238" s="27">
        <v>0.9025132184503748</v>
      </c>
      <c r="AT238" s="27">
        <v>0.88866152265012588</v>
      </c>
      <c r="AU238" s="27">
        <v>0.76092925771145059</v>
      </c>
      <c r="AW238" s="1">
        <v>13.802318973816348</v>
      </c>
      <c r="AX238" s="1">
        <v>15.630178307752599</v>
      </c>
      <c r="AY238" s="2">
        <v>2010565.2244166702</v>
      </c>
      <c r="AZ238" s="1">
        <v>15.613060753484543</v>
      </c>
      <c r="BA238" s="1">
        <v>17.438379107678955</v>
      </c>
      <c r="BB238" s="2">
        <v>1549216.6669981305</v>
      </c>
      <c r="BC238" s="2">
        <f t="shared" si="28"/>
        <v>-461348.55741853965</v>
      </c>
      <c r="BD238" s="292">
        <f t="shared" si="29"/>
        <v>1.8107417796681951</v>
      </c>
      <c r="BF238" s="170">
        <f t="shared" si="24"/>
        <v>197805.81139394571</v>
      </c>
      <c r="BG238" s="2">
        <f t="shared" si="25"/>
        <v>948873.05355939618</v>
      </c>
      <c r="BI238">
        <f t="shared" si="26"/>
        <v>0</v>
      </c>
      <c r="BJ238" s="95">
        <f t="shared" si="27"/>
        <v>1</v>
      </c>
      <c r="BP238" s="217">
        <f t="shared" si="30"/>
        <v>948873.05355939618</v>
      </c>
    </row>
    <row r="239" spans="1:68">
      <c r="A239" s="11">
        <v>233</v>
      </c>
      <c r="C239" s="27">
        <v>0.92281130164537206</v>
      </c>
      <c r="D239" s="27">
        <v>7.7188698354627938E-2</v>
      </c>
      <c r="E239" s="27">
        <v>0</v>
      </c>
      <c r="F239" s="27">
        <v>0.85821287914964817</v>
      </c>
      <c r="G239" s="27">
        <v>0.14178712085035189</v>
      </c>
      <c r="H239" s="27">
        <v>0</v>
      </c>
      <c r="I239" s="27">
        <v>0.75004680333119433</v>
      </c>
      <c r="J239" s="27">
        <v>0.24995319666880564</v>
      </c>
      <c r="K239" s="27">
        <v>0</v>
      </c>
      <c r="L239" s="27">
        <v>0.1261618037170138</v>
      </c>
      <c r="M239" s="27">
        <v>0.46686511189707464</v>
      </c>
      <c r="N239" s="27">
        <v>0.40697308438591162</v>
      </c>
      <c r="O239" s="27">
        <v>-11.365381044990347</v>
      </c>
      <c r="P239" s="27">
        <v>3.3988048713731032E-2</v>
      </c>
      <c r="Q239" s="27">
        <v>4.8309467645299452E-5</v>
      </c>
      <c r="R239" s="27">
        <v>1.1118646511459487</v>
      </c>
      <c r="S239" s="154"/>
      <c r="T239">
        <v>1.1740433785219282</v>
      </c>
      <c r="U239">
        <v>2.2471833708357591</v>
      </c>
      <c r="V239">
        <v>3.2666255614393149</v>
      </c>
      <c r="W239">
        <v>1</v>
      </c>
      <c r="Y239" s="2">
        <v>2536.7066982052643</v>
      </c>
      <c r="Z239" s="2">
        <v>8802.1737416459382</v>
      </c>
      <c r="AA239" s="2">
        <v>2962.1389534683212</v>
      </c>
      <c r="AB239" s="2">
        <v>6628.1328740009685</v>
      </c>
      <c r="AC239" s="2">
        <v>1448.1620119162096</v>
      </c>
      <c r="AD239" s="2">
        <v>3344.2156307683417</v>
      </c>
      <c r="AE239" s="2">
        <v>539.4422167834116</v>
      </c>
      <c r="AF239" s="2">
        <v>1124.8270116658491</v>
      </c>
      <c r="AG239" s="2">
        <v>95.899043051864311</v>
      </c>
      <c r="AH239" s="2">
        <v>449.65376198773799</v>
      </c>
      <c r="AI239" s="2">
        <v>360638.89742902003</v>
      </c>
      <c r="AJ239" s="2">
        <v>326410.78757927124</v>
      </c>
      <c r="AL239" s="27">
        <v>0.91722071693284546</v>
      </c>
      <c r="AM239" s="27">
        <v>0.9103824056139338</v>
      </c>
      <c r="AN239" s="27">
        <v>0.90268472756838347</v>
      </c>
      <c r="AO239" s="27">
        <v>0.88781946889535834</v>
      </c>
      <c r="AP239" s="27">
        <v>0.6002493827237978</v>
      </c>
      <c r="AQ239" s="27">
        <v>0.91722071693284546</v>
      </c>
      <c r="AR239" s="27">
        <v>0.9103824056139338</v>
      </c>
      <c r="AS239" s="27">
        <v>0.90268472756838347</v>
      </c>
      <c r="AT239" s="27">
        <v>0.88781946889535834</v>
      </c>
      <c r="AU239" s="27">
        <v>0.6002493827237978</v>
      </c>
      <c r="AW239" s="1">
        <v>12.443775257149529</v>
      </c>
      <c r="AX239" s="1">
        <v>14.680180182848785</v>
      </c>
      <c r="AY239" s="2">
        <v>1399555.442312524</v>
      </c>
      <c r="AZ239" s="1">
        <v>14.983677625627129</v>
      </c>
      <c r="BA239" s="1">
        <v>17.105599755584212</v>
      </c>
      <c r="BB239" s="2">
        <v>1036713.8353867962</v>
      </c>
      <c r="BC239" s="2">
        <f t="shared" si="28"/>
        <v>-362841.6069257278</v>
      </c>
      <c r="BD239" s="292">
        <f t="shared" si="29"/>
        <v>2.5399023684776001</v>
      </c>
      <c r="BF239" s="170">
        <f t="shared" si="24"/>
        <v>591448.59883140074</v>
      </c>
      <c r="BG239" s="2">
        <f t="shared" si="25"/>
        <v>1360674.5847135445</v>
      </c>
      <c r="BI239">
        <f t="shared" si="26"/>
        <v>0</v>
      </c>
      <c r="BJ239" s="95">
        <f t="shared" si="27"/>
        <v>1</v>
      </c>
      <c r="BP239" s="217">
        <f t="shared" si="30"/>
        <v>1360674.5847135445</v>
      </c>
    </row>
    <row r="240" spans="1:68">
      <c r="A240" s="11">
        <v>234</v>
      </c>
      <c r="C240" s="27">
        <v>0.92407933912432683</v>
      </c>
      <c r="D240" s="27">
        <v>7.5920660875673215E-2</v>
      </c>
      <c r="E240" s="27">
        <v>0</v>
      </c>
      <c r="F240" s="27">
        <v>0.85675268283903772</v>
      </c>
      <c r="G240" s="27">
        <v>0.14324731716096228</v>
      </c>
      <c r="H240" s="27">
        <v>0</v>
      </c>
      <c r="I240" s="27">
        <v>0.74863688203957157</v>
      </c>
      <c r="J240" s="27">
        <v>0.25136311796042843</v>
      </c>
      <c r="K240" s="27">
        <v>0</v>
      </c>
      <c r="L240" s="27">
        <v>3.5094141738226226E-2</v>
      </c>
      <c r="M240" s="27">
        <v>0.55271550879715003</v>
      </c>
      <c r="N240" s="27">
        <v>0.41219034946462374</v>
      </c>
      <c r="O240" s="27">
        <v>-11.251963265310032</v>
      </c>
      <c r="P240" s="27">
        <v>3.3984205987101238E-2</v>
      </c>
      <c r="Q240" s="27">
        <v>5.4102691988842914E-5</v>
      </c>
      <c r="R240" s="27">
        <v>1.0918020547711198</v>
      </c>
      <c r="S240" s="154"/>
      <c r="T240">
        <v>0.97877298825462444</v>
      </c>
      <c r="U240">
        <v>2.2095071156897221</v>
      </c>
      <c r="V240">
        <v>3.0186609005811533</v>
      </c>
      <c r="W240">
        <v>1</v>
      </c>
      <c r="Y240" s="2">
        <v>494.12695151667384</v>
      </c>
      <c r="Z240" s="2">
        <v>330.15236529980558</v>
      </c>
      <c r="AA240" s="2">
        <v>3385.2885274138894</v>
      </c>
      <c r="AB240" s="2">
        <v>2052.243077768715</v>
      </c>
      <c r="AC240" s="2">
        <v>1809.2838050954826</v>
      </c>
      <c r="AD240" s="2">
        <v>1482.4833354227837</v>
      </c>
      <c r="AE240" s="2">
        <v>586.30504022768537</v>
      </c>
      <c r="AF240" s="2">
        <v>1131.1149199341462</v>
      </c>
      <c r="AG240" s="2">
        <v>102.69777255038456</v>
      </c>
      <c r="AH240" s="2">
        <v>520.58785819395757</v>
      </c>
      <c r="AI240" s="2">
        <v>436905.0529979968</v>
      </c>
      <c r="AJ240" s="2">
        <v>393657.45565315662</v>
      </c>
      <c r="AL240" s="27">
        <v>0.92313142826862937</v>
      </c>
      <c r="AM240" s="27">
        <v>0.90935130537524322</v>
      </c>
      <c r="AN240" s="27">
        <v>0.90248300575169382</v>
      </c>
      <c r="AO240" s="27">
        <v>0.86211458721038403</v>
      </c>
      <c r="AP240" s="27">
        <v>0.74867192229825152</v>
      </c>
      <c r="AQ240" s="27">
        <v>0.92313142826862937</v>
      </c>
      <c r="AR240" s="27">
        <v>0.90935130537524322</v>
      </c>
      <c r="AS240" s="27">
        <v>0.90248300575169382</v>
      </c>
      <c r="AT240" s="27">
        <v>0.86211458721038403</v>
      </c>
      <c r="AU240" s="27">
        <v>0.74867192229825152</v>
      </c>
      <c r="AW240" s="1">
        <v>13.760003459887336</v>
      </c>
      <c r="AX240" s="1">
        <v>15.576929349469333</v>
      </c>
      <c r="AY240" s="2">
        <v>1543914.4679459026</v>
      </c>
      <c r="AZ240" s="1">
        <v>15.465671734697969</v>
      </c>
      <c r="BA240" s="1">
        <v>17.301309313489682</v>
      </c>
      <c r="BB240" s="2">
        <v>1209730.1125106944</v>
      </c>
      <c r="BC240" s="2">
        <f t="shared" si="28"/>
        <v>-334184.35543520818</v>
      </c>
      <c r="BD240" s="292">
        <f t="shared" si="29"/>
        <v>1.7056682748106322</v>
      </c>
      <c r="BF240" s="170">
        <f t="shared" si="24"/>
        <v>657686.0856360714</v>
      </c>
      <c r="BG240" s="2">
        <f t="shared" si="25"/>
        <v>1264777.3650409805</v>
      </c>
      <c r="BI240">
        <f t="shared" si="26"/>
        <v>0</v>
      </c>
      <c r="BJ240" s="95">
        <f t="shared" si="27"/>
        <v>1</v>
      </c>
      <c r="BP240" s="217">
        <f t="shared" si="30"/>
        <v>1264777.3650409805</v>
      </c>
    </row>
    <row r="241" spans="1:68">
      <c r="A241" s="11">
        <v>235</v>
      </c>
      <c r="C241" s="27">
        <v>0.92411587038423071</v>
      </c>
      <c r="D241" s="27">
        <v>7.588412961576925E-2</v>
      </c>
      <c r="E241" s="27">
        <v>0</v>
      </c>
      <c r="F241" s="27">
        <v>0.86042879243048764</v>
      </c>
      <c r="G241" s="27">
        <v>0.13957120756951238</v>
      </c>
      <c r="H241" s="27">
        <v>0</v>
      </c>
      <c r="I241" s="27">
        <v>0.74989434672701705</v>
      </c>
      <c r="J241" s="27">
        <v>0.25010565327298295</v>
      </c>
      <c r="K241" s="27">
        <v>0</v>
      </c>
      <c r="L241" s="27">
        <v>0.12101001077536921</v>
      </c>
      <c r="M241" s="27">
        <v>0.47344964594420269</v>
      </c>
      <c r="N241" s="27">
        <v>0.40554034328042809</v>
      </c>
      <c r="O241" s="27">
        <v>-11.514749098317896</v>
      </c>
      <c r="P241" s="27">
        <v>3.884037328039279E-2</v>
      </c>
      <c r="Q241" s="27">
        <v>5.1011808106389365E-5</v>
      </c>
      <c r="R241" s="27">
        <v>1.0893915572026422</v>
      </c>
      <c r="S241" s="154"/>
      <c r="T241">
        <v>0.94815341659093977</v>
      </c>
      <c r="U241">
        <v>2.2867805025061192</v>
      </c>
      <c r="V241">
        <v>2.9558721559916297</v>
      </c>
      <c r="W241">
        <v>1</v>
      </c>
      <c r="Y241" s="2">
        <v>1120.3981238885817</v>
      </c>
      <c r="Z241" s="2">
        <v>7470.1127359995398</v>
      </c>
      <c r="AA241" s="2">
        <v>1230.6479316062437</v>
      </c>
      <c r="AB241" s="2">
        <v>1472.4609297281374</v>
      </c>
      <c r="AC241" s="2">
        <v>150.41592271054296</v>
      </c>
      <c r="AD241" s="2">
        <v>813.30817186181821</v>
      </c>
      <c r="AE241" s="2">
        <v>549.24140160210766</v>
      </c>
      <c r="AF241" s="2">
        <v>896.15669243058107</v>
      </c>
      <c r="AG241" s="2">
        <v>160.02246784495259</v>
      </c>
      <c r="AH241" s="2">
        <v>500.54008729784056</v>
      </c>
      <c r="AI241" s="2">
        <v>597503.08673416334</v>
      </c>
      <c r="AJ241" s="2">
        <v>556845.47449759231</v>
      </c>
      <c r="AL241" s="27">
        <v>0.91611697973346751</v>
      </c>
      <c r="AM241" s="27">
        <v>0.91389594190086065</v>
      </c>
      <c r="AN241" s="27">
        <v>0.91112690195646429</v>
      </c>
      <c r="AO241" s="27">
        <v>0.84896605586703033</v>
      </c>
      <c r="AP241" s="27">
        <v>0.66549534653085218</v>
      </c>
      <c r="AQ241" s="27">
        <v>0.91611697973346751</v>
      </c>
      <c r="AR241" s="27">
        <v>0.91389594190086065</v>
      </c>
      <c r="AS241" s="27">
        <v>0.91112690195646429</v>
      </c>
      <c r="AT241" s="27">
        <v>0.84896605586703033</v>
      </c>
      <c r="AU241" s="27">
        <v>0.66549534653085218</v>
      </c>
      <c r="AW241" s="1">
        <v>13.516934762174255</v>
      </c>
      <c r="AX241" s="1">
        <v>15.61468873845792</v>
      </c>
      <c r="AY241" s="2">
        <v>2143933.4829679802</v>
      </c>
      <c r="AZ241" s="1">
        <v>15.265062216977217</v>
      </c>
      <c r="BA241" s="1">
        <v>17.2985493515081</v>
      </c>
      <c r="BB241" s="2">
        <v>1520462.3333467941</v>
      </c>
      <c r="BC241" s="2">
        <f t="shared" si="28"/>
        <v>-623471.14962118608</v>
      </c>
      <c r="BD241" s="292">
        <f t="shared" si="29"/>
        <v>1.7481274548029617</v>
      </c>
      <c r="BF241" s="170">
        <f t="shared" si="24"/>
        <v>18776.078979900572</v>
      </c>
      <c r="BG241" s="2">
        <f t="shared" si="25"/>
        <v>921947.62136956048</v>
      </c>
      <c r="BI241">
        <f t="shared" si="26"/>
        <v>0</v>
      </c>
      <c r="BJ241" s="95">
        <f t="shared" si="27"/>
        <v>1</v>
      </c>
      <c r="BP241" s="217">
        <f t="shared" si="30"/>
        <v>921947.62136956048</v>
      </c>
    </row>
    <row r="242" spans="1:68">
      <c r="A242" s="11">
        <v>236</v>
      </c>
      <c r="C242" s="27">
        <v>0.92270801051394713</v>
      </c>
      <c r="D242" s="27">
        <v>7.729198948605287E-2</v>
      </c>
      <c r="E242" s="27">
        <v>0</v>
      </c>
      <c r="F242" s="27">
        <v>0.8535073702431849</v>
      </c>
      <c r="G242" s="27">
        <v>0.1464926297568151</v>
      </c>
      <c r="H242" s="27">
        <v>0</v>
      </c>
      <c r="I242" s="27">
        <v>0.74310506357431583</v>
      </c>
      <c r="J242" s="27">
        <v>0.25689493642568417</v>
      </c>
      <c r="K242" s="27">
        <v>0</v>
      </c>
      <c r="L242" s="27">
        <v>0.19369692887106177</v>
      </c>
      <c r="M242" s="27">
        <v>0.4737822078165862</v>
      </c>
      <c r="N242" s="27">
        <v>0.33252086331235203</v>
      </c>
      <c r="O242" s="27">
        <v>-11.248557815398923</v>
      </c>
      <c r="P242" s="27">
        <v>3.523045783971214E-2</v>
      </c>
      <c r="Q242" s="27">
        <v>5.7204465975532292E-5</v>
      </c>
      <c r="R242" s="27">
        <v>1.0837836384550745</v>
      </c>
      <c r="S242" s="154"/>
      <c r="T242">
        <v>0.92736193702229497</v>
      </c>
      <c r="U242">
        <v>2.2532002817694381</v>
      </c>
      <c r="V242">
        <v>2.9588332597228457</v>
      </c>
      <c r="W242">
        <v>1</v>
      </c>
      <c r="Y242" s="2">
        <v>520.45131047501161</v>
      </c>
      <c r="Z242" s="2">
        <v>3330.3789811336019</v>
      </c>
      <c r="AA242" s="2">
        <v>337.40220750985537</v>
      </c>
      <c r="AB242" s="2">
        <v>7658.1625183139622</v>
      </c>
      <c r="AC242" s="2">
        <v>945.61512099068</v>
      </c>
      <c r="AD242" s="2">
        <v>2875.6477118694629</v>
      </c>
      <c r="AE242" s="2">
        <v>483.73076731484224</v>
      </c>
      <c r="AF242" s="2">
        <v>1099.822631342181</v>
      </c>
      <c r="AG242" s="2">
        <v>123.05029728553895</v>
      </c>
      <c r="AH242" s="2">
        <v>367.96603162538969</v>
      </c>
      <c r="AI242" s="2">
        <v>438223.36283944332</v>
      </c>
      <c r="AJ242" s="2">
        <v>414686.10044511984</v>
      </c>
      <c r="AL242" s="27">
        <v>0.92054608742222888</v>
      </c>
      <c r="AM242" s="27">
        <v>0.91509831886699966</v>
      </c>
      <c r="AN242" s="27">
        <v>0.91835955650186829</v>
      </c>
      <c r="AO242" s="27">
        <v>0.89385580492890881</v>
      </c>
      <c r="AP242" s="27">
        <v>0.71090165051132237</v>
      </c>
      <c r="AQ242" s="27">
        <v>0.92054608742222888</v>
      </c>
      <c r="AR242" s="27">
        <v>0.91509831886699966</v>
      </c>
      <c r="AS242" s="27">
        <v>0.91835955650186829</v>
      </c>
      <c r="AT242" s="27">
        <v>0.89385580492890881</v>
      </c>
      <c r="AU242" s="27">
        <v>0.71090165051132237</v>
      </c>
      <c r="AW242" s="1">
        <v>13.868469233194126</v>
      </c>
      <c r="AX242" s="1">
        <v>15.813641920805422</v>
      </c>
      <c r="AY242" s="2">
        <v>1670034.6856582996</v>
      </c>
      <c r="AZ242" s="1">
        <v>15.439803198266718</v>
      </c>
      <c r="BA242" s="1">
        <v>17.345179510412194</v>
      </c>
      <c r="BB242" s="2">
        <v>1376832.8360484354</v>
      </c>
      <c r="BC242" s="2">
        <f t="shared" si="28"/>
        <v>-293201.84960986418</v>
      </c>
      <c r="BD242" s="292">
        <f t="shared" si="29"/>
        <v>1.5713339650725917</v>
      </c>
      <c r="BF242" s="170">
        <f t="shared" si="24"/>
        <v>548920.39165276079</v>
      </c>
      <c r="BG242" s="2">
        <f t="shared" si="25"/>
        <v>1093535.6756742396</v>
      </c>
      <c r="BI242">
        <f t="shared" si="26"/>
        <v>0</v>
      </c>
      <c r="BJ242" s="95">
        <f t="shared" si="27"/>
        <v>1</v>
      </c>
      <c r="BP242" s="217">
        <f t="shared" si="30"/>
        <v>1093535.6756742396</v>
      </c>
    </row>
    <row r="243" spans="1:68">
      <c r="A243" s="11">
        <v>237</v>
      </c>
      <c r="C243" s="27">
        <v>0.92161004480734132</v>
      </c>
      <c r="D243" s="27">
        <v>7.8389955192658678E-2</v>
      </c>
      <c r="E243" s="27">
        <v>0</v>
      </c>
      <c r="F243" s="27">
        <v>0.86402980303463361</v>
      </c>
      <c r="G243" s="27">
        <v>0.13597019696536639</v>
      </c>
      <c r="H243" s="27">
        <v>0</v>
      </c>
      <c r="I243" s="27">
        <v>0.75369150315693123</v>
      </c>
      <c r="J243" s="27">
        <v>0.2463084968430688</v>
      </c>
      <c r="K243" s="27">
        <v>0</v>
      </c>
      <c r="L243" s="27">
        <v>9.3499675947314898E-2</v>
      </c>
      <c r="M243" s="27">
        <v>0.52554223753104146</v>
      </c>
      <c r="N243" s="27">
        <v>0.38095808652164365</v>
      </c>
      <c r="O243" s="27">
        <v>-10.979234478310673</v>
      </c>
      <c r="P243" s="27">
        <v>3.498574034951233E-2</v>
      </c>
      <c r="Q243" s="27">
        <v>7.4119390211039438E-5</v>
      </c>
      <c r="R243" s="27">
        <v>1.0452318539968972</v>
      </c>
      <c r="S243" s="154"/>
      <c r="T243">
        <v>0.92388325207594024</v>
      </c>
      <c r="U243">
        <v>2.236761373818688</v>
      </c>
      <c r="V243">
        <v>3.0348321379854473</v>
      </c>
      <c r="W243">
        <v>1</v>
      </c>
      <c r="Y243" s="2">
        <v>202.01012604244363</v>
      </c>
      <c r="Z243" s="2">
        <v>9019.5007678828752</v>
      </c>
      <c r="AA243" s="2">
        <v>31.906748452976974</v>
      </c>
      <c r="AB243" s="2">
        <v>1450.0326814469759</v>
      </c>
      <c r="AC243" s="2">
        <v>29.944976466443787</v>
      </c>
      <c r="AD243" s="2">
        <v>1975.2317385901229</v>
      </c>
      <c r="AE243" s="2">
        <v>550.91047158454967</v>
      </c>
      <c r="AF243" s="2">
        <v>899.96795596489233</v>
      </c>
      <c r="AG243" s="2">
        <v>125.72162323944001</v>
      </c>
      <c r="AH243" s="2">
        <v>416.86760979003037</v>
      </c>
      <c r="AI243" s="2">
        <v>472497.18127809494</v>
      </c>
      <c r="AJ243" s="2">
        <v>446620.28274536564</v>
      </c>
      <c r="AL243" s="27">
        <v>0.92144646908517847</v>
      </c>
      <c r="AM243" s="27">
        <v>0.91070445703859437</v>
      </c>
      <c r="AN243" s="27">
        <v>0.90350955613385553</v>
      </c>
      <c r="AO243" s="27">
        <v>0.84129990176006575</v>
      </c>
      <c r="AP243" s="27">
        <v>0.68255048927876727</v>
      </c>
      <c r="AQ243" s="27">
        <v>0.92144646908517847</v>
      </c>
      <c r="AR243" s="27">
        <v>0.91070445703859437</v>
      </c>
      <c r="AS243" s="27">
        <v>0.90350955613385553</v>
      </c>
      <c r="AT243" s="27">
        <v>0.84129990176006575</v>
      </c>
      <c r="AU243" s="27">
        <v>0.68255048927876727</v>
      </c>
      <c r="AW243" s="1">
        <v>13.810093656633082</v>
      </c>
      <c r="AX243" s="1">
        <v>15.91353079032203</v>
      </c>
      <c r="AY243" s="2">
        <v>1908122.5850150553</v>
      </c>
      <c r="AZ243" s="1">
        <v>15.437632660308793</v>
      </c>
      <c r="BA243" s="1">
        <v>17.484568423658171</v>
      </c>
      <c r="BB243" s="2">
        <v>1356005.7208407016</v>
      </c>
      <c r="BC243" s="2">
        <f t="shared" si="28"/>
        <v>-552116.86417435366</v>
      </c>
      <c r="BD243" s="292">
        <f t="shared" si="29"/>
        <v>1.6275390036757109</v>
      </c>
      <c r="BF243" s="170">
        <f t="shared" si="24"/>
        <v>301492.40004623774</v>
      </c>
      <c r="BG243" s="2">
        <f t="shared" si="25"/>
        <v>1114015.5048087055</v>
      </c>
      <c r="BI243">
        <f t="shared" si="26"/>
        <v>0</v>
      </c>
      <c r="BJ243" s="95">
        <f t="shared" si="27"/>
        <v>1</v>
      </c>
      <c r="BP243" s="217">
        <f t="shared" si="30"/>
        <v>1114015.5048087055</v>
      </c>
    </row>
    <row r="244" spans="1:68">
      <c r="A244" s="11">
        <v>238</v>
      </c>
      <c r="C244" s="27">
        <v>0.92560024330392765</v>
      </c>
      <c r="D244" s="27">
        <v>7.4399756696072294E-2</v>
      </c>
      <c r="E244" s="27">
        <v>0</v>
      </c>
      <c r="F244" s="27">
        <v>0.85850620635216901</v>
      </c>
      <c r="G244" s="27">
        <v>0.14149379364783102</v>
      </c>
      <c r="H244" s="27">
        <v>0</v>
      </c>
      <c r="I244" s="27">
        <v>0.74878100020575555</v>
      </c>
      <c r="J244" s="27">
        <v>0.25121899979424445</v>
      </c>
      <c r="K244" s="27">
        <v>0</v>
      </c>
      <c r="L244" s="27">
        <v>6.284810446897382E-2</v>
      </c>
      <c r="M244" s="27">
        <v>0.56747640714669978</v>
      </c>
      <c r="N244" s="27">
        <v>0.3696754883843264</v>
      </c>
      <c r="O244" s="27">
        <v>-11.321775491143995</v>
      </c>
      <c r="P244" s="27">
        <v>3.2884751084326036E-2</v>
      </c>
      <c r="Q244" s="27">
        <v>4.8177620697894602E-5</v>
      </c>
      <c r="R244" s="27">
        <v>1.1076355232216417</v>
      </c>
      <c r="S244" s="154"/>
      <c r="T244">
        <v>0.9054551890167083</v>
      </c>
      <c r="U244">
        <v>2.3522614188608997</v>
      </c>
      <c r="V244">
        <v>3.0857263470837646</v>
      </c>
      <c r="W244">
        <v>1</v>
      </c>
      <c r="Y244" s="2">
        <v>2395.1708454893273</v>
      </c>
      <c r="Z244" s="2">
        <v>1373.5167894940816</v>
      </c>
      <c r="AA244" s="2">
        <v>69.061945059776107</v>
      </c>
      <c r="AB244" s="2">
        <v>5504.6706071911549</v>
      </c>
      <c r="AC244" s="2">
        <v>858.18180213006531</v>
      </c>
      <c r="AD244" s="2">
        <v>1326.0825242144547</v>
      </c>
      <c r="AE244" s="2">
        <v>563.59263090045556</v>
      </c>
      <c r="AF244" s="2">
        <v>1205.6139345146505</v>
      </c>
      <c r="AG244" s="2">
        <v>123.9244099458549</v>
      </c>
      <c r="AH244" s="2">
        <v>398.07125437303148</v>
      </c>
      <c r="AI244" s="2">
        <v>676514.78688401834</v>
      </c>
      <c r="AJ244" s="2">
        <v>645804.86560868705</v>
      </c>
      <c r="AL244" s="27">
        <v>0.91819569212160046</v>
      </c>
      <c r="AM244" s="27">
        <v>0.91394456058122031</v>
      </c>
      <c r="AN244" s="27">
        <v>0.91088785141530371</v>
      </c>
      <c r="AO244" s="27">
        <v>0.8728081743327345</v>
      </c>
      <c r="AP244" s="27">
        <v>0.70676269154583404</v>
      </c>
      <c r="AQ244" s="27">
        <v>0.91819569212160046</v>
      </c>
      <c r="AR244" s="27">
        <v>0.91394456058122031</v>
      </c>
      <c r="AS244" s="27">
        <v>0.91088785141530371</v>
      </c>
      <c r="AT244" s="27">
        <v>0.8728081743327345</v>
      </c>
      <c r="AU244" s="27">
        <v>0.70676269154583404</v>
      </c>
      <c r="AW244" s="1">
        <v>13.938102761365613</v>
      </c>
      <c r="AX244" s="1">
        <v>15.937641468788668</v>
      </c>
      <c r="AY244" s="2">
        <v>2523019.6488933316</v>
      </c>
      <c r="AZ244" s="1">
        <v>15.499785753011098</v>
      </c>
      <c r="BA244" s="1">
        <v>17.462013134544652</v>
      </c>
      <c r="BB244" s="2">
        <v>1930474.7794542129</v>
      </c>
      <c r="BC244" s="2">
        <f t="shared" si="28"/>
        <v>-592544.86943911877</v>
      </c>
      <c r="BD244" s="292">
        <f t="shared" si="29"/>
        <v>1.5616829916454851</v>
      </c>
      <c r="BF244" s="170">
        <f t="shared" si="24"/>
        <v>-292923.20707483357</v>
      </c>
      <c r="BG244" s="2">
        <f t="shared" si="25"/>
        <v>549490.94102756283</v>
      </c>
      <c r="BI244">
        <f t="shared" si="26"/>
        <v>0</v>
      </c>
      <c r="BJ244" s="95">
        <f t="shared" si="27"/>
        <v>1</v>
      </c>
      <c r="BP244" s="217">
        <f t="shared" si="30"/>
        <v>549490.94102756283</v>
      </c>
    </row>
    <row r="245" spans="1:68">
      <c r="A245" s="11">
        <v>239</v>
      </c>
      <c r="C245" s="27">
        <v>0.9246376940056148</v>
      </c>
      <c r="D245" s="27">
        <v>7.5362305994385231E-2</v>
      </c>
      <c r="E245" s="27">
        <v>0</v>
      </c>
      <c r="F245" s="27">
        <v>0.85807388200218404</v>
      </c>
      <c r="G245" s="27">
        <v>0.14192611799781596</v>
      </c>
      <c r="H245" s="27">
        <v>0</v>
      </c>
      <c r="I245" s="27">
        <v>0.7482486142200403</v>
      </c>
      <c r="J245" s="27">
        <v>0.2517513857799597</v>
      </c>
      <c r="K245" s="27">
        <v>0</v>
      </c>
      <c r="L245" s="27">
        <v>0.11802757390622509</v>
      </c>
      <c r="M245" s="27">
        <v>0.50057478322304916</v>
      </c>
      <c r="N245" s="27">
        <v>0.38139764287072575</v>
      </c>
      <c r="O245" s="27">
        <v>-11.449950528586012</v>
      </c>
      <c r="P245" s="27">
        <v>3.3574592866975513E-2</v>
      </c>
      <c r="Q245" s="27">
        <v>4.3627728797185789E-5</v>
      </c>
      <c r="R245" s="27">
        <v>1.1216539534359693</v>
      </c>
      <c r="S245" s="154"/>
      <c r="T245">
        <v>0.92372598157227914</v>
      </c>
      <c r="U245">
        <v>2.2716050607919045</v>
      </c>
      <c r="V245">
        <v>3.0922896210135904</v>
      </c>
      <c r="W245">
        <v>1</v>
      </c>
      <c r="Y245" s="2">
        <v>461.33834902172345</v>
      </c>
      <c r="Z245" s="2">
        <v>198.19879554262363</v>
      </c>
      <c r="AA245" s="2">
        <v>895.5280981906717</v>
      </c>
      <c r="AB245" s="2">
        <v>5653.2569650789092</v>
      </c>
      <c r="AC245" s="2">
        <v>1142.9322427311713</v>
      </c>
      <c r="AD245" s="2">
        <v>499.76792847041918</v>
      </c>
      <c r="AE245" s="2">
        <v>590.9903544926816</v>
      </c>
      <c r="AF245" s="2">
        <v>1066.6559549179121</v>
      </c>
      <c r="AG245" s="2">
        <v>116.9609272522716</v>
      </c>
      <c r="AH245" s="2">
        <v>236.42528610887729</v>
      </c>
      <c r="AI245" s="2">
        <v>395554.78677534399</v>
      </c>
      <c r="AJ245" s="2">
        <v>366045.29758703243</v>
      </c>
      <c r="AL245" s="27">
        <v>0.91505290348377688</v>
      </c>
      <c r="AM245" s="27">
        <v>0.91090846414463444</v>
      </c>
      <c r="AN245" s="27">
        <v>0.91424060346767511</v>
      </c>
      <c r="AO245" s="27">
        <v>0.86233655850732738</v>
      </c>
      <c r="AP245" s="27">
        <v>0.66199583813483176</v>
      </c>
      <c r="AQ245" s="27">
        <v>0.91505290348377688</v>
      </c>
      <c r="AR245" s="27">
        <v>0.91090846414463444</v>
      </c>
      <c r="AS245" s="27">
        <v>0.91424060346767511</v>
      </c>
      <c r="AT245" s="27">
        <v>0.86233655850732738</v>
      </c>
      <c r="AU245" s="27">
        <v>0.66199583813483176</v>
      </c>
      <c r="AW245" s="1">
        <v>13.55499192213235</v>
      </c>
      <c r="AX245" s="1">
        <v>15.658625131170961</v>
      </c>
      <c r="AY245" s="2">
        <v>1327750.6627292135</v>
      </c>
      <c r="AZ245" s="1">
        <v>15.226338757345713</v>
      </c>
      <c r="BA245" s="1">
        <v>17.274228326466012</v>
      </c>
      <c r="BB245" s="2">
        <v>1079506.9663238421</v>
      </c>
      <c r="BC245" s="2">
        <f t="shared" si="28"/>
        <v>-248243.69640537142</v>
      </c>
      <c r="BD245" s="292">
        <f t="shared" si="29"/>
        <v>1.6713468352133631</v>
      </c>
      <c r="BF245" s="170">
        <f t="shared" si="24"/>
        <v>841048.04481196264</v>
      </c>
      <c r="BG245" s="2">
        <f t="shared" si="25"/>
        <v>1356707.2348514723</v>
      </c>
      <c r="BI245">
        <f t="shared" si="26"/>
        <v>0</v>
      </c>
      <c r="BJ245" s="95">
        <f t="shared" si="27"/>
        <v>1</v>
      </c>
      <c r="BP245" s="217">
        <f t="shared" si="30"/>
        <v>1356707.2348514723</v>
      </c>
    </row>
    <row r="246" spans="1:68">
      <c r="A246" s="11">
        <v>240</v>
      </c>
      <c r="C246" s="27">
        <v>0.92559427726404009</v>
      </c>
      <c r="D246" s="27">
        <v>7.4405722735959953E-2</v>
      </c>
      <c r="E246" s="27">
        <v>0</v>
      </c>
      <c r="F246" s="27">
        <v>0.85994150836479843</v>
      </c>
      <c r="G246" s="27">
        <v>0.14005849163520157</v>
      </c>
      <c r="H246" s="27">
        <v>0</v>
      </c>
      <c r="I246" s="27">
        <v>0.7478537492595031</v>
      </c>
      <c r="J246" s="27">
        <v>0.2521462507404969</v>
      </c>
      <c r="K246" s="27">
        <v>0</v>
      </c>
      <c r="L246" s="27">
        <v>0.16838080606830425</v>
      </c>
      <c r="M246" s="27">
        <v>0.45790920010847858</v>
      </c>
      <c r="N246" s="27">
        <v>0.37370999382321718</v>
      </c>
      <c r="O246" s="27">
        <v>-11.637023499837811</v>
      </c>
      <c r="P246" s="27">
        <v>3.8044238552105904E-2</v>
      </c>
      <c r="Q246" s="27">
        <v>4.3656189791859444E-5</v>
      </c>
      <c r="R246" s="27">
        <v>1.1131748067526823</v>
      </c>
      <c r="S246" s="154"/>
      <c r="T246">
        <v>0.97768934951003283</v>
      </c>
      <c r="U246">
        <v>2.1992365876576758</v>
      </c>
      <c r="V246">
        <v>2.8876356828402936</v>
      </c>
      <c r="W246">
        <v>1</v>
      </c>
      <c r="Y246" s="2">
        <v>1527.338475154233</v>
      </c>
      <c r="Z246" s="2">
        <v>9171.3830842700154</v>
      </c>
      <c r="AA246" s="2">
        <v>1500.5942298512221</v>
      </c>
      <c r="AB246" s="2">
        <v>9629.5024163702365</v>
      </c>
      <c r="AC246" s="2">
        <v>25.497454543566132</v>
      </c>
      <c r="AD246" s="2">
        <v>714.36111635088173</v>
      </c>
      <c r="AE246" s="2">
        <v>570.30066982232916</v>
      </c>
      <c r="AF246" s="2">
        <v>917.43033511969179</v>
      </c>
      <c r="AG246" s="2">
        <v>149.00143967653651</v>
      </c>
      <c r="AH246" s="2">
        <v>402.86230523892982</v>
      </c>
      <c r="AI246" s="2">
        <v>604802.69008502841</v>
      </c>
      <c r="AJ246" s="2">
        <v>567397.98747690488</v>
      </c>
      <c r="AL246" s="27">
        <v>0.91500820633190227</v>
      </c>
      <c r="AM246" s="27">
        <v>0.91108943180624369</v>
      </c>
      <c r="AN246" s="27">
        <v>0.90457286352442601</v>
      </c>
      <c r="AO246" s="27">
        <v>0.91835045801791226</v>
      </c>
      <c r="AP246" s="27">
        <v>0.67203242395585905</v>
      </c>
      <c r="AQ246" s="27">
        <v>0.91500820633190227</v>
      </c>
      <c r="AR246" s="27">
        <v>0.91108943180624369</v>
      </c>
      <c r="AS246" s="27">
        <v>0.90457286352442601</v>
      </c>
      <c r="AT246" s="27">
        <v>0.91835045801791226</v>
      </c>
      <c r="AU246" s="27">
        <v>0.67203242395585905</v>
      </c>
      <c r="AW246" s="1">
        <v>13.584231599904825</v>
      </c>
      <c r="AX246" s="1">
        <v>15.635380219780393</v>
      </c>
      <c r="AY246" s="2">
        <v>2183250.6177538405</v>
      </c>
      <c r="AZ246" s="1">
        <v>15.321696792693906</v>
      </c>
      <c r="BA246" s="1">
        <v>17.334755979448214</v>
      </c>
      <c r="BB246" s="2">
        <v>1658983.1383814283</v>
      </c>
      <c r="BC246" s="2">
        <f t="shared" si="28"/>
        <v>-524267.4793724122</v>
      </c>
      <c r="BD246" s="292">
        <f t="shared" si="29"/>
        <v>1.737465192789081</v>
      </c>
      <c r="BF246" s="170">
        <f t="shared" si="24"/>
        <v>-9773.5617690682411</v>
      </c>
      <c r="BG246" s="2">
        <f t="shared" si="25"/>
        <v>792488.3484495969</v>
      </c>
      <c r="BI246">
        <f t="shared" si="26"/>
        <v>0</v>
      </c>
      <c r="BJ246" s="95">
        <f t="shared" si="27"/>
        <v>1</v>
      </c>
      <c r="BP246" s="217">
        <f t="shared" si="30"/>
        <v>792488.3484495969</v>
      </c>
    </row>
    <row r="247" spans="1:68">
      <c r="A247" s="11">
        <v>241</v>
      </c>
      <c r="C247" s="27">
        <v>0.92412906112454141</v>
      </c>
      <c r="D247" s="27">
        <v>7.5870938875458607E-2</v>
      </c>
      <c r="E247" s="27">
        <v>0</v>
      </c>
      <c r="F247" s="27">
        <v>0.85451847403834047</v>
      </c>
      <c r="G247" s="27">
        <v>0.14548152596165953</v>
      </c>
      <c r="H247" s="27">
        <v>0</v>
      </c>
      <c r="I247" s="27">
        <v>0.75105275340919597</v>
      </c>
      <c r="J247" s="27">
        <v>0.24894724659080403</v>
      </c>
      <c r="K247" s="27">
        <v>0</v>
      </c>
      <c r="L247" s="27">
        <v>0.15810981830573168</v>
      </c>
      <c r="M247" s="27">
        <v>0.46246859153711645</v>
      </c>
      <c r="N247" s="27">
        <v>0.37942159015715182</v>
      </c>
      <c r="O247" s="27">
        <v>-10.837174762917702</v>
      </c>
      <c r="P247" s="27">
        <v>3.5092992243158407E-2</v>
      </c>
      <c r="Q247" s="27">
        <v>8.5819089428528235E-5</v>
      </c>
      <c r="R247" s="27">
        <v>1.0225883809116161</v>
      </c>
      <c r="S247" s="154"/>
      <c r="T247">
        <v>1.1227601977599793</v>
      </c>
      <c r="U247">
        <v>2.2431656218937825</v>
      </c>
      <c r="V247">
        <v>2.7072879673982357</v>
      </c>
      <c r="W247">
        <v>1</v>
      </c>
      <c r="Y247" s="2">
        <v>485.75379550426561</v>
      </c>
      <c r="Z247" s="2">
        <v>996.88042764479235</v>
      </c>
      <c r="AA247" s="2">
        <v>1470.2502481534343</v>
      </c>
      <c r="AB247" s="2">
        <v>29325.707374435537</v>
      </c>
      <c r="AC247" s="2">
        <v>291.79662292160583</v>
      </c>
      <c r="AD247" s="2">
        <v>993.20244340319812</v>
      </c>
      <c r="AE247" s="2">
        <v>506.87108652273486</v>
      </c>
      <c r="AF247" s="2">
        <v>1021.1851631331388</v>
      </c>
      <c r="AG247" s="2">
        <v>161.31721204573478</v>
      </c>
      <c r="AH247" s="2">
        <v>272.58514473211511</v>
      </c>
      <c r="AI247" s="2">
        <v>503633.37392107322</v>
      </c>
      <c r="AJ247" s="2">
        <v>478921.30373965646</v>
      </c>
      <c r="AL247" s="27">
        <v>0.92101749068529981</v>
      </c>
      <c r="AM247" s="27">
        <v>0.9139196241988039</v>
      </c>
      <c r="AN247" s="27">
        <v>0.90265282753391984</v>
      </c>
      <c r="AO247" s="27">
        <v>0.87909622540030097</v>
      </c>
      <c r="AP247" s="27">
        <v>0.74194133458963196</v>
      </c>
      <c r="AQ247" s="27">
        <v>0.92101749068529981</v>
      </c>
      <c r="AR247" s="27">
        <v>0.9139196241988039</v>
      </c>
      <c r="AS247" s="27">
        <v>0.90265282753391984</v>
      </c>
      <c r="AT247" s="27">
        <v>0.87909622540030097</v>
      </c>
      <c r="AU247" s="27">
        <v>0.74194133458963196</v>
      </c>
      <c r="AW247" s="1">
        <v>13.498176532261445</v>
      </c>
      <c r="AX247" s="1">
        <v>15.377366712556636</v>
      </c>
      <c r="AY247" s="2">
        <v>2027795.2324531365</v>
      </c>
      <c r="AZ247" s="1">
        <v>15.532402219768784</v>
      </c>
      <c r="BA247" s="1">
        <v>17.39677279306958</v>
      </c>
      <c r="BB247" s="2">
        <v>1887198.4510256725</v>
      </c>
      <c r="BC247" s="2">
        <f t="shared" si="28"/>
        <v>-140596.78142746398</v>
      </c>
      <c r="BD247" s="292">
        <f t="shared" si="29"/>
        <v>2.0342256875073392</v>
      </c>
      <c r="BF247" s="170">
        <f t="shared" si="24"/>
        <v>131913.01270869444</v>
      </c>
      <c r="BG247" s="2">
        <f t="shared" si="25"/>
        <v>597985.90413733316</v>
      </c>
      <c r="BI247">
        <f t="shared" si="26"/>
        <v>0</v>
      </c>
      <c r="BJ247" s="95">
        <f t="shared" si="27"/>
        <v>1</v>
      </c>
      <c r="BP247" s="217">
        <f t="shared" si="30"/>
        <v>597985.90413733316</v>
      </c>
    </row>
    <row r="248" spans="1:68">
      <c r="A248" s="11">
        <v>242</v>
      </c>
      <c r="C248" s="27">
        <v>0.921389479183917</v>
      </c>
      <c r="D248" s="27">
        <v>7.8610520816082996E-2</v>
      </c>
      <c r="E248" s="27">
        <v>0</v>
      </c>
      <c r="F248" s="27">
        <v>0.85954490108245385</v>
      </c>
      <c r="G248" s="27">
        <v>0.1404550989175461</v>
      </c>
      <c r="H248" s="27">
        <v>0</v>
      </c>
      <c r="I248" s="27">
        <v>0.74958902259686377</v>
      </c>
      <c r="J248" s="27">
        <v>0.25041097740313623</v>
      </c>
      <c r="K248" s="27">
        <v>0</v>
      </c>
      <c r="L248" s="27">
        <v>0.19792595732558854</v>
      </c>
      <c r="M248" s="27">
        <v>0.47292764397171499</v>
      </c>
      <c r="N248" s="27">
        <v>0.32914639870269652</v>
      </c>
      <c r="O248" s="27">
        <v>-11.720527988631789</v>
      </c>
      <c r="P248" s="27">
        <v>3.9231333065187286E-2</v>
      </c>
      <c r="Q248" s="27">
        <v>4.2211747457398235E-5</v>
      </c>
      <c r="R248" s="27">
        <v>1.1166333268399522</v>
      </c>
      <c r="S248" s="154"/>
      <c r="T248">
        <v>0.93341222483936692</v>
      </c>
      <c r="U248">
        <v>2.2980629963573844</v>
      </c>
      <c r="V248">
        <v>2.6730367573747196</v>
      </c>
      <c r="W248">
        <v>1</v>
      </c>
      <c r="Y248" s="2">
        <v>147.12083447254713</v>
      </c>
      <c r="Z248" s="2">
        <v>1570.8006626465551</v>
      </c>
      <c r="AA248" s="2">
        <v>638.08989575944452</v>
      </c>
      <c r="AB248" s="2">
        <v>6877.1300403588139</v>
      </c>
      <c r="AC248" s="2">
        <v>638.31985837341801</v>
      </c>
      <c r="AD248" s="2">
        <v>40.820591346769234</v>
      </c>
      <c r="AE248" s="2">
        <v>600.94520172891259</v>
      </c>
      <c r="AF248" s="2">
        <v>1000.9610987913404</v>
      </c>
      <c r="AG248" s="2">
        <v>111.68512751185726</v>
      </c>
      <c r="AH248" s="2">
        <v>270.69267328702432</v>
      </c>
      <c r="AI248" s="2">
        <v>568735.15516868769</v>
      </c>
      <c r="AJ248" s="2">
        <v>535694.2338327429</v>
      </c>
      <c r="AL248" s="27">
        <v>0.91805870456809524</v>
      </c>
      <c r="AM248" s="27">
        <v>0.92134179341482536</v>
      </c>
      <c r="AN248" s="27">
        <v>0.91191238459449686</v>
      </c>
      <c r="AO248" s="27">
        <v>0.86854981166325396</v>
      </c>
      <c r="AP248" s="27">
        <v>0.66310632400008629</v>
      </c>
      <c r="AQ248" s="27">
        <v>0.91805870456809524</v>
      </c>
      <c r="AR248" s="27">
        <v>0.92134179341482536</v>
      </c>
      <c r="AS248" s="27">
        <v>0.91191238459449686</v>
      </c>
      <c r="AT248" s="27">
        <v>0.86854981166325396</v>
      </c>
      <c r="AU248" s="27">
        <v>0.66310632400008629</v>
      </c>
      <c r="AW248" s="1">
        <v>13.699538502021467</v>
      </c>
      <c r="AX248" s="1">
        <v>15.82776186705447</v>
      </c>
      <c r="AY248" s="2">
        <v>2094086.5417114701</v>
      </c>
      <c r="AZ248" s="1">
        <v>15.353036292374293</v>
      </c>
      <c r="BA248" s="1">
        <v>17.388782973894084</v>
      </c>
      <c r="BB248" s="2">
        <v>1637922.5425828011</v>
      </c>
      <c r="BC248" s="2">
        <f t="shared" si="28"/>
        <v>-456163.99912866903</v>
      </c>
      <c r="BD248" s="292">
        <f t="shared" si="29"/>
        <v>1.6534977903528265</v>
      </c>
      <c r="BF248" s="170">
        <f t="shared" si="24"/>
        <v>97839.618611964397</v>
      </c>
      <c r="BG248" s="2">
        <f t="shared" si="25"/>
        <v>818563.26419708598</v>
      </c>
      <c r="BI248">
        <f t="shared" si="26"/>
        <v>0</v>
      </c>
      <c r="BJ248" s="95">
        <f t="shared" si="27"/>
        <v>1</v>
      </c>
      <c r="BP248" s="217">
        <f t="shared" si="30"/>
        <v>818563.26419708598</v>
      </c>
    </row>
    <row r="249" spans="1:68">
      <c r="A249" s="11">
        <v>243</v>
      </c>
      <c r="C249" s="27">
        <v>0.92117937244517356</v>
      </c>
      <c r="D249" s="27">
        <v>7.8820627554826439E-2</v>
      </c>
      <c r="E249" s="27">
        <v>0</v>
      </c>
      <c r="F249" s="27">
        <v>0.85497839913439777</v>
      </c>
      <c r="G249" s="27">
        <v>0.14502160086560223</v>
      </c>
      <c r="H249" s="27">
        <v>0</v>
      </c>
      <c r="I249" s="27">
        <v>0.76182123447936811</v>
      </c>
      <c r="J249" s="27">
        <v>0.23817876552063191</v>
      </c>
      <c r="K249" s="27">
        <v>0</v>
      </c>
      <c r="L249" s="27">
        <v>0.11827881341331775</v>
      </c>
      <c r="M249" s="27">
        <v>0.52986114883641156</v>
      </c>
      <c r="N249" s="27">
        <v>0.35186003775027069</v>
      </c>
      <c r="O249" s="27">
        <v>-11.194920261648711</v>
      </c>
      <c r="P249" s="27">
        <v>3.4344308476022482E-2</v>
      </c>
      <c r="Q249" s="27">
        <v>5.8151475478662742E-5</v>
      </c>
      <c r="R249" s="27">
        <v>1.075488773071928</v>
      </c>
      <c r="S249" s="154"/>
      <c r="T249">
        <v>0.9634206218330934</v>
      </c>
      <c r="U249">
        <v>2.2733115833992636</v>
      </c>
      <c r="V249">
        <v>3.1026100653485926</v>
      </c>
      <c r="W249">
        <v>1</v>
      </c>
      <c r="Y249" s="2">
        <v>651.87576480652865</v>
      </c>
      <c r="Z249" s="2">
        <v>283.89283080087068</v>
      </c>
      <c r="AA249" s="2">
        <v>3080.3666644804989</v>
      </c>
      <c r="AB249" s="2">
        <v>668.30456105892677</v>
      </c>
      <c r="AC249" s="2">
        <v>730.50644173526018</v>
      </c>
      <c r="AD249" s="2">
        <v>712.92316172477956</v>
      </c>
      <c r="AE249" s="2">
        <v>535.83657953488682</v>
      </c>
      <c r="AF249" s="2">
        <v>872.31250866525522</v>
      </c>
      <c r="AG249" s="2">
        <v>103.53654683744713</v>
      </c>
      <c r="AH249" s="2">
        <v>554.26268008489217</v>
      </c>
      <c r="AI249" s="2">
        <v>504769.23442828062</v>
      </c>
      <c r="AJ249" s="2">
        <v>481059.28452401573</v>
      </c>
      <c r="AL249" s="27">
        <v>0.9215420757251086</v>
      </c>
      <c r="AM249" s="27">
        <v>0.91440009633845953</v>
      </c>
      <c r="AN249" s="27">
        <v>0.91831400190217183</v>
      </c>
      <c r="AO249" s="27">
        <v>0.85332151272879997</v>
      </c>
      <c r="AP249" s="27">
        <v>0.69788875446283372</v>
      </c>
      <c r="AQ249" s="27">
        <v>0.9215420757251086</v>
      </c>
      <c r="AR249" s="27">
        <v>0.91440009633845953</v>
      </c>
      <c r="AS249" s="27">
        <v>0.91831400190217183</v>
      </c>
      <c r="AT249" s="27">
        <v>0.85332151272879997</v>
      </c>
      <c r="AU249" s="27">
        <v>0.69788875446283372</v>
      </c>
      <c r="AW249" s="1">
        <v>13.722613106290821</v>
      </c>
      <c r="AX249" s="1">
        <v>15.779754332472946</v>
      </c>
      <c r="AY249" s="2">
        <v>2036417.4996039744</v>
      </c>
      <c r="AZ249" s="1">
        <v>15.487901296847793</v>
      </c>
      <c r="BA249" s="1">
        <v>17.467955962271652</v>
      </c>
      <c r="BB249" s="2">
        <v>1517254.6634128587</v>
      </c>
      <c r="BC249" s="2">
        <f t="shared" si="28"/>
        <v>-519162.83619111567</v>
      </c>
      <c r="BD249" s="292">
        <f t="shared" si="29"/>
        <v>1.7652881905569728</v>
      </c>
      <c r="BF249" s="170">
        <f t="shared" si="24"/>
        <v>159200.59740255703</v>
      </c>
      <c r="BG249" s="2">
        <f t="shared" si="25"/>
        <v>960809.54408278828</v>
      </c>
      <c r="BI249">
        <f t="shared" si="26"/>
        <v>0</v>
      </c>
      <c r="BJ249" s="95">
        <f t="shared" si="27"/>
        <v>1</v>
      </c>
      <c r="BP249" s="217">
        <f t="shared" si="30"/>
        <v>960809.54408278828</v>
      </c>
    </row>
    <row r="250" spans="1:68">
      <c r="A250" s="11">
        <v>244</v>
      </c>
      <c r="C250" s="27">
        <v>0.92170268074342454</v>
      </c>
      <c r="D250" s="27">
        <v>7.8297319256575459E-2</v>
      </c>
      <c r="E250" s="27">
        <v>0</v>
      </c>
      <c r="F250" s="27">
        <v>0.86426617554033935</v>
      </c>
      <c r="G250" s="27">
        <v>0.13573382445966059</v>
      </c>
      <c r="H250" s="27">
        <v>0</v>
      </c>
      <c r="I250" s="27">
        <v>0.75667577022307819</v>
      </c>
      <c r="J250" s="27">
        <v>0.24332422977692186</v>
      </c>
      <c r="K250" s="27">
        <v>0</v>
      </c>
      <c r="L250" s="27">
        <v>0.12662904802768693</v>
      </c>
      <c r="M250" s="27">
        <v>0.46632337888116826</v>
      </c>
      <c r="N250" s="27">
        <v>0.40704757309114481</v>
      </c>
      <c r="O250" s="27">
        <v>-10.98502484999686</v>
      </c>
      <c r="P250" s="27">
        <v>3.2687375824457104E-2</v>
      </c>
      <c r="Q250" s="27">
        <v>6.6910472372877882E-5</v>
      </c>
      <c r="R250" s="27">
        <v>1.0581681356452197</v>
      </c>
      <c r="S250" s="154"/>
      <c r="T250">
        <v>1.1059681593113377</v>
      </c>
      <c r="U250">
        <v>2.2868919575912687</v>
      </c>
      <c r="V250">
        <v>3.2597216734408891</v>
      </c>
      <c r="W250">
        <v>1</v>
      </c>
      <c r="Y250" s="2">
        <v>335.42257076455758</v>
      </c>
      <c r="Z250" s="2">
        <v>3325.0231432467563</v>
      </c>
      <c r="AA250" s="2">
        <v>836.54143556555516</v>
      </c>
      <c r="AB250" s="2">
        <v>1009.5762585662469</v>
      </c>
      <c r="AC250" s="2">
        <v>1368.8963620543245</v>
      </c>
      <c r="AD250" s="2">
        <v>579.37206795235716</v>
      </c>
      <c r="AE250" s="2">
        <v>577.17339925801241</v>
      </c>
      <c r="AF250" s="2">
        <v>959.66395356694363</v>
      </c>
      <c r="AG250" s="2">
        <v>89.285762933732244</v>
      </c>
      <c r="AH250" s="2">
        <v>329.14280258377613</v>
      </c>
      <c r="AI250" s="2">
        <v>704695.47400989977</v>
      </c>
      <c r="AJ250" s="2">
        <v>682632.85929016897</v>
      </c>
      <c r="AL250" s="27">
        <v>0.92024493481639202</v>
      </c>
      <c r="AM250" s="27">
        <v>0.90897584624237671</v>
      </c>
      <c r="AN250" s="27">
        <v>0.91765860466843474</v>
      </c>
      <c r="AO250" s="27">
        <v>0.86832326157580075</v>
      </c>
      <c r="AP250" s="27">
        <v>0.66032164343805433</v>
      </c>
      <c r="AQ250" s="27">
        <v>0.92024493481639202</v>
      </c>
      <c r="AR250" s="27">
        <v>0.90897584624237671</v>
      </c>
      <c r="AS250" s="27">
        <v>0.91765860466843474</v>
      </c>
      <c r="AT250" s="27">
        <v>0.86832326157580075</v>
      </c>
      <c r="AU250" s="27">
        <v>0.66032164343805433</v>
      </c>
      <c r="AW250" s="1">
        <v>12.983299488069504</v>
      </c>
      <c r="AX250" s="1">
        <v>15.084349311585781</v>
      </c>
      <c r="AY250" s="2">
        <v>2777376.666751767</v>
      </c>
      <c r="AZ250" s="1">
        <v>15.301513887976128</v>
      </c>
      <c r="BA250" s="1">
        <v>17.309994588769889</v>
      </c>
      <c r="BB250" s="2">
        <v>1829566.1869702719</v>
      </c>
      <c r="BC250" s="2">
        <f t="shared" si="28"/>
        <v>-947810.47978149517</v>
      </c>
      <c r="BD250" s="292">
        <f t="shared" si="29"/>
        <v>2.3182143999066245</v>
      </c>
      <c r="BF250" s="170">
        <f t="shared" si="24"/>
        <v>-700048.74866064638</v>
      </c>
      <c r="BG250" s="2">
        <f t="shared" si="25"/>
        <v>618676.03510590852</v>
      </c>
      <c r="BI250">
        <f t="shared" si="26"/>
        <v>0</v>
      </c>
      <c r="BJ250" s="95">
        <f t="shared" si="27"/>
        <v>1</v>
      </c>
      <c r="BP250" s="217">
        <f t="shared" si="30"/>
        <v>618676.03510590852</v>
      </c>
    </row>
    <row r="251" spans="1:68">
      <c r="A251" s="11">
        <v>245</v>
      </c>
      <c r="C251" s="27">
        <v>0.9222738410186303</v>
      </c>
      <c r="D251" s="27">
        <v>7.7726158981369697E-2</v>
      </c>
      <c r="E251" s="27">
        <v>0</v>
      </c>
      <c r="F251" s="27">
        <v>0.85563772601690025</v>
      </c>
      <c r="G251" s="27">
        <v>0.14436227398309975</v>
      </c>
      <c r="H251" s="27">
        <v>0</v>
      </c>
      <c r="I251" s="27">
        <v>0.74701803276488588</v>
      </c>
      <c r="J251" s="27">
        <v>0.25298196723511412</v>
      </c>
      <c r="K251" s="27">
        <v>0</v>
      </c>
      <c r="L251" s="27">
        <v>0.15423651250620479</v>
      </c>
      <c r="M251" s="27">
        <v>0.50066636240944429</v>
      </c>
      <c r="N251" s="27">
        <v>0.34509712508435092</v>
      </c>
      <c r="O251" s="27">
        <v>-10.560680960549657</v>
      </c>
      <c r="P251" s="27">
        <v>3.30331017650832E-2</v>
      </c>
      <c r="Q251" s="27">
        <v>1.0377445804779005E-4</v>
      </c>
      <c r="R251" s="27">
        <v>1.0103818985599995</v>
      </c>
      <c r="S251" s="154"/>
      <c r="T251">
        <v>0.99596351291041918</v>
      </c>
      <c r="U251">
        <v>2.3722840264848468</v>
      </c>
      <c r="V251">
        <v>3.1519766989424634</v>
      </c>
      <c r="W251">
        <v>1</v>
      </c>
      <c r="Y251" s="2">
        <v>163.38620914220974</v>
      </c>
      <c r="Z251" s="2">
        <v>2982.8559916858753</v>
      </c>
      <c r="AA251" s="2">
        <v>399.30487569556828</v>
      </c>
      <c r="AB251" s="2">
        <v>12162.242504157877</v>
      </c>
      <c r="AC251" s="2">
        <v>546.75540088353421</v>
      </c>
      <c r="AD251" s="2">
        <v>385.20509842626899</v>
      </c>
      <c r="AE251" s="2">
        <v>603.55233657996621</v>
      </c>
      <c r="AF251" s="2">
        <v>975.42564333642611</v>
      </c>
      <c r="AG251" s="2">
        <v>98.293387672288105</v>
      </c>
      <c r="AH251" s="2">
        <v>346.22398708448304</v>
      </c>
      <c r="AI251" s="2">
        <v>438655.5674436097</v>
      </c>
      <c r="AJ251" s="2">
        <v>416327.98957667151</v>
      </c>
      <c r="AL251" s="27">
        <v>0.91676531169881792</v>
      </c>
      <c r="AM251" s="27">
        <v>0.91903836220218627</v>
      </c>
      <c r="AN251" s="27">
        <v>0.90868843040661618</v>
      </c>
      <c r="AO251" s="27">
        <v>0.81024912560870876</v>
      </c>
      <c r="AP251" s="27">
        <v>0.77719988240985571</v>
      </c>
      <c r="AQ251" s="27">
        <v>0.91676531169881792</v>
      </c>
      <c r="AR251" s="27">
        <v>0.91903836220218627</v>
      </c>
      <c r="AS251" s="27">
        <v>0.90868843040661618</v>
      </c>
      <c r="AT251" s="27">
        <v>0.81024912560870876</v>
      </c>
      <c r="AU251" s="27">
        <v>0.77719988240985571</v>
      </c>
      <c r="AW251" s="1">
        <v>13.821106447741071</v>
      </c>
      <c r="AX251" s="1">
        <v>15.68417294668385</v>
      </c>
      <c r="AY251" s="2">
        <v>1835656.2284310977</v>
      </c>
      <c r="AZ251" s="1">
        <v>15.614406091620548</v>
      </c>
      <c r="BA251" s="1">
        <v>17.470737745531334</v>
      </c>
      <c r="BB251" s="2">
        <v>1476585.6595506805</v>
      </c>
      <c r="BC251" s="2">
        <f t="shared" si="28"/>
        <v>-359070.56888041715</v>
      </c>
      <c r="BD251" s="292">
        <f t="shared" si="29"/>
        <v>1.793299643879477</v>
      </c>
      <c r="BF251" s="170">
        <f t="shared" si="24"/>
        <v>375720.80320747383</v>
      </c>
      <c r="BG251" s="2">
        <f t="shared" si="25"/>
        <v>1021719.3151086073</v>
      </c>
      <c r="BI251">
        <f t="shared" si="26"/>
        <v>0</v>
      </c>
      <c r="BJ251" s="95">
        <f t="shared" si="27"/>
        <v>1</v>
      </c>
      <c r="BP251" s="217">
        <f t="shared" si="30"/>
        <v>1021719.3151086073</v>
      </c>
    </row>
    <row r="252" spans="1:68">
      <c r="A252" s="11">
        <v>246</v>
      </c>
      <c r="C252" s="27">
        <v>0.92476790561857125</v>
      </c>
      <c r="D252" s="27">
        <v>7.5232094381428791E-2</v>
      </c>
      <c r="E252" s="27">
        <v>0</v>
      </c>
      <c r="F252" s="27">
        <v>0.86022441331620703</v>
      </c>
      <c r="G252" s="27">
        <v>0.139775586683793</v>
      </c>
      <c r="H252" s="27">
        <v>0</v>
      </c>
      <c r="I252" s="27">
        <v>0.75259721294824855</v>
      </c>
      <c r="J252" s="27">
        <v>0.24740278705175139</v>
      </c>
      <c r="K252" s="27">
        <v>0</v>
      </c>
      <c r="L252" s="27">
        <v>0.1235650681807009</v>
      </c>
      <c r="M252" s="27">
        <v>0.52048073517039439</v>
      </c>
      <c r="N252" s="27">
        <v>0.35595419664890471</v>
      </c>
      <c r="O252" s="27">
        <v>-11.300912262171046</v>
      </c>
      <c r="P252" s="27">
        <v>3.6371382858086936E-2</v>
      </c>
      <c r="Q252" s="27">
        <v>5.6951291978920029E-5</v>
      </c>
      <c r="R252" s="27">
        <v>1.0794143281009789</v>
      </c>
      <c r="S252" s="154"/>
      <c r="T252">
        <v>0.98908938469041519</v>
      </c>
      <c r="U252">
        <v>2.2186617092776224</v>
      </c>
      <c r="V252">
        <v>3.1019998029866804</v>
      </c>
      <c r="W252">
        <v>1</v>
      </c>
      <c r="Y252" s="2">
        <v>29.425274386973353</v>
      </c>
      <c r="Z252" s="2">
        <v>6369.35101694895</v>
      </c>
      <c r="AA252" s="2">
        <v>1447.2054889749111</v>
      </c>
      <c r="AB252" s="2">
        <v>2574.409161834606</v>
      </c>
      <c r="AC252" s="2">
        <v>277.81845657194492</v>
      </c>
      <c r="AD252" s="2">
        <v>18.247324126312133</v>
      </c>
      <c r="AE252" s="2">
        <v>643.8045322896786</v>
      </c>
      <c r="AF252" s="2">
        <v>784.9117721042519</v>
      </c>
      <c r="AG252" s="2">
        <v>122.19465512316056</v>
      </c>
      <c r="AH252" s="2">
        <v>608.28231887452296</v>
      </c>
      <c r="AI252" s="2">
        <v>451437.09687128279</v>
      </c>
      <c r="AJ252" s="2">
        <v>429232.67189942731</v>
      </c>
      <c r="AL252" s="27">
        <v>0.91894734665802913</v>
      </c>
      <c r="AM252" s="27">
        <v>0.91169377069086199</v>
      </c>
      <c r="AN252" s="27">
        <v>0.91239061501355878</v>
      </c>
      <c r="AO252" s="27">
        <v>0.86361730200362996</v>
      </c>
      <c r="AP252" s="27">
        <v>0.79278899792788826</v>
      </c>
      <c r="AQ252" s="27">
        <v>0.91894734665802913</v>
      </c>
      <c r="AR252" s="27">
        <v>0.91169377069086199</v>
      </c>
      <c r="AS252" s="27">
        <v>0.91239061501355878</v>
      </c>
      <c r="AT252" s="27">
        <v>0.86361730200362996</v>
      </c>
      <c r="AU252" s="27">
        <v>0.79278899792788826</v>
      </c>
      <c r="AW252" s="1">
        <v>14.071211148434235</v>
      </c>
      <c r="AX252" s="1">
        <v>15.821256074150707</v>
      </c>
      <c r="AY252" s="2">
        <v>1827959.7705913328</v>
      </c>
      <c r="AZ252" s="1">
        <v>15.752815333332816</v>
      </c>
      <c r="BA252" s="1">
        <v>17.532308391507105</v>
      </c>
      <c r="BB252" s="2">
        <v>1299074.5653528234</v>
      </c>
      <c r="BC252" s="2">
        <f t="shared" si="28"/>
        <v>-528885.20523850946</v>
      </c>
      <c r="BD252" s="292">
        <f t="shared" si="29"/>
        <v>1.6816041848985801</v>
      </c>
      <c r="BF252" s="170">
        <f t="shared" si="24"/>
        <v>423434.01315814466</v>
      </c>
      <c r="BG252" s="2">
        <f t="shared" si="25"/>
        <v>1221375.8879804274</v>
      </c>
      <c r="BI252">
        <f t="shared" si="26"/>
        <v>0</v>
      </c>
      <c r="BJ252" s="95">
        <f t="shared" si="27"/>
        <v>1</v>
      </c>
      <c r="BP252" s="217">
        <f t="shared" si="30"/>
        <v>1221375.8879804274</v>
      </c>
    </row>
    <row r="253" spans="1:68">
      <c r="A253" s="11">
        <v>247</v>
      </c>
      <c r="C253" s="27">
        <v>0.9202491658332731</v>
      </c>
      <c r="D253" s="27">
        <v>7.9750834166726903E-2</v>
      </c>
      <c r="E253" s="27">
        <v>0</v>
      </c>
      <c r="F253" s="27">
        <v>0.85777141211766272</v>
      </c>
      <c r="G253" s="27">
        <v>0.14222858788233722</v>
      </c>
      <c r="H253" s="27">
        <v>0</v>
      </c>
      <c r="I253" s="27">
        <v>0.75409403527608765</v>
      </c>
      <c r="J253" s="27">
        <v>0.2459059647239123</v>
      </c>
      <c r="K253" s="27">
        <v>0</v>
      </c>
      <c r="L253" s="27">
        <v>0.18445497934531563</v>
      </c>
      <c r="M253" s="27">
        <v>0.51442081204080281</v>
      </c>
      <c r="N253" s="27">
        <v>0.30112420861388156</v>
      </c>
      <c r="O253" s="27">
        <v>-11.096211259011973</v>
      </c>
      <c r="P253" s="27">
        <v>3.3412602609766431E-2</v>
      </c>
      <c r="Q253" s="27">
        <v>6.1721270276559746E-5</v>
      </c>
      <c r="R253" s="27">
        <v>1.0755993457193078</v>
      </c>
      <c r="S253" s="154"/>
      <c r="T253">
        <v>1.0082518333698693</v>
      </c>
      <c r="U253">
        <v>2.2338081917889236</v>
      </c>
      <c r="V253">
        <v>3.1272253007125754</v>
      </c>
      <c r="W253">
        <v>1</v>
      </c>
      <c r="Y253" s="2">
        <v>245.94152504050098</v>
      </c>
      <c r="Z253" s="2">
        <v>80.762298194469992</v>
      </c>
      <c r="AA253" s="2">
        <v>4896.5055522372768</v>
      </c>
      <c r="AB253" s="2">
        <v>10856.692720401747</v>
      </c>
      <c r="AC253" s="2">
        <v>979.0193356166767</v>
      </c>
      <c r="AD253" s="2">
        <v>352.29921634416166</v>
      </c>
      <c r="AE253" s="2">
        <v>600.18141169518833</v>
      </c>
      <c r="AF253" s="2">
        <v>1168.9129149692892</v>
      </c>
      <c r="AG253" s="2">
        <v>135.91474293613538</v>
      </c>
      <c r="AH253" s="2">
        <v>266.99339904290593</v>
      </c>
      <c r="AI253" s="2">
        <v>543656.06873340893</v>
      </c>
      <c r="AJ253" s="2">
        <v>512090.05292559211</v>
      </c>
      <c r="AL253" s="27">
        <v>0.91758205442869378</v>
      </c>
      <c r="AM253" s="27">
        <v>0.91605020689700689</v>
      </c>
      <c r="AN253" s="27">
        <v>0.90818524499695219</v>
      </c>
      <c r="AO253" s="27">
        <v>0.89530651003680584</v>
      </c>
      <c r="AP253" s="27">
        <v>0.71190683150971379</v>
      </c>
      <c r="AQ253" s="27">
        <v>0.91758205442869378</v>
      </c>
      <c r="AR253" s="27">
        <v>0.91605020689700689</v>
      </c>
      <c r="AS253" s="27">
        <v>0.90818524499695219</v>
      </c>
      <c r="AT253" s="27">
        <v>0.89530651003680584</v>
      </c>
      <c r="AU253" s="27">
        <v>0.71190683150971379</v>
      </c>
      <c r="AW253" s="1">
        <v>13.709756194347909</v>
      </c>
      <c r="AX253" s="1">
        <v>15.76653116883659</v>
      </c>
      <c r="AY253" s="2">
        <v>2257519.7886861232</v>
      </c>
      <c r="AZ253" s="1">
        <v>15.541120035475679</v>
      </c>
      <c r="BA253" s="1">
        <v>17.535645749201372</v>
      </c>
      <c r="BB253" s="2">
        <v>1842971.9198664746</v>
      </c>
      <c r="BC253" s="2">
        <f t="shared" si="28"/>
        <v>-414547.86881964863</v>
      </c>
      <c r="BD253" s="292">
        <f t="shared" si="29"/>
        <v>1.8313638411277697</v>
      </c>
      <c r="BF253" s="170">
        <f t="shared" si="24"/>
        <v>-63958.797590457834</v>
      </c>
      <c r="BG253" s="2">
        <f t="shared" si="25"/>
        <v>643607.28580963402</v>
      </c>
      <c r="BI253">
        <f t="shared" si="26"/>
        <v>0</v>
      </c>
      <c r="BJ253" s="95">
        <f t="shared" si="27"/>
        <v>1</v>
      </c>
      <c r="BP253" s="217">
        <f t="shared" si="30"/>
        <v>643607.28580963402</v>
      </c>
    </row>
    <row r="254" spans="1:68">
      <c r="A254" s="11">
        <v>248</v>
      </c>
      <c r="C254" s="27">
        <v>0.92661831129601568</v>
      </c>
      <c r="D254" s="27">
        <v>7.3381688703984357E-2</v>
      </c>
      <c r="E254" s="27">
        <v>0</v>
      </c>
      <c r="F254" s="27">
        <v>0.85277015408777479</v>
      </c>
      <c r="G254" s="27">
        <v>0.14722984591222521</v>
      </c>
      <c r="H254" s="27">
        <v>0</v>
      </c>
      <c r="I254" s="27">
        <v>0.7521072052460398</v>
      </c>
      <c r="J254" s="27">
        <v>0.24789279475396023</v>
      </c>
      <c r="K254" s="27">
        <v>0</v>
      </c>
      <c r="L254" s="27">
        <v>0.13296239549530775</v>
      </c>
      <c r="M254" s="27">
        <v>0.53171336376410183</v>
      </c>
      <c r="N254" s="27">
        <v>0.33532424074059042</v>
      </c>
      <c r="O254" s="27">
        <v>-10.950307986658782</v>
      </c>
      <c r="P254" s="27">
        <v>3.4568533302147021E-2</v>
      </c>
      <c r="Q254" s="27">
        <v>7.4969470449828067E-5</v>
      </c>
      <c r="R254" s="27">
        <v>1.0474344577822752</v>
      </c>
      <c r="S254" s="154"/>
      <c r="T254">
        <v>0.95122759466940066</v>
      </c>
      <c r="U254">
        <v>2.2729905382645788</v>
      </c>
      <c r="V254">
        <v>3.4410454058870577</v>
      </c>
      <c r="W254">
        <v>1</v>
      </c>
      <c r="Y254" s="2">
        <v>193.08390167629946</v>
      </c>
      <c r="Z254" s="2">
        <v>1898.2978900649407</v>
      </c>
      <c r="AA254" s="2">
        <v>886.83159491489971</v>
      </c>
      <c r="AB254" s="2">
        <v>1990.2833049058534</v>
      </c>
      <c r="AC254" s="2">
        <v>835.94798390786411</v>
      </c>
      <c r="AD254" s="2">
        <v>1691.2060006892816</v>
      </c>
      <c r="AE254" s="2">
        <v>575.54311733228974</v>
      </c>
      <c r="AF254" s="2">
        <v>896.4947710021853</v>
      </c>
      <c r="AG254" s="2">
        <v>238.25188552316644</v>
      </c>
      <c r="AH254" s="2">
        <v>331.98919048820989</v>
      </c>
      <c r="AI254" s="2">
        <v>404768.85261510254</v>
      </c>
      <c r="AJ254" s="2">
        <v>366757.26193134743</v>
      </c>
      <c r="AL254" s="27">
        <v>0.91287198882127962</v>
      </c>
      <c r="AM254" s="27">
        <v>0.91187759140043334</v>
      </c>
      <c r="AN254" s="27">
        <v>0.91571517387939527</v>
      </c>
      <c r="AO254" s="27">
        <v>0.87304320762753562</v>
      </c>
      <c r="AP254" s="27">
        <v>0.73387301162912788</v>
      </c>
      <c r="AQ254" s="27">
        <v>0.91287198882127962</v>
      </c>
      <c r="AR254" s="27">
        <v>0.91187759140043334</v>
      </c>
      <c r="AS254" s="27">
        <v>0.91571517387939527</v>
      </c>
      <c r="AT254" s="27">
        <v>0.87304320762753562</v>
      </c>
      <c r="AU254" s="27">
        <v>0.73387301162912788</v>
      </c>
      <c r="AW254" s="1">
        <v>14.004559964373406</v>
      </c>
      <c r="AX254" s="1">
        <v>16.03198872241656</v>
      </c>
      <c r="AY254" s="2">
        <v>1577195.8384142271</v>
      </c>
      <c r="AZ254" s="1">
        <v>15.630923005127793</v>
      </c>
      <c r="BA254" s="1">
        <v>17.620157166264182</v>
      </c>
      <c r="BB254" s="2">
        <v>1185325.1819030205</v>
      </c>
      <c r="BC254" s="2">
        <f t="shared" si="28"/>
        <v>-391870.65651120665</v>
      </c>
      <c r="BD254" s="292">
        <f t="shared" si="29"/>
        <v>1.6263630407543861</v>
      </c>
      <c r="BF254" s="170">
        <f t="shared" si="24"/>
        <v>663533.75588551769</v>
      </c>
      <c r="BG254" s="2">
        <f t="shared" si="25"/>
        <v>1315622.4989174264</v>
      </c>
      <c r="BI254">
        <f t="shared" si="26"/>
        <v>0</v>
      </c>
      <c r="BJ254" s="95">
        <f t="shared" si="27"/>
        <v>1</v>
      </c>
      <c r="BP254" s="217">
        <f t="shared" si="30"/>
        <v>1315622.4989174264</v>
      </c>
    </row>
    <row r="255" spans="1:68">
      <c r="A255" s="11">
        <v>249</v>
      </c>
      <c r="C255" s="27">
        <v>0.91799610062510828</v>
      </c>
      <c r="D255" s="27">
        <v>8.200389937489172E-2</v>
      </c>
      <c r="E255" s="27">
        <v>0</v>
      </c>
      <c r="F255" s="27">
        <v>0.85788966863824223</v>
      </c>
      <c r="G255" s="27">
        <v>0.1421103313617578</v>
      </c>
      <c r="H255" s="27">
        <v>0</v>
      </c>
      <c r="I255" s="27">
        <v>0.74979861898005584</v>
      </c>
      <c r="J255" s="27">
        <v>0.25020138101994416</v>
      </c>
      <c r="K255" s="27">
        <v>0</v>
      </c>
      <c r="L255" s="27">
        <v>0.18706701255236841</v>
      </c>
      <c r="M255" s="27">
        <v>0.45605334839840889</v>
      </c>
      <c r="N255" s="27">
        <v>0.35687963904922276</v>
      </c>
      <c r="O255" s="27">
        <v>-11.179989924569249</v>
      </c>
      <c r="P255" s="27">
        <v>3.1538578221385567E-2</v>
      </c>
      <c r="Q255" s="27">
        <v>5.2464718687796861E-5</v>
      </c>
      <c r="R255" s="27">
        <v>1.1027234785472348</v>
      </c>
      <c r="S255" s="154"/>
      <c r="T255">
        <v>1.035952699728798</v>
      </c>
      <c r="U255">
        <v>2.3560559736959017</v>
      </c>
      <c r="V255">
        <v>3.1529918906267138</v>
      </c>
      <c r="W255">
        <v>1</v>
      </c>
      <c r="Y255" s="2">
        <v>356.86869964739338</v>
      </c>
      <c r="Z255" s="2">
        <v>11118.270260536301</v>
      </c>
      <c r="AA255" s="2">
        <v>748.10800351929834</v>
      </c>
      <c r="AB255" s="2">
        <v>2474.2019763526514</v>
      </c>
      <c r="AC255" s="2">
        <v>586.44823282670666</v>
      </c>
      <c r="AD255" s="2">
        <v>1201.1479513830589</v>
      </c>
      <c r="AE255" s="2">
        <v>578.86401240420594</v>
      </c>
      <c r="AF255" s="2">
        <v>780.77510659810241</v>
      </c>
      <c r="AG255" s="2">
        <v>63.210707138530829</v>
      </c>
      <c r="AH255" s="2">
        <v>366.61185595100403</v>
      </c>
      <c r="AI255" s="2">
        <v>604788.29504510702</v>
      </c>
      <c r="AJ255" s="2">
        <v>573551.0067338571</v>
      </c>
      <c r="AL255" s="27">
        <v>0.91294152027569242</v>
      </c>
      <c r="AM255" s="27">
        <v>0.90834512711242688</v>
      </c>
      <c r="AN255" s="27">
        <v>0.89777524144749221</v>
      </c>
      <c r="AO255" s="27">
        <v>0.85777857879734165</v>
      </c>
      <c r="AP255" s="27">
        <v>0.68217858565161582</v>
      </c>
      <c r="AQ255" s="27">
        <v>0.91294152027569242</v>
      </c>
      <c r="AR255" s="27">
        <v>0.90834512711242688</v>
      </c>
      <c r="AS255" s="27">
        <v>0.89777524144749221</v>
      </c>
      <c r="AT255" s="27">
        <v>0.85777857879734165</v>
      </c>
      <c r="AU255" s="27">
        <v>0.68217858565161582</v>
      </c>
      <c r="AW255" s="1">
        <v>12.929939325753585</v>
      </c>
      <c r="AX255" s="1">
        <v>15.025709088384248</v>
      </c>
      <c r="AY255" s="2">
        <v>2371646.0319245006</v>
      </c>
      <c r="AZ255" s="1">
        <v>15.038357459858423</v>
      </c>
      <c r="BA255" s="1">
        <v>17.106522253871351</v>
      </c>
      <c r="BB255" s="2">
        <v>1601567.9232000294</v>
      </c>
      <c r="BC255" s="2">
        <f t="shared" si="28"/>
        <v>-770078.10872447118</v>
      </c>
      <c r="BD255" s="292">
        <f t="shared" si="29"/>
        <v>2.1084181341048378</v>
      </c>
      <c r="BF255" s="170">
        <f t="shared" si="24"/>
        <v>-302855.73980392702</v>
      </c>
      <c r="BG255" s="2">
        <f t="shared" si="25"/>
        <v>804569.27037731837</v>
      </c>
      <c r="BI255">
        <f t="shared" si="26"/>
        <v>0</v>
      </c>
      <c r="BJ255" s="95">
        <f t="shared" si="27"/>
        <v>1</v>
      </c>
      <c r="BP255" s="217">
        <f t="shared" si="30"/>
        <v>804569.27037731837</v>
      </c>
    </row>
    <row r="256" spans="1:68">
      <c r="A256" s="11">
        <v>250</v>
      </c>
      <c r="C256" s="27">
        <v>0.92030656150167522</v>
      </c>
      <c r="D256" s="27">
        <v>7.9693438498324776E-2</v>
      </c>
      <c r="E256" s="27">
        <v>0</v>
      </c>
      <c r="F256" s="27">
        <v>0.86052300095387424</v>
      </c>
      <c r="G256" s="27">
        <v>0.13947699904612582</v>
      </c>
      <c r="H256" s="27">
        <v>0</v>
      </c>
      <c r="I256" s="27">
        <v>0.74489055003877636</v>
      </c>
      <c r="J256" s="27">
        <v>0.25510944996122364</v>
      </c>
      <c r="K256" s="27">
        <v>0</v>
      </c>
      <c r="L256" s="27">
        <v>7.3738072078753714E-2</v>
      </c>
      <c r="M256" s="27">
        <v>0.51470756483928204</v>
      </c>
      <c r="N256" s="27">
        <v>0.41155436308196425</v>
      </c>
      <c r="O256" s="27">
        <v>-11.044366617529384</v>
      </c>
      <c r="P256" s="27">
        <v>3.3808561548209215E-2</v>
      </c>
      <c r="Q256" s="27">
        <v>6.6095689006180611E-5</v>
      </c>
      <c r="R256" s="27">
        <v>1.0662329517527487</v>
      </c>
      <c r="S256" s="154"/>
      <c r="T256">
        <v>1.0267028023808398</v>
      </c>
      <c r="U256">
        <v>2.1800459053800836</v>
      </c>
      <c r="V256">
        <v>3.0409130274145633</v>
      </c>
      <c r="W256">
        <v>1</v>
      </c>
      <c r="Y256" s="2">
        <v>316.49636801105737</v>
      </c>
      <c r="Z256" s="2">
        <v>835.09225390564313</v>
      </c>
      <c r="AA256" s="2">
        <v>627.90222503288533</v>
      </c>
      <c r="AB256" s="2">
        <v>2990.001183047983</v>
      </c>
      <c r="AC256" s="2">
        <v>181.88190788693626</v>
      </c>
      <c r="AD256" s="2">
        <v>4684.1241107527403</v>
      </c>
      <c r="AE256" s="2">
        <v>656.26016969704824</v>
      </c>
      <c r="AF256" s="2">
        <v>1029.5915328139358</v>
      </c>
      <c r="AG256" s="2">
        <v>147.08496390250508</v>
      </c>
      <c r="AH256" s="2">
        <v>336.57625485856749</v>
      </c>
      <c r="AI256" s="2">
        <v>370331.06656684569</v>
      </c>
      <c r="AJ256" s="2">
        <v>335861.12022063986</v>
      </c>
      <c r="AL256" s="27">
        <v>0.9157770143026096</v>
      </c>
      <c r="AM256" s="27">
        <v>0.92023727359082919</v>
      </c>
      <c r="AN256" s="27">
        <v>0.91070667604653099</v>
      </c>
      <c r="AO256" s="27">
        <v>0.89461608833504425</v>
      </c>
      <c r="AP256" s="27">
        <v>0.76582119293224493</v>
      </c>
      <c r="AQ256" s="27">
        <v>0.9157770143026096</v>
      </c>
      <c r="AR256" s="27">
        <v>0.92023727359082919</v>
      </c>
      <c r="AS256" s="27">
        <v>0.91070667604653099</v>
      </c>
      <c r="AT256" s="27">
        <v>0.89461608833504425</v>
      </c>
      <c r="AU256" s="27">
        <v>0.76582119293224493</v>
      </c>
      <c r="AW256" s="1">
        <v>13.533002203459857</v>
      </c>
      <c r="AX256" s="1">
        <v>15.308293684346665</v>
      </c>
      <c r="AY256" s="2">
        <v>1342894.0280836383</v>
      </c>
      <c r="AZ256" s="1">
        <v>15.422798900198732</v>
      </c>
      <c r="BA256" s="1">
        <v>17.210289219928551</v>
      </c>
      <c r="BB256" s="2">
        <v>1074954.7062038237</v>
      </c>
      <c r="BC256" s="2">
        <f t="shared" si="28"/>
        <v>-267939.32187981461</v>
      </c>
      <c r="BD256" s="292">
        <f t="shared" si="29"/>
        <v>1.8897966967388751</v>
      </c>
      <c r="BF256" s="170">
        <f t="shared" si="24"/>
        <v>822386.32446993887</v>
      </c>
      <c r="BG256" s="2">
        <f t="shared" si="25"/>
        <v>1392693.1178279736</v>
      </c>
      <c r="BI256">
        <f t="shared" si="26"/>
        <v>0</v>
      </c>
      <c r="BJ256" s="95">
        <f t="shared" si="27"/>
        <v>1</v>
      </c>
      <c r="BP256" s="217">
        <f t="shared" si="30"/>
        <v>1392693.1178279736</v>
      </c>
    </row>
    <row r="257" spans="1:68">
      <c r="A257" s="11">
        <v>251</v>
      </c>
      <c r="C257" s="27">
        <v>0.92214148441456578</v>
      </c>
      <c r="D257" s="27">
        <v>7.7858515585434218E-2</v>
      </c>
      <c r="E257" s="27">
        <v>0</v>
      </c>
      <c r="F257" s="27">
        <v>0.85816108321017182</v>
      </c>
      <c r="G257" s="27">
        <v>0.14183891678982818</v>
      </c>
      <c r="H257" s="27">
        <v>0</v>
      </c>
      <c r="I257" s="27">
        <v>0.74947763883512786</v>
      </c>
      <c r="J257" s="27">
        <v>0.25052236116487214</v>
      </c>
      <c r="K257" s="27">
        <v>0</v>
      </c>
      <c r="L257" s="27">
        <v>3.5673817732191138E-2</v>
      </c>
      <c r="M257" s="27">
        <v>0.54832208560414319</v>
      </c>
      <c r="N257" s="27">
        <v>0.41600409666366567</v>
      </c>
      <c r="O257" s="27">
        <v>-11.397763071759044</v>
      </c>
      <c r="P257" s="27">
        <v>3.48236263556711E-2</v>
      </c>
      <c r="Q257" s="27">
        <v>4.8440672083433296E-5</v>
      </c>
      <c r="R257" s="27">
        <v>1.1046517847879371</v>
      </c>
      <c r="S257" s="154"/>
      <c r="T257">
        <v>0.91654427825778229</v>
      </c>
      <c r="U257">
        <v>2.210779680522506</v>
      </c>
      <c r="V257">
        <v>3.1258788859851481</v>
      </c>
      <c r="W257">
        <v>1</v>
      </c>
      <c r="Y257" s="2">
        <v>1280.3956245102311</v>
      </c>
      <c r="Z257" s="2">
        <v>4177.3565532231669</v>
      </c>
      <c r="AA257" s="2">
        <v>328.89260895048136</v>
      </c>
      <c r="AB257" s="2">
        <v>930.94207340974401</v>
      </c>
      <c r="AC257" s="2">
        <v>756.14903295652971</v>
      </c>
      <c r="AD257" s="2">
        <v>261.45128564362273</v>
      </c>
      <c r="AE257" s="2">
        <v>577.88197097727448</v>
      </c>
      <c r="AF257" s="2">
        <v>873.65121483475832</v>
      </c>
      <c r="AG257" s="2">
        <v>126.21439963274196</v>
      </c>
      <c r="AH257" s="2">
        <v>356.95673173712805</v>
      </c>
      <c r="AI257" s="2">
        <v>430903.94168738666</v>
      </c>
      <c r="AJ257" s="2">
        <v>401947.67505062371</v>
      </c>
      <c r="AL257" s="27">
        <v>0.917132858697016</v>
      </c>
      <c r="AM257" s="27">
        <v>0.90922968890174816</v>
      </c>
      <c r="AN257" s="27">
        <v>0.91122847141789665</v>
      </c>
      <c r="AO257" s="27">
        <v>0.88964921971908506</v>
      </c>
      <c r="AP257" s="27">
        <v>0.74669225179017273</v>
      </c>
      <c r="AQ257" s="27">
        <v>0.917132858697016</v>
      </c>
      <c r="AR257" s="27">
        <v>0.90922968890174816</v>
      </c>
      <c r="AS257" s="27">
        <v>0.91122847141789665</v>
      </c>
      <c r="AT257" s="27">
        <v>0.88964921971908506</v>
      </c>
      <c r="AU257" s="27">
        <v>0.74669225179017273</v>
      </c>
      <c r="AW257" s="1">
        <v>13.805915623452616</v>
      </c>
      <c r="AX257" s="1">
        <v>15.650923853344249</v>
      </c>
      <c r="AY257" s="2">
        <v>1575194.6037733441</v>
      </c>
      <c r="AZ257" s="1">
        <v>15.377770728650461</v>
      </c>
      <c r="BA257" s="1">
        <v>17.238721824891371</v>
      </c>
      <c r="BB257" s="2">
        <v>1129349.0259273758</v>
      </c>
      <c r="BC257" s="2">
        <f t="shared" si="28"/>
        <v>-445845.57784596831</v>
      </c>
      <c r="BD257" s="292">
        <f t="shared" si="29"/>
        <v>1.5718551051978444</v>
      </c>
      <c r="BF257" s="170">
        <f t="shared" si="24"/>
        <v>633751.89597907453</v>
      </c>
      <c r="BG257" s="2">
        <f t="shared" si="25"/>
        <v>1331094.2906566982</v>
      </c>
      <c r="BI257">
        <f t="shared" si="26"/>
        <v>0</v>
      </c>
      <c r="BJ257" s="95">
        <f t="shared" si="27"/>
        <v>1</v>
      </c>
      <c r="BP257" s="217">
        <f t="shared" si="30"/>
        <v>1331094.2906566982</v>
      </c>
    </row>
    <row r="258" spans="1:68">
      <c r="A258" s="11">
        <v>252</v>
      </c>
      <c r="C258" s="27">
        <v>0.92031354340159643</v>
      </c>
      <c r="D258" s="27">
        <v>7.9686456598403566E-2</v>
      </c>
      <c r="E258" s="27">
        <v>0</v>
      </c>
      <c r="F258" s="27">
        <v>0.86151951146197259</v>
      </c>
      <c r="G258" s="27">
        <v>0.13848048853802744</v>
      </c>
      <c r="H258" s="27">
        <v>0</v>
      </c>
      <c r="I258" s="27">
        <v>0.75462154730438902</v>
      </c>
      <c r="J258" s="27">
        <v>0.24537845269561101</v>
      </c>
      <c r="K258" s="27">
        <v>0</v>
      </c>
      <c r="L258" s="27">
        <v>0.19938741398257953</v>
      </c>
      <c r="M258" s="27">
        <v>0.40547940758761347</v>
      </c>
      <c r="N258" s="27">
        <v>0.395133178429807</v>
      </c>
      <c r="O258" s="27">
        <v>-10.609366880206766</v>
      </c>
      <c r="P258" s="27">
        <v>3.3344590039920179E-2</v>
      </c>
      <c r="Q258" s="27">
        <v>1.0014473198038839E-4</v>
      </c>
      <c r="R258" s="27">
        <v>1.0062492239592327</v>
      </c>
      <c r="S258" s="154"/>
      <c r="T258">
        <v>0.89199297378578712</v>
      </c>
      <c r="U258">
        <v>2.1996559253981847</v>
      </c>
      <c r="V258">
        <v>3.2496304390558008</v>
      </c>
      <c r="W258">
        <v>1</v>
      </c>
      <c r="Y258" s="2">
        <v>400.94823530507881</v>
      </c>
      <c r="Z258" s="2">
        <v>5287.6792896111083</v>
      </c>
      <c r="AA258" s="2">
        <v>593.06279393962257</v>
      </c>
      <c r="AB258" s="2">
        <v>787.61932419195057</v>
      </c>
      <c r="AC258" s="2">
        <v>1031.5085450328527</v>
      </c>
      <c r="AD258" s="2">
        <v>969.3250610907379</v>
      </c>
      <c r="AE258" s="2">
        <v>571.78575882926589</v>
      </c>
      <c r="AF258" s="2">
        <v>1203.097482300273</v>
      </c>
      <c r="AG258" s="2">
        <v>108.16612190296513</v>
      </c>
      <c r="AH258" s="2">
        <v>353.17828247008873</v>
      </c>
      <c r="AI258" s="2">
        <v>313743.0991340215</v>
      </c>
      <c r="AJ258" s="2">
        <v>286347.62295062171</v>
      </c>
      <c r="AL258" s="27">
        <v>0.91316030381079205</v>
      </c>
      <c r="AM258" s="27">
        <v>0.91397763969573675</v>
      </c>
      <c r="AN258" s="27">
        <v>0.90921373861854438</v>
      </c>
      <c r="AO258" s="27">
        <v>0.84045714004554373</v>
      </c>
      <c r="AP258" s="27">
        <v>0.75182916421490464</v>
      </c>
      <c r="AQ258" s="27">
        <v>0.91316030381079205</v>
      </c>
      <c r="AR258" s="27">
        <v>0.91397763969573675</v>
      </c>
      <c r="AS258" s="27">
        <v>0.90921373861854438</v>
      </c>
      <c r="AT258" s="27">
        <v>0.84045714004554373</v>
      </c>
      <c r="AU258" s="27">
        <v>0.75182916421490464</v>
      </c>
      <c r="AW258" s="1">
        <v>13.784959104228955</v>
      </c>
      <c r="AX258" s="1">
        <v>15.655212687405593</v>
      </c>
      <c r="AY258" s="2">
        <v>1112225.1722392384</v>
      </c>
      <c r="AZ258" s="1">
        <v>15.344561290487102</v>
      </c>
      <c r="BA258" s="1">
        <v>17.224609321731251</v>
      </c>
      <c r="BB258" s="2">
        <v>805036.60286493285</v>
      </c>
      <c r="BC258" s="2">
        <f t="shared" si="28"/>
        <v>-307188.56937430555</v>
      </c>
      <c r="BD258" s="292">
        <f t="shared" si="29"/>
        <v>1.5596021862581466</v>
      </c>
      <c r="BF258" s="170">
        <f t="shared" si="24"/>
        <v>1093368.2844373942</v>
      </c>
      <c r="BG258" s="2">
        <f t="shared" si="25"/>
        <v>1650093.2036130037</v>
      </c>
      <c r="BI258">
        <f t="shared" si="26"/>
        <v>0</v>
      </c>
      <c r="BJ258" s="95">
        <f t="shared" si="27"/>
        <v>1</v>
      </c>
      <c r="BP258" s="217">
        <f t="shared" si="30"/>
        <v>1650093.2036130037</v>
      </c>
    </row>
    <row r="259" spans="1:68">
      <c r="A259" s="11">
        <v>253</v>
      </c>
      <c r="C259" s="27">
        <v>0.9211236831261298</v>
      </c>
      <c r="D259" s="27">
        <v>7.88763168738702E-2</v>
      </c>
      <c r="E259" s="27">
        <v>0</v>
      </c>
      <c r="F259" s="27">
        <v>0.85865814979134958</v>
      </c>
      <c r="G259" s="27">
        <v>0.14134185020865045</v>
      </c>
      <c r="H259" s="27">
        <v>0</v>
      </c>
      <c r="I259" s="27">
        <v>0.74631047759885905</v>
      </c>
      <c r="J259" s="27">
        <v>0.25368952240114095</v>
      </c>
      <c r="K259" s="27">
        <v>0</v>
      </c>
      <c r="L259" s="27">
        <v>0.23059614423818592</v>
      </c>
      <c r="M259" s="27">
        <v>0.4835651166251288</v>
      </c>
      <c r="N259" s="27">
        <v>0.28583873913668528</v>
      </c>
      <c r="O259" s="27">
        <v>-11.206132828921708</v>
      </c>
      <c r="P259" s="27">
        <v>3.5110748998017097E-2</v>
      </c>
      <c r="Q259" s="27">
        <v>5.938425874520522E-5</v>
      </c>
      <c r="R259" s="27">
        <v>1.0796078772822912</v>
      </c>
      <c r="S259" s="154"/>
      <c r="T259">
        <v>1.1130957305436477</v>
      </c>
      <c r="U259">
        <v>2.2273379238347073</v>
      </c>
      <c r="V259">
        <v>3.1113355491087509</v>
      </c>
      <c r="W259">
        <v>1</v>
      </c>
      <c r="Y259" s="2">
        <v>1437.696717673324</v>
      </c>
      <c r="Z259" s="2">
        <v>15118.423625914917</v>
      </c>
      <c r="AA259" s="2">
        <v>144.25244853301012</v>
      </c>
      <c r="AB259" s="2">
        <v>1734.703864761196</v>
      </c>
      <c r="AC259" s="2">
        <v>884.64605805873487</v>
      </c>
      <c r="AD259" s="2">
        <v>2286.3406114241334</v>
      </c>
      <c r="AE259" s="2">
        <v>601.73728563988209</v>
      </c>
      <c r="AF259" s="2">
        <v>1455.4224203766714</v>
      </c>
      <c r="AG259" s="2">
        <v>113.88818047490433</v>
      </c>
      <c r="AH259" s="2">
        <v>492.99916909667905</v>
      </c>
      <c r="AI259" s="2">
        <v>548202.23086095776</v>
      </c>
      <c r="AJ259" s="2">
        <v>521158.10761449352</v>
      </c>
      <c r="AL259" s="27">
        <v>0.90974902499679178</v>
      </c>
      <c r="AM259" s="27">
        <v>0.91426769002928376</v>
      </c>
      <c r="AN259" s="27">
        <v>0.90414525512029398</v>
      </c>
      <c r="AO259" s="27">
        <v>0.8676660996174147</v>
      </c>
      <c r="AP259" s="27">
        <v>0.67236648258154452</v>
      </c>
      <c r="AQ259" s="27">
        <v>0.90974902499679178</v>
      </c>
      <c r="AR259" s="27">
        <v>0.91426769002928376</v>
      </c>
      <c r="AS259" s="27">
        <v>0.90414525512029398</v>
      </c>
      <c r="AT259" s="27">
        <v>0.8676660996174147</v>
      </c>
      <c r="AU259" s="27">
        <v>0.67236648258154452</v>
      </c>
      <c r="AW259" s="1">
        <v>13.240250978894805</v>
      </c>
      <c r="AX259" s="1">
        <v>15.542268228225852</v>
      </c>
      <c r="AY259" s="2">
        <v>2582658.3998425356</v>
      </c>
      <c r="AZ259" s="1">
        <v>15.358325967465811</v>
      </c>
      <c r="BA259" s="1">
        <v>17.546174119009557</v>
      </c>
      <c r="BB259" s="2">
        <v>1666304.5173526285</v>
      </c>
      <c r="BC259" s="2">
        <f t="shared" si="28"/>
        <v>-916353.88248990709</v>
      </c>
      <c r="BD259" s="292">
        <f t="shared" si="29"/>
        <v>2.1180749885710064</v>
      </c>
      <c r="BF259" s="170">
        <f t="shared" si="24"/>
        <v>-464218.24321936676</v>
      </c>
      <c r="BG259" s="2">
        <f t="shared" si="25"/>
        <v>791027.63744190149</v>
      </c>
      <c r="BI259">
        <f t="shared" si="26"/>
        <v>0</v>
      </c>
      <c r="BJ259" s="95">
        <f t="shared" si="27"/>
        <v>1</v>
      </c>
      <c r="BP259" s="217">
        <f t="shared" si="30"/>
        <v>791027.63744190149</v>
      </c>
    </row>
    <row r="260" spans="1:68">
      <c r="A260" s="11">
        <v>254</v>
      </c>
      <c r="C260" s="27">
        <v>0.92254461479707328</v>
      </c>
      <c r="D260" s="27">
        <v>7.7455385202926719E-2</v>
      </c>
      <c r="E260" s="27">
        <v>0</v>
      </c>
      <c r="F260" s="27">
        <v>0.85650859796706635</v>
      </c>
      <c r="G260" s="27">
        <v>0.14349140203293365</v>
      </c>
      <c r="H260" s="27">
        <v>0</v>
      </c>
      <c r="I260" s="27">
        <v>0.75135979881820469</v>
      </c>
      <c r="J260" s="27">
        <v>0.24864020118179531</v>
      </c>
      <c r="K260" s="27">
        <v>0</v>
      </c>
      <c r="L260" s="27">
        <v>0.19804264095683577</v>
      </c>
      <c r="M260" s="27">
        <v>0.41534873350690393</v>
      </c>
      <c r="N260" s="27">
        <v>0.3866086255362603</v>
      </c>
      <c r="O260" s="27">
        <v>-11.543172919283498</v>
      </c>
      <c r="P260" s="27">
        <v>3.6785924911310747E-2</v>
      </c>
      <c r="Q260" s="27">
        <v>4.5483357278931481E-5</v>
      </c>
      <c r="R260" s="27">
        <v>1.1067061866180952</v>
      </c>
      <c r="S260" s="154"/>
      <c r="T260">
        <v>1.053795582489627</v>
      </c>
      <c r="U260">
        <v>2.2173805977457386</v>
      </c>
      <c r="V260">
        <v>2.9603219490415684</v>
      </c>
      <c r="W260">
        <v>1</v>
      </c>
      <c r="Y260" s="2">
        <v>51.830226664357511</v>
      </c>
      <c r="Z260" s="2">
        <v>679.15748270855897</v>
      </c>
      <c r="AA260" s="2">
        <v>6911.6759510459933</v>
      </c>
      <c r="AB260" s="2">
        <v>1482.5256875274024</v>
      </c>
      <c r="AC260" s="2">
        <v>472.66280195522148</v>
      </c>
      <c r="AD260" s="2">
        <v>678.93016718252579</v>
      </c>
      <c r="AE260" s="2">
        <v>527.89517896515099</v>
      </c>
      <c r="AF260" s="2">
        <v>657.08113182874399</v>
      </c>
      <c r="AG260" s="2">
        <v>142.72518301675504</v>
      </c>
      <c r="AH260" s="2">
        <v>473.74941431317558</v>
      </c>
      <c r="AI260" s="2">
        <v>584248.99925502646</v>
      </c>
      <c r="AJ260" s="2">
        <v>560161.82577955292</v>
      </c>
      <c r="AL260" s="27">
        <v>0.92269553759755885</v>
      </c>
      <c r="AM260" s="27">
        <v>0.91922875182277686</v>
      </c>
      <c r="AN260" s="27">
        <v>0.89961031468897901</v>
      </c>
      <c r="AO260" s="27">
        <v>0.8391876883518441</v>
      </c>
      <c r="AP260" s="27">
        <v>0.68164609185606195</v>
      </c>
      <c r="AQ260" s="27">
        <v>0.92269553759755885</v>
      </c>
      <c r="AR260" s="27">
        <v>0.91922875182277686</v>
      </c>
      <c r="AS260" s="27">
        <v>0.89961031468897901</v>
      </c>
      <c r="AT260" s="27">
        <v>0.8391876883518441</v>
      </c>
      <c r="AU260" s="27">
        <v>0.68164609185606195</v>
      </c>
      <c r="AW260" s="1">
        <v>13.158307665765063</v>
      </c>
      <c r="AX260" s="1">
        <v>15.119230583431056</v>
      </c>
      <c r="AY260" s="2">
        <v>2036712.5034644031</v>
      </c>
      <c r="AZ260" s="1">
        <v>15.217635693661054</v>
      </c>
      <c r="BA260" s="1">
        <v>17.131583528936446</v>
      </c>
      <c r="BB260" s="2">
        <v>1548320.5233720653</v>
      </c>
      <c r="BC260" s="2">
        <f t="shared" si="28"/>
        <v>-488391.98009233782</v>
      </c>
      <c r="BD260" s="292">
        <f t="shared" si="29"/>
        <v>2.0593280278959902</v>
      </c>
      <c r="BF260" s="170">
        <f t="shared" si="24"/>
        <v>68616.723058007192</v>
      </c>
      <c r="BG260" s="2">
        <f t="shared" si="25"/>
        <v>886501.18761370331</v>
      </c>
      <c r="BI260">
        <f t="shared" si="26"/>
        <v>0</v>
      </c>
      <c r="BJ260" s="95">
        <f t="shared" si="27"/>
        <v>1</v>
      </c>
      <c r="BP260" s="217">
        <f t="shared" si="30"/>
        <v>886501.18761370331</v>
      </c>
    </row>
    <row r="261" spans="1:68">
      <c r="A261" s="11">
        <v>255</v>
      </c>
      <c r="C261" s="27">
        <v>0.92277888570148492</v>
      </c>
      <c r="D261" s="27">
        <v>7.7221114298515081E-2</v>
      </c>
      <c r="E261" s="27">
        <v>0</v>
      </c>
      <c r="F261" s="27">
        <v>0.85654269594478505</v>
      </c>
      <c r="G261" s="27">
        <v>0.14345730405521495</v>
      </c>
      <c r="H261" s="27">
        <v>0</v>
      </c>
      <c r="I261" s="27">
        <v>0.7491501030804858</v>
      </c>
      <c r="J261" s="27">
        <v>0.2508498969195142</v>
      </c>
      <c r="K261" s="27">
        <v>0</v>
      </c>
      <c r="L261" s="27">
        <v>0.21981199218805536</v>
      </c>
      <c r="M261" s="27">
        <v>0.4294862628898648</v>
      </c>
      <c r="N261" s="27">
        <v>0.35070174492207984</v>
      </c>
      <c r="O261" s="27">
        <v>-11.090003642531402</v>
      </c>
      <c r="P261" s="27">
        <v>3.6169812837186177E-2</v>
      </c>
      <c r="Q261" s="27">
        <v>6.9730586666184272E-5</v>
      </c>
      <c r="R261" s="27">
        <v>1.0529818245341593</v>
      </c>
      <c r="S261" s="154"/>
      <c r="T261">
        <v>1.0198163152554371</v>
      </c>
      <c r="U261">
        <v>2.2989192749344873</v>
      </c>
      <c r="V261">
        <v>2.9988167283475464</v>
      </c>
      <c r="W261">
        <v>1</v>
      </c>
      <c r="Y261" s="2">
        <v>1.4413105097265968</v>
      </c>
      <c r="Z261" s="2">
        <v>1736.1579808532131</v>
      </c>
      <c r="AA261" s="2">
        <v>651.12631659262911</v>
      </c>
      <c r="AB261" s="2">
        <v>2114.9394831903178</v>
      </c>
      <c r="AC261" s="2">
        <v>717.2831297361754</v>
      </c>
      <c r="AD261" s="2">
        <v>2444.0497234077284</v>
      </c>
      <c r="AE261" s="2">
        <v>562.34652827141144</v>
      </c>
      <c r="AF261" s="2">
        <v>1218.8964530267483</v>
      </c>
      <c r="AG261" s="2">
        <v>162.22714808081318</v>
      </c>
      <c r="AH261" s="2">
        <v>290.85365004486829</v>
      </c>
      <c r="AI261" s="2">
        <v>624954.09404735931</v>
      </c>
      <c r="AJ261" s="2">
        <v>600115.31279192585</v>
      </c>
      <c r="AL261" s="27">
        <v>0.91800501756984243</v>
      </c>
      <c r="AM261" s="27">
        <v>0.91187869427557522</v>
      </c>
      <c r="AN261" s="27">
        <v>0.90988696189161689</v>
      </c>
      <c r="AO261" s="27">
        <v>0.84712119310879286</v>
      </c>
      <c r="AP261" s="27">
        <v>0.74196588053723533</v>
      </c>
      <c r="AQ261" s="27">
        <v>0.91800501756984243</v>
      </c>
      <c r="AR261" s="27">
        <v>0.91187869427557522</v>
      </c>
      <c r="AS261" s="27">
        <v>0.90988696189161689</v>
      </c>
      <c r="AT261" s="27">
        <v>0.84712119310879286</v>
      </c>
      <c r="AU261" s="27">
        <v>0.74196588053723533</v>
      </c>
      <c r="AW261" s="1">
        <v>13.576051164399871</v>
      </c>
      <c r="AX261" s="1">
        <v>15.475221695979153</v>
      </c>
      <c r="AY261" s="2">
        <v>2391727.054557879</v>
      </c>
      <c r="AZ261" s="1">
        <v>15.449142955740244</v>
      </c>
      <c r="BA261" s="1">
        <v>17.339752816803564</v>
      </c>
      <c r="BB261" s="2">
        <v>1737981.6105738857</v>
      </c>
      <c r="BC261" s="2">
        <f t="shared" si="28"/>
        <v>-653745.44398399326</v>
      </c>
      <c r="BD261" s="292">
        <f t="shared" si="29"/>
        <v>1.8730917913403733</v>
      </c>
      <c r="BF261" s="170">
        <f t="shared" si="24"/>
        <v>-219558.86825389974</v>
      </c>
      <c r="BG261" s="2">
        <f t="shared" si="25"/>
        <v>733881.26234455337</v>
      </c>
      <c r="BI261">
        <f t="shared" si="26"/>
        <v>0</v>
      </c>
      <c r="BJ261" s="95">
        <f t="shared" si="27"/>
        <v>1</v>
      </c>
      <c r="BP261" s="217">
        <f t="shared" si="30"/>
        <v>733881.26234455337</v>
      </c>
    </row>
    <row r="262" spans="1:68">
      <c r="A262" s="11">
        <v>256</v>
      </c>
      <c r="C262" s="27">
        <v>0.92161552860032658</v>
      </c>
      <c r="D262" s="27">
        <v>7.8384471399673417E-2</v>
      </c>
      <c r="E262" s="27">
        <v>0</v>
      </c>
      <c r="F262" s="27">
        <v>0.8555228722946121</v>
      </c>
      <c r="G262" s="27">
        <v>0.1444771277053879</v>
      </c>
      <c r="H262" s="27">
        <v>0</v>
      </c>
      <c r="I262" s="27">
        <v>0.74105774706036931</v>
      </c>
      <c r="J262" s="27">
        <v>0.25894225293963069</v>
      </c>
      <c r="K262" s="27">
        <v>0</v>
      </c>
      <c r="L262" s="27">
        <v>0.1540812084030409</v>
      </c>
      <c r="M262" s="27">
        <v>0.48830499171477143</v>
      </c>
      <c r="N262" s="27">
        <v>0.35761379988218761</v>
      </c>
      <c r="O262" s="27">
        <v>-11.175173634882812</v>
      </c>
      <c r="P262" s="27">
        <v>3.6736269706594056E-2</v>
      </c>
      <c r="Q262" s="27">
        <v>6.5579310058871797E-5</v>
      </c>
      <c r="R262" s="27">
        <v>1.0617880933109642</v>
      </c>
      <c r="S262" s="154"/>
      <c r="T262">
        <v>1.0098170968197975</v>
      </c>
      <c r="U262">
        <v>2.2783384700790785</v>
      </c>
      <c r="V262">
        <v>2.8930870951417882</v>
      </c>
      <c r="W262">
        <v>1</v>
      </c>
      <c r="Y262" s="2">
        <v>94.4630946512208</v>
      </c>
      <c r="Z262" s="2">
        <v>1506.881179798921</v>
      </c>
      <c r="AA262" s="2">
        <v>402.71565743557494</v>
      </c>
      <c r="AB262" s="2">
        <v>1356.6273788012807</v>
      </c>
      <c r="AC262" s="2">
        <v>3429.887175760387</v>
      </c>
      <c r="AD262" s="2">
        <v>10.102568788704719</v>
      </c>
      <c r="AE262" s="2">
        <v>565.59106644914061</v>
      </c>
      <c r="AF262" s="2">
        <v>1034.1710876165912</v>
      </c>
      <c r="AG262" s="2">
        <v>103.45884618872387</v>
      </c>
      <c r="AH262" s="2">
        <v>438.00167857480699</v>
      </c>
      <c r="AI262" s="2">
        <v>509589.05646159401</v>
      </c>
      <c r="AJ262" s="2">
        <v>466752.78354502394</v>
      </c>
      <c r="AL262" s="27">
        <v>0.91397873194683488</v>
      </c>
      <c r="AM262" s="27">
        <v>0.91766463461385595</v>
      </c>
      <c r="AN262" s="27">
        <v>0.8998138577083562</v>
      </c>
      <c r="AO262" s="27">
        <v>0.87855671707281879</v>
      </c>
      <c r="AP262" s="27">
        <v>0.75502542549277896</v>
      </c>
      <c r="AQ262" s="27">
        <v>0.91397873194683488</v>
      </c>
      <c r="AR262" s="27">
        <v>0.91766463461385595</v>
      </c>
      <c r="AS262" s="27">
        <v>0.8998138577083562</v>
      </c>
      <c r="AT262" s="27">
        <v>0.87855671707281879</v>
      </c>
      <c r="AU262" s="27">
        <v>0.75502542549277896</v>
      </c>
      <c r="AW262" s="1">
        <v>13.659566364910557</v>
      </c>
      <c r="AX262" s="1">
        <v>15.556293900392596</v>
      </c>
      <c r="AY262" s="2">
        <v>1991399.0817138194</v>
      </c>
      <c r="AZ262" s="1">
        <v>15.436745637782749</v>
      </c>
      <c r="BA262" s="1">
        <v>17.334505204677875</v>
      </c>
      <c r="BB262" s="2">
        <v>1401354.6753217543</v>
      </c>
      <c r="BC262" s="2">
        <f t="shared" si="28"/>
        <v>-590044.40639206511</v>
      </c>
      <c r="BD262" s="292">
        <f t="shared" si="29"/>
        <v>1.7771792728721927</v>
      </c>
      <c r="BF262" s="170">
        <f t="shared" si="24"/>
        <v>194131.53667186946</v>
      </c>
      <c r="BG262" s="2">
        <f t="shared" si="25"/>
        <v>1068524.6267234858</v>
      </c>
      <c r="BI262">
        <f t="shared" si="26"/>
        <v>0</v>
      </c>
      <c r="BJ262" s="95">
        <f t="shared" si="27"/>
        <v>1</v>
      </c>
      <c r="BP262" s="217">
        <f t="shared" si="30"/>
        <v>1068524.6267234858</v>
      </c>
    </row>
    <row r="263" spans="1:68">
      <c r="A263" s="11">
        <v>257</v>
      </c>
      <c r="C263" s="27">
        <v>0.92356564927370743</v>
      </c>
      <c r="D263" s="27">
        <v>7.6434350726292594E-2</v>
      </c>
      <c r="E263" s="27">
        <v>0</v>
      </c>
      <c r="F263" s="27">
        <v>0.85644135317197678</v>
      </c>
      <c r="G263" s="27">
        <v>0.14355864682802322</v>
      </c>
      <c r="H263" s="27">
        <v>0</v>
      </c>
      <c r="I263" s="27">
        <v>0.75160327827794926</v>
      </c>
      <c r="J263" s="27">
        <v>0.24839672172205074</v>
      </c>
      <c r="K263" s="27">
        <v>0</v>
      </c>
      <c r="L263" s="27">
        <v>0.16728690718414668</v>
      </c>
      <c r="M263" s="27">
        <v>0.50380819298544632</v>
      </c>
      <c r="N263" s="27">
        <v>0.32890489983040699</v>
      </c>
      <c r="O263" s="27">
        <v>-10.934803455021449</v>
      </c>
      <c r="P263" s="27">
        <v>3.251270763107765E-2</v>
      </c>
      <c r="Q263" s="27">
        <v>6.984236844842425E-5</v>
      </c>
      <c r="R263" s="27">
        <v>1.0572003913589727</v>
      </c>
      <c r="S263" s="154"/>
      <c r="T263">
        <v>1.0266007445422798</v>
      </c>
      <c r="U263">
        <v>2.2494208210246249</v>
      </c>
      <c r="V263">
        <v>2.7675173215391573</v>
      </c>
      <c r="W263">
        <v>1</v>
      </c>
      <c r="Y263" s="2">
        <v>2827.6793955627732</v>
      </c>
      <c r="Z263" s="2">
        <v>379.08584644209748</v>
      </c>
      <c r="AA263" s="2">
        <v>1039.2382484471477</v>
      </c>
      <c r="AB263" s="2">
        <v>554.80626861178678</v>
      </c>
      <c r="AC263" s="2">
        <v>1796.9940111537953</v>
      </c>
      <c r="AD263" s="2">
        <v>689.73551458229906</v>
      </c>
      <c r="AE263" s="2">
        <v>565.71189824979012</v>
      </c>
      <c r="AF263" s="2">
        <v>1126.667818995682</v>
      </c>
      <c r="AG263" s="2">
        <v>45.110698410899872</v>
      </c>
      <c r="AH263" s="2">
        <v>296.63445366813477</v>
      </c>
      <c r="AI263" s="2">
        <v>501003.95131025842</v>
      </c>
      <c r="AJ263" s="2">
        <v>469316.88354098483</v>
      </c>
      <c r="AL263" s="27">
        <v>0.92114868260366778</v>
      </c>
      <c r="AM263" s="27">
        <v>0.91604315874824005</v>
      </c>
      <c r="AN263" s="27">
        <v>0.90863830668391921</v>
      </c>
      <c r="AO263" s="27">
        <v>0.85631163834838853</v>
      </c>
      <c r="AP263" s="27">
        <v>0.76281432849802</v>
      </c>
      <c r="AQ263" s="27">
        <v>0.92114868260366778</v>
      </c>
      <c r="AR263" s="27">
        <v>0.91604315874824005</v>
      </c>
      <c r="AS263" s="27">
        <v>0.90863830668391921</v>
      </c>
      <c r="AT263" s="27">
        <v>0.85631163834838853</v>
      </c>
      <c r="AU263" s="27">
        <v>0.76281432849802</v>
      </c>
      <c r="AW263" s="1">
        <v>13.933332832570725</v>
      </c>
      <c r="AX263" s="1">
        <v>15.784491091525959</v>
      </c>
      <c r="AY263" s="2">
        <v>2048504.6456981141</v>
      </c>
      <c r="AZ263" s="1">
        <v>15.693945249899624</v>
      </c>
      <c r="BA263" s="1">
        <v>17.533058883072933</v>
      </c>
      <c r="BB263" s="2">
        <v>1435851.5879075476</v>
      </c>
      <c r="BC263" s="2">
        <f t="shared" si="28"/>
        <v>-612653.05779056647</v>
      </c>
      <c r="BD263" s="292">
        <f t="shared" si="29"/>
        <v>1.7606124173288986</v>
      </c>
      <c r="BF263" s="170">
        <f t="shared" ref="BF263:BF326" si="31">AW263*Threshold-AY263</f>
        <v>180828.60751320212</v>
      </c>
      <c r="BG263" s="2">
        <f t="shared" ref="BG263:BG326" si="32">AZ263*Threshold-BB263</f>
        <v>1075179.6520763924</v>
      </c>
      <c r="BI263">
        <f t="shared" ref="BI263:BI326" si="33">IF(MAX($BF263:$BG263)=$BF263,1,0)</f>
        <v>0</v>
      </c>
      <c r="BJ263" s="95">
        <f t="shared" ref="BJ263:BJ326" si="34">IF(MAX($BF263:$BG263)=$BF263,0,1)</f>
        <v>1</v>
      </c>
      <c r="BP263" s="217">
        <f t="shared" si="30"/>
        <v>1075179.6520763924</v>
      </c>
    </row>
    <row r="264" spans="1:68">
      <c r="A264" s="11">
        <v>258</v>
      </c>
      <c r="C264" s="27">
        <v>0.92267162952655057</v>
      </c>
      <c r="D264" s="27">
        <v>7.7328370473449426E-2</v>
      </c>
      <c r="E264" s="27">
        <v>0</v>
      </c>
      <c r="F264" s="27">
        <v>0.85788260994991228</v>
      </c>
      <c r="G264" s="27">
        <v>0.14211739005008769</v>
      </c>
      <c r="H264" s="27">
        <v>0</v>
      </c>
      <c r="I264" s="27">
        <v>0.76194529166477931</v>
      </c>
      <c r="J264" s="27">
        <v>0.23805470833522066</v>
      </c>
      <c r="K264" s="27">
        <v>0</v>
      </c>
      <c r="L264" s="27">
        <v>0.2019794850708016</v>
      </c>
      <c r="M264" s="27">
        <v>0.45377404528651383</v>
      </c>
      <c r="N264" s="27">
        <v>0.34424646964268463</v>
      </c>
      <c r="O264" s="27">
        <v>-11.606567156151785</v>
      </c>
      <c r="P264" s="27">
        <v>3.9040919409442126E-2</v>
      </c>
      <c r="Q264" s="27">
        <v>4.6930229356984684E-5</v>
      </c>
      <c r="R264" s="27">
        <v>1.1013097728173009</v>
      </c>
      <c r="S264" s="154"/>
      <c r="T264">
        <v>0.90244745005156601</v>
      </c>
      <c r="U264">
        <v>2.1907101651063559</v>
      </c>
      <c r="V264">
        <v>2.9760977372542201</v>
      </c>
      <c r="W264">
        <v>1</v>
      </c>
      <c r="Y264" s="2">
        <v>1091.5447870815269</v>
      </c>
      <c r="Z264" s="2">
        <v>4029.2479305337019</v>
      </c>
      <c r="AA264" s="2">
        <v>1178.0649173331551</v>
      </c>
      <c r="AB264" s="2">
        <v>5377.9248308090837</v>
      </c>
      <c r="AC264" s="2">
        <v>446.01045007462039</v>
      </c>
      <c r="AD264" s="2">
        <v>1679.7926624265876</v>
      </c>
      <c r="AE264" s="2">
        <v>539.00730599164956</v>
      </c>
      <c r="AF264" s="2">
        <v>910.44927681571153</v>
      </c>
      <c r="AG264" s="2">
        <v>269.28370183122195</v>
      </c>
      <c r="AH264" s="2">
        <v>438.85571862495414</v>
      </c>
      <c r="AI264" s="2">
        <v>521750.9342791501</v>
      </c>
      <c r="AJ264" s="2">
        <v>490364.31208354089</v>
      </c>
      <c r="AL264" s="27">
        <v>0.91555941149675724</v>
      </c>
      <c r="AM264" s="27">
        <v>0.91532447226307756</v>
      </c>
      <c r="AN264" s="27">
        <v>0.89904292285932308</v>
      </c>
      <c r="AO264" s="27">
        <v>0.86198648905321751</v>
      </c>
      <c r="AP264" s="27">
        <v>0.59381163334027309</v>
      </c>
      <c r="AQ264" s="27">
        <v>0.91555941149675724</v>
      </c>
      <c r="AR264" s="27">
        <v>0.91532447226307756</v>
      </c>
      <c r="AS264" s="27">
        <v>0.89904292285932308</v>
      </c>
      <c r="AT264" s="27">
        <v>0.86198648905321751</v>
      </c>
      <c r="AU264" s="27">
        <v>0.59381163334027309</v>
      </c>
      <c r="AW264" s="1">
        <v>13.560171045477533</v>
      </c>
      <c r="AX264" s="1">
        <v>15.913856689838846</v>
      </c>
      <c r="AY264" s="2">
        <v>1882867.9248911662</v>
      </c>
      <c r="AZ264" s="1">
        <v>15.163642112173619</v>
      </c>
      <c r="BA264" s="1">
        <v>17.40613189282022</v>
      </c>
      <c r="BB264" s="2">
        <v>1477177.2018019017</v>
      </c>
      <c r="BC264" s="2">
        <f t="shared" ref="BC264:BC327" si="35">BB264-AY264</f>
        <v>-405690.72308926447</v>
      </c>
      <c r="BD264" s="292">
        <f t="shared" ref="BD264:BD327" si="36">AZ264-AW264</f>
        <v>1.6034710666960859</v>
      </c>
      <c r="BF264" s="170">
        <f t="shared" si="31"/>
        <v>286759.44238523929</v>
      </c>
      <c r="BG264" s="2">
        <f t="shared" si="32"/>
        <v>949005.53614587756</v>
      </c>
      <c r="BI264">
        <f t="shared" si="33"/>
        <v>0</v>
      </c>
      <c r="BJ264" s="95">
        <f t="shared" si="34"/>
        <v>1</v>
      </c>
      <c r="BP264" s="217">
        <f t="shared" ref="BP264:BP327" si="37">MAX(BF264,BG264)</f>
        <v>949005.53614587756</v>
      </c>
    </row>
    <row r="265" spans="1:68">
      <c r="A265" s="11">
        <v>259</v>
      </c>
      <c r="C265" s="27">
        <v>0.92540831895135767</v>
      </c>
      <c r="D265" s="27">
        <v>7.4591681048642347E-2</v>
      </c>
      <c r="E265" s="27">
        <v>0</v>
      </c>
      <c r="F265" s="27">
        <v>0.86045486575718844</v>
      </c>
      <c r="G265" s="27">
        <v>0.13954513424281159</v>
      </c>
      <c r="H265" s="27">
        <v>0</v>
      </c>
      <c r="I265" s="27">
        <v>0.75525950078365001</v>
      </c>
      <c r="J265" s="27">
        <v>0.24474049921634994</v>
      </c>
      <c r="K265" s="27">
        <v>0</v>
      </c>
      <c r="L265" s="27">
        <v>0.22655601555295929</v>
      </c>
      <c r="M265" s="27">
        <v>0.47354280011102573</v>
      </c>
      <c r="N265" s="27">
        <v>0.29990118433601493</v>
      </c>
      <c r="O265" s="27">
        <v>-10.774354307378973</v>
      </c>
      <c r="P265" s="27">
        <v>3.1948579846659012E-2</v>
      </c>
      <c r="Q265" s="27">
        <v>8.007763520348966E-5</v>
      </c>
      <c r="R265" s="27">
        <v>1.0460269503545994</v>
      </c>
      <c r="S265" s="154"/>
      <c r="T265">
        <v>0.89706370190879225</v>
      </c>
      <c r="U265">
        <v>2.1957977177049988</v>
      </c>
      <c r="V265">
        <v>3.0017586287761979</v>
      </c>
      <c r="W265">
        <v>1</v>
      </c>
      <c r="Y265" s="2">
        <v>384.22635043355115</v>
      </c>
      <c r="Z265" s="2">
        <v>7813.7863646499127</v>
      </c>
      <c r="AA265" s="2">
        <v>264.44259530517689</v>
      </c>
      <c r="AB265" s="2">
        <v>3592.53807678463</v>
      </c>
      <c r="AC265" s="2">
        <v>336.99100751777479</v>
      </c>
      <c r="AD265" s="2">
        <v>1698.2542981872227</v>
      </c>
      <c r="AE265" s="2">
        <v>580.85442622219523</v>
      </c>
      <c r="AF265" s="2">
        <v>981.46625805049769</v>
      </c>
      <c r="AG265" s="2">
        <v>73.204422280382047</v>
      </c>
      <c r="AH265" s="2">
        <v>388.88204390901274</v>
      </c>
      <c r="AI265" s="2">
        <v>605876.85525833105</v>
      </c>
      <c r="AJ265" s="2">
        <v>556341.87748545082</v>
      </c>
      <c r="AL265" s="27">
        <v>0.92222614947666814</v>
      </c>
      <c r="AM265" s="27">
        <v>0.91035161677805188</v>
      </c>
      <c r="AN265" s="27">
        <v>0.90469894246452609</v>
      </c>
      <c r="AO265" s="27">
        <v>0.88102578112399055</v>
      </c>
      <c r="AP265" s="27">
        <v>0.66218352542745396</v>
      </c>
      <c r="AQ265" s="27">
        <v>0.92222614947666814</v>
      </c>
      <c r="AR265" s="27">
        <v>0.91035161677805188</v>
      </c>
      <c r="AS265" s="27">
        <v>0.90469894246452609</v>
      </c>
      <c r="AT265" s="27">
        <v>0.88102578112399055</v>
      </c>
      <c r="AU265" s="27">
        <v>0.66218352542745396</v>
      </c>
      <c r="AW265" s="1">
        <v>14.124123110668593</v>
      </c>
      <c r="AX265" s="1">
        <v>16.269762755033337</v>
      </c>
      <c r="AY265" s="2">
        <v>2272827.2908427622</v>
      </c>
      <c r="AZ265" s="1">
        <v>15.579686587240287</v>
      </c>
      <c r="BA265" s="1">
        <v>17.660564427606534</v>
      </c>
      <c r="BB265" s="2">
        <v>1697811.8141241509</v>
      </c>
      <c r="BC265" s="2">
        <f t="shared" si="35"/>
        <v>-575015.47671861132</v>
      </c>
      <c r="BD265" s="292">
        <f t="shared" si="36"/>
        <v>1.4555634765716938</v>
      </c>
      <c r="BF265" s="170">
        <f t="shared" si="31"/>
        <v>-12967.593135787174</v>
      </c>
      <c r="BG265" s="2">
        <f t="shared" si="32"/>
        <v>794938.03983429517</v>
      </c>
      <c r="BI265">
        <f t="shared" si="33"/>
        <v>0</v>
      </c>
      <c r="BJ265" s="95">
        <f t="shared" si="34"/>
        <v>1</v>
      </c>
      <c r="BP265" s="217">
        <f t="shared" si="37"/>
        <v>794938.03983429517</v>
      </c>
    </row>
    <row r="266" spans="1:68">
      <c r="A266" s="11">
        <v>260</v>
      </c>
      <c r="C266" s="27">
        <v>0.92245237543870129</v>
      </c>
      <c r="D266" s="27">
        <v>7.7547624561298711E-2</v>
      </c>
      <c r="E266" s="27">
        <v>0</v>
      </c>
      <c r="F266" s="27">
        <v>0.85149835846694566</v>
      </c>
      <c r="G266" s="27">
        <v>0.14850164153305434</v>
      </c>
      <c r="H266" s="27">
        <v>0</v>
      </c>
      <c r="I266" s="27">
        <v>0.74463292411495186</v>
      </c>
      <c r="J266" s="27">
        <v>0.25536707588504814</v>
      </c>
      <c r="K266" s="27">
        <v>0</v>
      </c>
      <c r="L266" s="27">
        <v>7.1966360424868148E-2</v>
      </c>
      <c r="M266" s="27">
        <v>0.54772481249339078</v>
      </c>
      <c r="N266" s="27">
        <v>0.38030882708174107</v>
      </c>
      <c r="O266" s="27">
        <v>-11.356788519852243</v>
      </c>
      <c r="P266" s="27">
        <v>3.8662103700774678E-2</v>
      </c>
      <c r="Q266" s="27">
        <v>5.9295320675805606E-5</v>
      </c>
      <c r="R266" s="27">
        <v>1.0695367033965633</v>
      </c>
      <c r="S266" s="154"/>
      <c r="T266">
        <v>0.97375586035746198</v>
      </c>
      <c r="U266">
        <v>2.2064960801996336</v>
      </c>
      <c r="V266">
        <v>2.9165378624267473</v>
      </c>
      <c r="W266">
        <v>1</v>
      </c>
      <c r="Y266" s="2">
        <v>72.736765828664119</v>
      </c>
      <c r="Z266" s="2">
        <v>3506.9589445029046</v>
      </c>
      <c r="AA266" s="2">
        <v>1426.5153966644589</v>
      </c>
      <c r="AB266" s="2">
        <v>8893.3834752348503</v>
      </c>
      <c r="AC266" s="2">
        <v>1117.6565437164422</v>
      </c>
      <c r="AD266" s="2">
        <v>1518.3932507504055</v>
      </c>
      <c r="AE266" s="2">
        <v>538.78283261014576</v>
      </c>
      <c r="AF266" s="2">
        <v>907.74022387346088</v>
      </c>
      <c r="AG266" s="2">
        <v>214.24506342048161</v>
      </c>
      <c r="AH266" s="2">
        <v>703.97367486017345</v>
      </c>
      <c r="AI266" s="2">
        <v>345213.37460722588</v>
      </c>
      <c r="AJ266" s="2">
        <v>308762.12288068404</v>
      </c>
      <c r="AL266" s="27">
        <v>0.92134030640970832</v>
      </c>
      <c r="AM266" s="27">
        <v>0.91792725511163487</v>
      </c>
      <c r="AN266" s="27">
        <v>0.90702070148659286</v>
      </c>
      <c r="AO266" s="27">
        <v>0.83715844635848424</v>
      </c>
      <c r="AP266" s="27">
        <v>0.68301618350029258</v>
      </c>
      <c r="AQ266" s="27">
        <v>0.92134030640970832</v>
      </c>
      <c r="AR266" s="27">
        <v>0.91792725511163487</v>
      </c>
      <c r="AS266" s="27">
        <v>0.90702070148659286</v>
      </c>
      <c r="AT266" s="27">
        <v>0.83715844635848424</v>
      </c>
      <c r="AU266" s="27">
        <v>0.68301618350029258</v>
      </c>
      <c r="AW266" s="1">
        <v>13.647899272531411</v>
      </c>
      <c r="AX266" s="1">
        <v>15.762067649212606</v>
      </c>
      <c r="AY266" s="2">
        <v>1359511.022130115</v>
      </c>
      <c r="AZ266" s="1">
        <v>15.343631494834293</v>
      </c>
      <c r="BA266" s="1">
        <v>17.375284960506637</v>
      </c>
      <c r="BB266" s="2">
        <v>1148298.4121454421</v>
      </c>
      <c r="BC266" s="2">
        <f t="shared" si="35"/>
        <v>-211212.60998467286</v>
      </c>
      <c r="BD266" s="292">
        <f t="shared" si="36"/>
        <v>1.6957322223028815</v>
      </c>
      <c r="BF266" s="170">
        <f t="shared" si="31"/>
        <v>824152.86147491075</v>
      </c>
      <c r="BG266" s="2">
        <f t="shared" si="32"/>
        <v>1306682.6270280445</v>
      </c>
      <c r="BI266">
        <f t="shared" si="33"/>
        <v>0</v>
      </c>
      <c r="BJ266" s="95">
        <f t="shared" si="34"/>
        <v>1</v>
      </c>
      <c r="BP266" s="217">
        <f t="shared" si="37"/>
        <v>1306682.6270280445</v>
      </c>
    </row>
    <row r="267" spans="1:68">
      <c r="A267" s="11">
        <v>261</v>
      </c>
      <c r="C267" s="27">
        <v>0.9224734880765022</v>
      </c>
      <c r="D267" s="27">
        <v>7.7526511923497798E-2</v>
      </c>
      <c r="E267" s="27">
        <v>0</v>
      </c>
      <c r="F267" s="27">
        <v>0.85680203417418677</v>
      </c>
      <c r="G267" s="27">
        <v>0.14319796582581323</v>
      </c>
      <c r="H267" s="27">
        <v>0</v>
      </c>
      <c r="I267" s="27">
        <v>0.75478060819652348</v>
      </c>
      <c r="J267" s="27">
        <v>0.24521939180347652</v>
      </c>
      <c r="K267" s="27">
        <v>0</v>
      </c>
      <c r="L267" s="27">
        <v>0.1495443407426803</v>
      </c>
      <c r="M267" s="27">
        <v>0.52346082634135449</v>
      </c>
      <c r="N267" s="27">
        <v>0.32699483291596521</v>
      </c>
      <c r="O267" s="27">
        <v>-11.164991720277694</v>
      </c>
      <c r="P267" s="27">
        <v>3.4308379283154042E-2</v>
      </c>
      <c r="Q267" s="27">
        <v>5.982781984511898E-5</v>
      </c>
      <c r="R267" s="27">
        <v>1.0714981939238817</v>
      </c>
      <c r="S267" s="154"/>
      <c r="T267">
        <v>1.0080268647522577</v>
      </c>
      <c r="U267">
        <v>2.2310439423563868</v>
      </c>
      <c r="V267">
        <v>3.0247447683392434</v>
      </c>
      <c r="W267">
        <v>1</v>
      </c>
      <c r="Y267" s="2">
        <v>2058.6475392896236</v>
      </c>
      <c r="Z267" s="2">
        <v>2535.4785909637799</v>
      </c>
      <c r="AA267" s="2">
        <v>1120.7756080099939</v>
      </c>
      <c r="AB267" s="2">
        <v>13060.565144866252</v>
      </c>
      <c r="AC267" s="2">
        <v>37.155604581030296</v>
      </c>
      <c r="AD267" s="2">
        <v>778.53235283962806</v>
      </c>
      <c r="AE267" s="2">
        <v>666.37387330115405</v>
      </c>
      <c r="AF267" s="2">
        <v>1089.1758993388603</v>
      </c>
      <c r="AG267" s="2">
        <v>207.19723588326835</v>
      </c>
      <c r="AH267" s="2">
        <v>509.37091918347875</v>
      </c>
      <c r="AI267" s="2">
        <v>812169.89380108134</v>
      </c>
      <c r="AJ267" s="2">
        <v>782344.38440969808</v>
      </c>
      <c r="AL267" s="27">
        <v>0.91616880098011733</v>
      </c>
      <c r="AM267" s="27">
        <v>0.9089214924521748</v>
      </c>
      <c r="AN267" s="27">
        <v>0.91554588424404793</v>
      </c>
      <c r="AO267" s="27">
        <v>0.8482069405566135</v>
      </c>
      <c r="AP267" s="27">
        <v>0.63628608172378875</v>
      </c>
      <c r="AQ267" s="27">
        <v>0.91616880098011733</v>
      </c>
      <c r="AR267" s="27">
        <v>0.9089214924521748</v>
      </c>
      <c r="AS267" s="27">
        <v>0.91554588424404793</v>
      </c>
      <c r="AT267" s="27">
        <v>0.8482069405566135</v>
      </c>
      <c r="AU267" s="27">
        <v>0.63628608172378875</v>
      </c>
      <c r="AW267" s="1">
        <v>13.468808161591159</v>
      </c>
      <c r="AX267" s="1">
        <v>15.840540700101128</v>
      </c>
      <c r="AY267" s="2">
        <v>3449804.9184735934</v>
      </c>
      <c r="AZ267" s="1">
        <v>15.339816770487833</v>
      </c>
      <c r="BA267" s="1">
        <v>17.567713717381846</v>
      </c>
      <c r="BB267" s="2">
        <v>2627627.6165924608</v>
      </c>
      <c r="BC267" s="2">
        <f t="shared" si="35"/>
        <v>-822177.30188113265</v>
      </c>
      <c r="BD267" s="292">
        <f t="shared" si="36"/>
        <v>1.8710086088966733</v>
      </c>
      <c r="BF267" s="170">
        <f t="shared" si="31"/>
        <v>-1294795.6126190079</v>
      </c>
      <c r="BG267" s="2">
        <f t="shared" si="32"/>
        <v>-173256.93331440771</v>
      </c>
      <c r="BI267">
        <f t="shared" si="33"/>
        <v>0</v>
      </c>
      <c r="BJ267" s="95">
        <f t="shared" si="34"/>
        <v>1</v>
      </c>
      <c r="BP267" s="217">
        <f t="shared" si="37"/>
        <v>-173256.93331440771</v>
      </c>
    </row>
    <row r="268" spans="1:68">
      <c r="A268" s="11">
        <v>262</v>
      </c>
      <c r="C268" s="27">
        <v>0.92130493168643046</v>
      </c>
      <c r="D268" s="27">
        <v>7.8695068313569538E-2</v>
      </c>
      <c r="E268" s="27">
        <v>0</v>
      </c>
      <c r="F268" s="27">
        <v>0.8577515496535334</v>
      </c>
      <c r="G268" s="27">
        <v>0.14224845034646663</v>
      </c>
      <c r="H268" s="27">
        <v>0</v>
      </c>
      <c r="I268" s="27">
        <v>0.7455112899935743</v>
      </c>
      <c r="J268" s="27">
        <v>0.2544887100064257</v>
      </c>
      <c r="K268" s="27">
        <v>0</v>
      </c>
      <c r="L268" s="27">
        <v>9.1170946212788595E-2</v>
      </c>
      <c r="M268" s="27">
        <v>0.53591599247973098</v>
      </c>
      <c r="N268" s="27">
        <v>0.37291306130748042</v>
      </c>
      <c r="O268" s="27">
        <v>-11.455680689638251</v>
      </c>
      <c r="P268" s="27">
        <v>3.7613886196062096E-2</v>
      </c>
      <c r="Q268" s="27">
        <v>5.1398710703685246E-5</v>
      </c>
      <c r="R268" s="27">
        <v>1.0946363593878201</v>
      </c>
      <c r="S268" s="154"/>
      <c r="T268">
        <v>1.0373382461491012</v>
      </c>
      <c r="U268">
        <v>2.2302784230679173</v>
      </c>
      <c r="V268">
        <v>3.1833724694084649</v>
      </c>
      <c r="W268">
        <v>1</v>
      </c>
      <c r="Y268" s="2">
        <v>57.420207161145207</v>
      </c>
      <c r="Z268" s="2">
        <v>274.41029265668686</v>
      </c>
      <c r="AA268" s="2">
        <v>3132.5362888889731</v>
      </c>
      <c r="AB268" s="2">
        <v>660.74735729109409</v>
      </c>
      <c r="AC268" s="2">
        <v>218.92593403106287</v>
      </c>
      <c r="AD268" s="2">
        <v>76.408197848166395</v>
      </c>
      <c r="AE268" s="2">
        <v>570.03916316626692</v>
      </c>
      <c r="AF268" s="2">
        <v>959.30635539695857</v>
      </c>
      <c r="AG268" s="2">
        <v>162.5404678999891</v>
      </c>
      <c r="AH268" s="2">
        <v>445.52850975481527</v>
      </c>
      <c r="AI268" s="2">
        <v>523451.75531211356</v>
      </c>
      <c r="AJ268" s="2">
        <v>479597.1492494503</v>
      </c>
      <c r="AL268" s="27">
        <v>0.91925215428127727</v>
      </c>
      <c r="AM268" s="27">
        <v>0.91309640401887038</v>
      </c>
      <c r="AN268" s="27">
        <v>0.91676617585805942</v>
      </c>
      <c r="AO268" s="27">
        <v>0.84488734925920461</v>
      </c>
      <c r="AP268" s="27">
        <v>0.62317440669382296</v>
      </c>
      <c r="AQ268" s="27">
        <v>0.91925215428127727</v>
      </c>
      <c r="AR268" s="27">
        <v>0.91309640401887038</v>
      </c>
      <c r="AS268" s="27">
        <v>0.91676617585805942</v>
      </c>
      <c r="AT268" s="27">
        <v>0.84488734925920461</v>
      </c>
      <c r="AU268" s="27">
        <v>0.62317440669382296</v>
      </c>
      <c r="AW268" s="1">
        <v>13.115538408945959</v>
      </c>
      <c r="AX268" s="1">
        <v>15.423246542374693</v>
      </c>
      <c r="AY268" s="2">
        <v>2005066.1078478605</v>
      </c>
      <c r="AZ268" s="1">
        <v>15.170173601240363</v>
      </c>
      <c r="BA268" s="1">
        <v>17.330028246763586</v>
      </c>
      <c r="BB268" s="2">
        <v>1457728.3891821897</v>
      </c>
      <c r="BC268" s="2">
        <f t="shared" si="35"/>
        <v>-547337.71866567084</v>
      </c>
      <c r="BD268" s="292">
        <f t="shared" si="36"/>
        <v>2.0546351922944037</v>
      </c>
      <c r="BF268" s="170">
        <f t="shared" si="31"/>
        <v>93420.037583492696</v>
      </c>
      <c r="BG268" s="2">
        <f t="shared" si="32"/>
        <v>969499.38701626821</v>
      </c>
      <c r="BI268">
        <f t="shared" si="33"/>
        <v>0</v>
      </c>
      <c r="BJ268" s="95">
        <f t="shared" si="34"/>
        <v>1</v>
      </c>
      <c r="BP268" s="217">
        <f t="shared" si="37"/>
        <v>969499.38701626821</v>
      </c>
    </row>
    <row r="269" spans="1:68">
      <c r="A269" s="11">
        <v>263</v>
      </c>
      <c r="C269" s="27">
        <v>0.92297039388069713</v>
      </c>
      <c r="D269" s="27">
        <v>7.7029606119302874E-2</v>
      </c>
      <c r="E269" s="27">
        <v>0</v>
      </c>
      <c r="F269" s="27">
        <v>0.85338835022460835</v>
      </c>
      <c r="G269" s="27">
        <v>0.14661164977539165</v>
      </c>
      <c r="H269" s="27">
        <v>0</v>
      </c>
      <c r="I269" s="27">
        <v>0.75064817438844278</v>
      </c>
      <c r="J269" s="27">
        <v>0.24935182561155722</v>
      </c>
      <c r="K269" s="27">
        <v>0</v>
      </c>
      <c r="L269" s="27">
        <v>0.23185529797475507</v>
      </c>
      <c r="M269" s="27">
        <v>0.48732955655747123</v>
      </c>
      <c r="N269" s="27">
        <v>0.2808151454677737</v>
      </c>
      <c r="O269" s="27">
        <v>-11.526225366907729</v>
      </c>
      <c r="P269" s="27">
        <v>3.5836932898507451E-2</v>
      </c>
      <c r="Q269" s="27">
        <v>4.4453174324908061E-5</v>
      </c>
      <c r="R269" s="27">
        <v>1.1171697606350226</v>
      </c>
      <c r="S269" s="154"/>
      <c r="T269">
        <v>1.0877717852666908</v>
      </c>
      <c r="U269">
        <v>2.2625018066527649</v>
      </c>
      <c r="V269">
        <v>2.8558643922101168</v>
      </c>
      <c r="W269">
        <v>1</v>
      </c>
      <c r="Y269" s="2">
        <v>71.147380225757843</v>
      </c>
      <c r="Z269" s="2">
        <v>954.99224822728695</v>
      </c>
      <c r="AA269" s="2">
        <v>62.607153442035766</v>
      </c>
      <c r="AB269" s="2">
        <v>1553.4976868882002</v>
      </c>
      <c r="AC269" s="2">
        <v>138.02450997202374</v>
      </c>
      <c r="AD269" s="2">
        <v>948.95873561489361</v>
      </c>
      <c r="AE269" s="2">
        <v>556.09920100543718</v>
      </c>
      <c r="AF269" s="2">
        <v>1185.5056374896251</v>
      </c>
      <c r="AG269" s="2">
        <v>100.9437054196205</v>
      </c>
      <c r="AH269" s="2">
        <v>473.78854561836454</v>
      </c>
      <c r="AI269" s="2">
        <v>538612.24264151044</v>
      </c>
      <c r="AJ269" s="2">
        <v>506029.22444421711</v>
      </c>
      <c r="AL269" s="27">
        <v>0.91717822933404125</v>
      </c>
      <c r="AM269" s="27">
        <v>0.91570892083306055</v>
      </c>
      <c r="AN269" s="27">
        <v>0.91748164471958338</v>
      </c>
      <c r="AO269" s="27">
        <v>0.88190834772961901</v>
      </c>
      <c r="AP269" s="27">
        <v>0.59377740465195661</v>
      </c>
      <c r="AQ269" s="27">
        <v>0.91717822933404125</v>
      </c>
      <c r="AR269" s="27">
        <v>0.91570892083306055</v>
      </c>
      <c r="AS269" s="27">
        <v>0.91748164471958338</v>
      </c>
      <c r="AT269" s="27">
        <v>0.88190834772961901</v>
      </c>
      <c r="AU269" s="27">
        <v>0.59377740465195661</v>
      </c>
      <c r="AW269" s="1">
        <v>13.133042164008346</v>
      </c>
      <c r="AX269" s="1">
        <v>15.597014882389232</v>
      </c>
      <c r="AY269" s="2">
        <v>2208477.6482557463</v>
      </c>
      <c r="AZ269" s="1">
        <v>15.254405764733884</v>
      </c>
      <c r="BA269" s="1">
        <v>17.51291195101328</v>
      </c>
      <c r="BB269" s="2">
        <v>1552317.7106646823</v>
      </c>
      <c r="BC269" s="2">
        <f t="shared" si="35"/>
        <v>-656159.93759106402</v>
      </c>
      <c r="BD269" s="292">
        <f t="shared" si="36"/>
        <v>2.1213636007255374</v>
      </c>
      <c r="BF269" s="170">
        <f t="shared" si="31"/>
        <v>-107190.90201441105</v>
      </c>
      <c r="BG269" s="2">
        <f t="shared" si="32"/>
        <v>888387.21169273905</v>
      </c>
      <c r="BI269">
        <f t="shared" si="33"/>
        <v>0</v>
      </c>
      <c r="BJ269" s="95">
        <f t="shared" si="34"/>
        <v>1</v>
      </c>
      <c r="BP269" s="217">
        <f t="shared" si="37"/>
        <v>888387.21169273905</v>
      </c>
    </row>
    <row r="270" spans="1:68">
      <c r="A270" s="11">
        <v>264</v>
      </c>
      <c r="C270" s="27">
        <v>0.92378257281899778</v>
      </c>
      <c r="D270" s="27">
        <v>7.6217427181002204E-2</v>
      </c>
      <c r="E270" s="27">
        <v>0</v>
      </c>
      <c r="F270" s="27">
        <v>0.86113500010856114</v>
      </c>
      <c r="G270" s="27">
        <v>0.13886499989143886</v>
      </c>
      <c r="H270" s="27">
        <v>0</v>
      </c>
      <c r="I270" s="27">
        <v>0.75394726491105457</v>
      </c>
      <c r="J270" s="27">
        <v>0.24605273508894543</v>
      </c>
      <c r="K270" s="27">
        <v>0</v>
      </c>
      <c r="L270" s="27">
        <v>0.1556011628414114</v>
      </c>
      <c r="M270" s="27">
        <v>0.48804565545946327</v>
      </c>
      <c r="N270" s="27">
        <v>0.35635318169912539</v>
      </c>
      <c r="O270" s="27">
        <v>-10.877411219771396</v>
      </c>
      <c r="P270" s="27">
        <v>3.540662248759982E-2</v>
      </c>
      <c r="Q270" s="27">
        <v>8.3527630613627671E-5</v>
      </c>
      <c r="R270" s="27">
        <v>1.0283929744035798</v>
      </c>
      <c r="S270" s="154"/>
      <c r="T270">
        <v>1.0073334456563767</v>
      </c>
      <c r="U270">
        <v>2.3200955584429921</v>
      </c>
      <c r="V270">
        <v>2.7267702082687024</v>
      </c>
      <c r="W270">
        <v>1</v>
      </c>
      <c r="Y270" s="2">
        <v>1326.4296427876072</v>
      </c>
      <c r="Z270" s="2">
        <v>2457.1605145244826</v>
      </c>
      <c r="AA270" s="2">
        <v>3495.2322247139896</v>
      </c>
      <c r="AB270" s="2">
        <v>12072.152170494752</v>
      </c>
      <c r="AC270" s="2">
        <v>541.15741579883138</v>
      </c>
      <c r="AD270" s="2">
        <v>1705.6015980672717</v>
      </c>
      <c r="AE270" s="2">
        <v>567.1720546374944</v>
      </c>
      <c r="AF270" s="2">
        <v>1502.0046818056328</v>
      </c>
      <c r="AG270" s="2">
        <v>125.46950801109629</v>
      </c>
      <c r="AH270" s="2">
        <v>804.30738450899548</v>
      </c>
      <c r="AI270" s="2">
        <v>664141.98403120867</v>
      </c>
      <c r="AJ270" s="2">
        <v>629567.77705337573</v>
      </c>
      <c r="AL270" s="27">
        <v>0.91633713285018992</v>
      </c>
      <c r="AM270" s="27">
        <v>0.91417420964060214</v>
      </c>
      <c r="AN270" s="27">
        <v>0.91151256405609549</v>
      </c>
      <c r="AO270" s="27">
        <v>0.86936589752843729</v>
      </c>
      <c r="AP270" s="27">
        <v>0.70350364266255472</v>
      </c>
      <c r="AQ270" s="27">
        <v>0.91633713285018992</v>
      </c>
      <c r="AR270" s="27">
        <v>0.91417420964060214</v>
      </c>
      <c r="AS270" s="27">
        <v>0.91151256405609549</v>
      </c>
      <c r="AT270" s="27">
        <v>0.86936589752843729</v>
      </c>
      <c r="AU270" s="27">
        <v>0.70350364266255472</v>
      </c>
      <c r="AW270" s="1">
        <v>13.740146494196983</v>
      </c>
      <c r="AX270" s="1">
        <v>15.815010983654734</v>
      </c>
      <c r="AY270" s="2">
        <v>2662403.0341669018</v>
      </c>
      <c r="AZ270" s="1">
        <v>15.549102944537513</v>
      </c>
      <c r="BA270" s="1">
        <v>17.557593243510862</v>
      </c>
      <c r="BB270" s="2">
        <v>2127926.2722487291</v>
      </c>
      <c r="BC270" s="2">
        <f t="shared" si="35"/>
        <v>-534476.76191817271</v>
      </c>
      <c r="BD270" s="292">
        <f t="shared" si="36"/>
        <v>1.8089564503405295</v>
      </c>
      <c r="BF270" s="170">
        <f t="shared" si="31"/>
        <v>-463979.5950953844</v>
      </c>
      <c r="BG270" s="2">
        <f t="shared" si="32"/>
        <v>359930.19887727266</v>
      </c>
      <c r="BI270">
        <f t="shared" si="33"/>
        <v>0</v>
      </c>
      <c r="BJ270" s="95">
        <f t="shared" si="34"/>
        <v>1</v>
      </c>
      <c r="BP270" s="217">
        <f t="shared" si="37"/>
        <v>359930.19887727266</v>
      </c>
    </row>
    <row r="271" spans="1:68">
      <c r="A271" s="11">
        <v>265</v>
      </c>
      <c r="C271" s="27">
        <v>0.92340088987319224</v>
      </c>
      <c r="D271" s="27">
        <v>7.6599110126807812E-2</v>
      </c>
      <c r="E271" s="27">
        <v>0</v>
      </c>
      <c r="F271" s="27">
        <v>0.85324989346653834</v>
      </c>
      <c r="G271" s="27">
        <v>0.14675010653346166</v>
      </c>
      <c r="H271" s="27">
        <v>0</v>
      </c>
      <c r="I271" s="27">
        <v>0.75202532546298995</v>
      </c>
      <c r="J271" s="27">
        <v>0.24797467453701005</v>
      </c>
      <c r="K271" s="27">
        <v>0</v>
      </c>
      <c r="L271" s="27">
        <v>0.18779687509047926</v>
      </c>
      <c r="M271" s="27">
        <v>0.46826115299132337</v>
      </c>
      <c r="N271" s="27">
        <v>0.34394197191819731</v>
      </c>
      <c r="O271" s="27">
        <v>-10.862792589155118</v>
      </c>
      <c r="P271" s="27">
        <v>3.0323150459107863E-2</v>
      </c>
      <c r="Q271" s="27">
        <v>6.8462783297168334E-5</v>
      </c>
      <c r="R271" s="27">
        <v>1.0696162461570429</v>
      </c>
      <c r="S271" s="154"/>
      <c r="T271">
        <v>1.0788823481649041</v>
      </c>
      <c r="U271">
        <v>2.3047845826150066</v>
      </c>
      <c r="V271">
        <v>3.210445222777313</v>
      </c>
      <c r="W271">
        <v>1</v>
      </c>
      <c r="Y271" s="2">
        <v>2532.6519479357762</v>
      </c>
      <c r="Z271" s="2">
        <v>1696.4337843399119</v>
      </c>
      <c r="AA271" s="2">
        <v>1183.7268493900813</v>
      </c>
      <c r="AB271" s="2">
        <v>6614.4275262310239</v>
      </c>
      <c r="AC271" s="2">
        <v>282.47891510532929</v>
      </c>
      <c r="AD271" s="2">
        <v>749.14563733045804</v>
      </c>
      <c r="AE271" s="2">
        <v>560.54392846824237</v>
      </c>
      <c r="AF271" s="2">
        <v>1023.0131171342127</v>
      </c>
      <c r="AG271" s="2">
        <v>89.381793900367882</v>
      </c>
      <c r="AH271" s="2">
        <v>408.67763380827557</v>
      </c>
      <c r="AI271" s="2">
        <v>678925.1221345939</v>
      </c>
      <c r="AJ271" s="2">
        <v>653415.87284344132</v>
      </c>
      <c r="AL271" s="27">
        <v>0.91045313108349157</v>
      </c>
      <c r="AM271" s="27">
        <v>0.91114108948398731</v>
      </c>
      <c r="AN271" s="27">
        <v>0.90451720169815175</v>
      </c>
      <c r="AO271" s="27">
        <v>0.86478023403298232</v>
      </c>
      <c r="AP271" s="27">
        <v>0.61481471933476617</v>
      </c>
      <c r="AQ271" s="27">
        <v>0.91045313108349157</v>
      </c>
      <c r="AR271" s="27">
        <v>0.91114108948398731</v>
      </c>
      <c r="AS271" s="27">
        <v>0.90451720169815175</v>
      </c>
      <c r="AT271" s="27">
        <v>0.86478023403298232</v>
      </c>
      <c r="AU271" s="27">
        <v>0.61481471933476617</v>
      </c>
      <c r="AW271" s="1">
        <v>12.877456429117641</v>
      </c>
      <c r="AX271" s="1">
        <v>15.246422147091906</v>
      </c>
      <c r="AY271" s="2">
        <v>2682239.6008147774</v>
      </c>
      <c r="AZ271" s="1">
        <v>15.073209778218848</v>
      </c>
      <c r="BA271" s="1">
        <v>17.315814332524081</v>
      </c>
      <c r="BB271" s="2">
        <v>1929312.0722741422</v>
      </c>
      <c r="BC271" s="2">
        <f t="shared" si="35"/>
        <v>-752927.52854063525</v>
      </c>
      <c r="BD271" s="292">
        <f t="shared" si="36"/>
        <v>2.1957533491012065</v>
      </c>
      <c r="BF271" s="170">
        <f t="shared" si="31"/>
        <v>-621846.57215595478</v>
      </c>
      <c r="BG271" s="2">
        <f t="shared" si="32"/>
        <v>482401.4922408734</v>
      </c>
      <c r="BI271">
        <f t="shared" si="33"/>
        <v>0</v>
      </c>
      <c r="BJ271" s="95">
        <f t="shared" si="34"/>
        <v>1</v>
      </c>
      <c r="BP271" s="217">
        <f t="shared" si="37"/>
        <v>482401.4922408734</v>
      </c>
    </row>
    <row r="272" spans="1:68">
      <c r="A272" s="11">
        <v>266</v>
      </c>
      <c r="C272" s="27">
        <v>0.92185111815437104</v>
      </c>
      <c r="D272" s="27">
        <v>7.8148881845628959E-2</v>
      </c>
      <c r="E272" s="27">
        <v>0</v>
      </c>
      <c r="F272" s="27">
        <v>0.85298035742995471</v>
      </c>
      <c r="G272" s="27">
        <v>0.14701964257004529</v>
      </c>
      <c r="H272" s="27">
        <v>0</v>
      </c>
      <c r="I272" s="27">
        <v>0.75460771495553958</v>
      </c>
      <c r="J272" s="27">
        <v>0.24539228504446045</v>
      </c>
      <c r="K272" s="27">
        <v>0</v>
      </c>
      <c r="L272" s="27">
        <v>0.10090141347670495</v>
      </c>
      <c r="M272" s="27">
        <v>0.53844488794417145</v>
      </c>
      <c r="N272" s="27">
        <v>0.3606536985791236</v>
      </c>
      <c r="O272" s="27">
        <v>-11.266994774201136</v>
      </c>
      <c r="P272" s="27">
        <v>3.4006177184801811E-2</v>
      </c>
      <c r="Q272" s="27">
        <v>5.3344731829031846E-5</v>
      </c>
      <c r="R272" s="27">
        <v>1.0902944694382088</v>
      </c>
      <c r="S272" s="154"/>
      <c r="T272">
        <v>0.98912137256964616</v>
      </c>
      <c r="U272">
        <v>2.2195233872231426</v>
      </c>
      <c r="V272">
        <v>3.0370547299799648</v>
      </c>
      <c r="W272">
        <v>1</v>
      </c>
      <c r="Y272" s="2">
        <v>129.28155946810364</v>
      </c>
      <c r="Z272" s="2">
        <v>12064.709685987029</v>
      </c>
      <c r="AA272" s="2">
        <v>2671.3102383562018</v>
      </c>
      <c r="AB272" s="2">
        <v>6540.4269892194934</v>
      </c>
      <c r="AC272" s="2">
        <v>2050.6544783400327</v>
      </c>
      <c r="AD272" s="2">
        <v>1506.6177671515898</v>
      </c>
      <c r="AE272" s="2">
        <v>582.1509907829053</v>
      </c>
      <c r="AF272" s="2">
        <v>1154.5298922235445</v>
      </c>
      <c r="AG272" s="2">
        <v>166.64302106138757</v>
      </c>
      <c r="AH272" s="2">
        <v>518.56359172343161</v>
      </c>
      <c r="AI272" s="2">
        <v>595149.19117052411</v>
      </c>
      <c r="AJ272" s="2">
        <v>554424.59042138397</v>
      </c>
      <c r="AL272" s="27">
        <v>0.91105914914887354</v>
      </c>
      <c r="AM272" s="27">
        <v>0.91843322598220745</v>
      </c>
      <c r="AN272" s="27">
        <v>0.91444889887178116</v>
      </c>
      <c r="AO272" s="27">
        <v>0.83690011462387714</v>
      </c>
      <c r="AP272" s="27">
        <v>0.67880117216065083</v>
      </c>
      <c r="AQ272" s="27">
        <v>0.91105914914887354</v>
      </c>
      <c r="AR272" s="27">
        <v>0.91843322598220745</v>
      </c>
      <c r="AS272" s="27">
        <v>0.91444889887178116</v>
      </c>
      <c r="AT272" s="27">
        <v>0.83690011462387714</v>
      </c>
      <c r="AU272" s="27">
        <v>0.67880117216065083</v>
      </c>
      <c r="AW272" s="1">
        <v>13.449117280429968</v>
      </c>
      <c r="AX272" s="1">
        <v>15.647775171935217</v>
      </c>
      <c r="AY272" s="2">
        <v>2475619.4863269092</v>
      </c>
      <c r="AZ272" s="1">
        <v>15.272645858524697</v>
      </c>
      <c r="BA272" s="1">
        <v>17.376114676256655</v>
      </c>
      <c r="BB272" s="2">
        <v>1814564.5649161444</v>
      </c>
      <c r="BC272" s="2">
        <f t="shared" si="35"/>
        <v>-661054.9214107648</v>
      </c>
      <c r="BD272" s="292">
        <f t="shared" si="36"/>
        <v>1.823528578094729</v>
      </c>
      <c r="BF272" s="170">
        <f t="shared" si="31"/>
        <v>-323760.72145811422</v>
      </c>
      <c r="BG272" s="2">
        <f t="shared" si="32"/>
        <v>629058.77244780702</v>
      </c>
      <c r="BI272">
        <f t="shared" si="33"/>
        <v>0</v>
      </c>
      <c r="BJ272" s="95">
        <f t="shared" si="34"/>
        <v>1</v>
      </c>
      <c r="BP272" s="217">
        <f t="shared" si="37"/>
        <v>629058.77244780702</v>
      </c>
    </row>
    <row r="273" spans="1:68">
      <c r="A273" s="11">
        <v>267</v>
      </c>
      <c r="C273" s="27">
        <v>0.92165523132686944</v>
      </c>
      <c r="D273" s="27">
        <v>7.834476867313056E-2</v>
      </c>
      <c r="E273" s="27">
        <v>0</v>
      </c>
      <c r="F273" s="27">
        <v>0.85901262610609808</v>
      </c>
      <c r="G273" s="27">
        <v>0.14098737389390195</v>
      </c>
      <c r="H273" s="27">
        <v>0</v>
      </c>
      <c r="I273" s="27">
        <v>0.75146208556073235</v>
      </c>
      <c r="J273" s="27">
        <v>0.24853791443926765</v>
      </c>
      <c r="K273" s="27">
        <v>0</v>
      </c>
      <c r="L273" s="27">
        <v>0.12400519043655689</v>
      </c>
      <c r="M273" s="27">
        <v>0.47910147881513682</v>
      </c>
      <c r="N273" s="27">
        <v>0.39689333074830624</v>
      </c>
      <c r="O273" s="27">
        <v>-10.971641210377262</v>
      </c>
      <c r="P273" s="27">
        <v>3.4183899752647309E-2</v>
      </c>
      <c r="Q273" s="27">
        <v>7.2211054037934897E-5</v>
      </c>
      <c r="R273" s="27">
        <v>1.0586987804498678</v>
      </c>
      <c r="S273" s="154"/>
      <c r="T273">
        <v>0.96012247133366335</v>
      </c>
      <c r="U273">
        <v>2.3319458058430373</v>
      </c>
      <c r="V273">
        <v>2.8897251715455283</v>
      </c>
      <c r="W273">
        <v>1</v>
      </c>
      <c r="Y273" s="2">
        <v>640.5171525562148</v>
      </c>
      <c r="Z273" s="2">
        <v>8758.1869783224593</v>
      </c>
      <c r="AA273" s="2">
        <v>4688.4733755735315</v>
      </c>
      <c r="AB273" s="2">
        <v>1781.6595766915825</v>
      </c>
      <c r="AC273" s="2">
        <v>1024.1662173092977</v>
      </c>
      <c r="AD273" s="2">
        <v>893.14066263832422</v>
      </c>
      <c r="AE273" s="2">
        <v>594.79522800414782</v>
      </c>
      <c r="AF273" s="2">
        <v>733.66030526279883</v>
      </c>
      <c r="AG273" s="2">
        <v>91.378009677095307</v>
      </c>
      <c r="AH273" s="2">
        <v>220.01279487764097</v>
      </c>
      <c r="AI273" s="2">
        <v>384287.96805122937</v>
      </c>
      <c r="AJ273" s="2">
        <v>341458.05355935427</v>
      </c>
      <c r="AL273" s="27">
        <v>0.91287725366933825</v>
      </c>
      <c r="AM273" s="27">
        <v>0.91193043712975763</v>
      </c>
      <c r="AN273" s="27">
        <v>0.91222804459124407</v>
      </c>
      <c r="AO273" s="27">
        <v>0.84616353969661517</v>
      </c>
      <c r="AP273" s="27">
        <v>0.75884410245706313</v>
      </c>
      <c r="AQ273" s="27">
        <v>0.91287725366933825</v>
      </c>
      <c r="AR273" s="27">
        <v>0.91193043712975763</v>
      </c>
      <c r="AS273" s="27">
        <v>0.91222804459124407</v>
      </c>
      <c r="AT273" s="27">
        <v>0.84616353969661517</v>
      </c>
      <c r="AU273" s="27">
        <v>0.75884410245706313</v>
      </c>
      <c r="AW273" s="1">
        <v>13.606663436066425</v>
      </c>
      <c r="AX273" s="1">
        <v>15.461955444752848</v>
      </c>
      <c r="AY273" s="2">
        <v>1412822.8429637984</v>
      </c>
      <c r="AZ273" s="1">
        <v>15.353882544977367</v>
      </c>
      <c r="BA273" s="1">
        <v>17.225765063979718</v>
      </c>
      <c r="BB273" s="2">
        <v>1036336.9165462233</v>
      </c>
      <c r="BC273" s="2">
        <f t="shared" si="35"/>
        <v>-376485.9264175751</v>
      </c>
      <c r="BD273" s="292">
        <f t="shared" si="36"/>
        <v>1.7472191089109419</v>
      </c>
      <c r="BF273" s="170">
        <f t="shared" si="31"/>
        <v>764243.30680682976</v>
      </c>
      <c r="BG273" s="2">
        <f t="shared" si="32"/>
        <v>1420284.2906501554</v>
      </c>
      <c r="BI273">
        <f t="shared" si="33"/>
        <v>0</v>
      </c>
      <c r="BJ273" s="95">
        <f t="shared" si="34"/>
        <v>1</v>
      </c>
      <c r="BP273" s="217">
        <f t="shared" si="37"/>
        <v>1420284.2906501554</v>
      </c>
    </row>
    <row r="274" spans="1:68">
      <c r="A274" s="11">
        <v>268</v>
      </c>
      <c r="C274" s="27">
        <v>0.92199012724655838</v>
      </c>
      <c r="D274" s="27">
        <v>7.8009872753441623E-2</v>
      </c>
      <c r="E274" s="27">
        <v>0</v>
      </c>
      <c r="F274" s="27">
        <v>0.85472513866315225</v>
      </c>
      <c r="G274" s="27">
        <v>0.14527486133684775</v>
      </c>
      <c r="H274" s="27">
        <v>0</v>
      </c>
      <c r="I274" s="27">
        <v>0.74816693359625064</v>
      </c>
      <c r="J274" s="27">
        <v>0.25183306640374936</v>
      </c>
      <c r="K274" s="27">
        <v>0</v>
      </c>
      <c r="L274" s="27">
        <v>-1.9534064603732637E-2</v>
      </c>
      <c r="M274" s="27">
        <v>0.57958043664684156</v>
      </c>
      <c r="N274" s="27">
        <v>0.43995362795689108</v>
      </c>
      <c r="O274" s="27">
        <v>-10.801827269140071</v>
      </c>
      <c r="P274" s="27">
        <v>3.6274397611411602E-2</v>
      </c>
      <c r="Q274" s="27">
        <v>9.342957916407037E-5</v>
      </c>
      <c r="R274" s="27">
        <v>1.0145482621309427</v>
      </c>
      <c r="S274" s="154"/>
      <c r="T274">
        <v>1.0948730409210199</v>
      </c>
      <c r="U274">
        <v>2.2817624493945692</v>
      </c>
      <c r="V274">
        <v>3.0281133858216047</v>
      </c>
      <c r="W274">
        <v>1</v>
      </c>
      <c r="Y274" s="2">
        <v>26.658885815719611</v>
      </c>
      <c r="Z274" s="2">
        <v>9263.1106647599354</v>
      </c>
      <c r="AA274" s="2">
        <v>1169.3930421082243</v>
      </c>
      <c r="AB274" s="2">
        <v>8479.3000890272651</v>
      </c>
      <c r="AC274" s="2">
        <v>326.92397562229093</v>
      </c>
      <c r="AD274" s="2">
        <v>313.70892601811295</v>
      </c>
      <c r="AE274" s="2">
        <v>510.45146226986662</v>
      </c>
      <c r="AF274" s="2">
        <v>987.00150911233504</v>
      </c>
      <c r="AG274" s="2">
        <v>119.09285412933303</v>
      </c>
      <c r="AH274" s="2">
        <v>243.77630224756439</v>
      </c>
      <c r="AI274" s="2">
        <v>523586.75148531439</v>
      </c>
      <c r="AJ274" s="2">
        <v>481903.06076158519</v>
      </c>
      <c r="AL274" s="27">
        <v>0.91481056418315665</v>
      </c>
      <c r="AM274" s="27">
        <v>0.91473854955751188</v>
      </c>
      <c r="AN274" s="27">
        <v>0.908817277515236</v>
      </c>
      <c r="AO274" s="27">
        <v>0.90887889440488456</v>
      </c>
      <c r="AP274" s="27">
        <v>0.64528610391349073</v>
      </c>
      <c r="AQ274" s="27">
        <v>0.91481056418315665</v>
      </c>
      <c r="AR274" s="27">
        <v>0.91473854955751188</v>
      </c>
      <c r="AS274" s="27">
        <v>0.908817277515236</v>
      </c>
      <c r="AT274" s="27">
        <v>0.90887889440488456</v>
      </c>
      <c r="AU274" s="27">
        <v>0.64528610391349073</v>
      </c>
      <c r="AW274" s="1">
        <v>13.047686171000262</v>
      </c>
      <c r="AX274" s="1">
        <v>15.32516216588647</v>
      </c>
      <c r="AY274" s="2">
        <v>2259145.0435525035</v>
      </c>
      <c r="AZ274" s="1">
        <v>15.207116080526035</v>
      </c>
      <c r="BA274" s="1">
        <v>17.354729994676063</v>
      </c>
      <c r="BB274" s="2">
        <v>1617181.0747434641</v>
      </c>
      <c r="BC274" s="2">
        <f t="shared" si="35"/>
        <v>-641963.96880903933</v>
      </c>
      <c r="BD274" s="292">
        <f t="shared" si="36"/>
        <v>2.1594299095257732</v>
      </c>
      <c r="BF274" s="170">
        <f t="shared" si="31"/>
        <v>-171515.25619246159</v>
      </c>
      <c r="BG274" s="2">
        <f t="shared" si="32"/>
        <v>815957.49814070156</v>
      </c>
      <c r="BI274">
        <f t="shared" si="33"/>
        <v>0</v>
      </c>
      <c r="BJ274" s="95">
        <f t="shared" si="34"/>
        <v>1</v>
      </c>
      <c r="BP274" s="217">
        <f t="shared" si="37"/>
        <v>815957.49814070156</v>
      </c>
    </row>
    <row r="275" spans="1:68">
      <c r="A275" s="11">
        <v>269</v>
      </c>
      <c r="C275" s="27">
        <v>0.92615758881760346</v>
      </c>
      <c r="D275" s="27">
        <v>7.3842411182396595E-2</v>
      </c>
      <c r="E275" s="27">
        <v>0</v>
      </c>
      <c r="F275" s="27">
        <v>0.84955676116418088</v>
      </c>
      <c r="G275" s="27">
        <v>0.15044323883581912</v>
      </c>
      <c r="H275" s="27">
        <v>0</v>
      </c>
      <c r="I275" s="27">
        <v>0.74644369336592231</v>
      </c>
      <c r="J275" s="27">
        <v>0.25355630663407769</v>
      </c>
      <c r="K275" s="27">
        <v>0</v>
      </c>
      <c r="L275" s="27">
        <v>9.0039378660681457E-2</v>
      </c>
      <c r="M275" s="27">
        <v>0.54590174409146441</v>
      </c>
      <c r="N275" s="27">
        <v>0.36405887724785413</v>
      </c>
      <c r="O275" s="27">
        <v>-11.045052813261723</v>
      </c>
      <c r="P275" s="27">
        <v>3.8248805595769646E-2</v>
      </c>
      <c r="Q275" s="27">
        <v>7.9591522006730055E-5</v>
      </c>
      <c r="R275" s="27">
        <v>1.0369047029959404</v>
      </c>
      <c r="S275" s="154"/>
      <c r="T275">
        <v>1.0714432803426543</v>
      </c>
      <c r="U275">
        <v>2.2727709289312079</v>
      </c>
      <c r="V275">
        <v>3.1081801695367139</v>
      </c>
      <c r="W275">
        <v>1</v>
      </c>
      <c r="Y275" s="2">
        <v>940.59641883132917</v>
      </c>
      <c r="Z275" s="2">
        <v>4558.5827050357848</v>
      </c>
      <c r="AA275" s="2">
        <v>2106.364563863578</v>
      </c>
      <c r="AB275" s="2">
        <v>8012.4745396478111</v>
      </c>
      <c r="AC275" s="2">
        <v>2645.4420826134779</v>
      </c>
      <c r="AD275" s="2">
        <v>329.04773749422196</v>
      </c>
      <c r="AE275" s="2">
        <v>530.02675202713931</v>
      </c>
      <c r="AF275" s="2">
        <v>965.31546421380551</v>
      </c>
      <c r="AG275" s="2">
        <v>176.14747542923456</v>
      </c>
      <c r="AH275" s="2">
        <v>173.60091691643041</v>
      </c>
      <c r="AI275" s="2">
        <v>377096.06767070451</v>
      </c>
      <c r="AJ275" s="2">
        <v>354179.07004879374</v>
      </c>
      <c r="AL275" s="27">
        <v>0.91852343964211292</v>
      </c>
      <c r="AM275" s="27">
        <v>0.90936888025014773</v>
      </c>
      <c r="AN275" s="27">
        <v>0.90367819407239147</v>
      </c>
      <c r="AO275" s="27">
        <v>0.85504991699550381</v>
      </c>
      <c r="AP275" s="27">
        <v>0.79534730679520793</v>
      </c>
      <c r="AQ275" s="27">
        <v>0.91852343964211292</v>
      </c>
      <c r="AR275" s="27">
        <v>0.90936888025014773</v>
      </c>
      <c r="AS275" s="27">
        <v>0.90367819407239147</v>
      </c>
      <c r="AT275" s="27">
        <v>0.85504991699550381</v>
      </c>
      <c r="AU275" s="27">
        <v>0.79534730679520793</v>
      </c>
      <c r="AW275" s="1">
        <v>13.873465281177573</v>
      </c>
      <c r="AX275" s="1">
        <v>15.657678160106629</v>
      </c>
      <c r="AY275" s="2">
        <v>1676086.3356242913</v>
      </c>
      <c r="AZ275" s="1">
        <v>15.706451713907187</v>
      </c>
      <c r="BA275" s="1">
        <v>17.527116388984165</v>
      </c>
      <c r="BB275" s="2">
        <v>1255931.0038842128</v>
      </c>
      <c r="BC275" s="2">
        <f t="shared" si="35"/>
        <v>-420155.33174007852</v>
      </c>
      <c r="BD275" s="292">
        <f t="shared" si="36"/>
        <v>1.8329864327296139</v>
      </c>
      <c r="BF275" s="170">
        <f t="shared" si="31"/>
        <v>543668.10936412052</v>
      </c>
      <c r="BG275" s="2">
        <f t="shared" si="32"/>
        <v>1257101.270340937</v>
      </c>
      <c r="BI275">
        <f t="shared" si="33"/>
        <v>0</v>
      </c>
      <c r="BJ275" s="95">
        <f t="shared" si="34"/>
        <v>1</v>
      </c>
      <c r="BP275" s="217">
        <f t="shared" si="37"/>
        <v>1257101.270340937</v>
      </c>
    </row>
    <row r="276" spans="1:68">
      <c r="A276" s="11">
        <v>270</v>
      </c>
      <c r="C276" s="27">
        <v>0.9232589526767061</v>
      </c>
      <c r="D276" s="27">
        <v>7.6741047323293954E-2</v>
      </c>
      <c r="E276" s="27">
        <v>0</v>
      </c>
      <c r="F276" s="27">
        <v>0.85407026259001773</v>
      </c>
      <c r="G276" s="27">
        <v>0.14592973740998227</v>
      </c>
      <c r="H276" s="27">
        <v>0</v>
      </c>
      <c r="I276" s="27">
        <v>0.75429216544598932</v>
      </c>
      <c r="J276" s="27">
        <v>0.24570783455401063</v>
      </c>
      <c r="K276" s="27">
        <v>0</v>
      </c>
      <c r="L276" s="27">
        <v>0.10740115266366168</v>
      </c>
      <c r="M276" s="27">
        <v>0.50205622839678332</v>
      </c>
      <c r="N276" s="27">
        <v>0.390542618939555</v>
      </c>
      <c r="O276" s="27">
        <v>-11.068064259504785</v>
      </c>
      <c r="P276" s="27">
        <v>3.1503865943924819E-2</v>
      </c>
      <c r="Q276" s="27">
        <v>5.8592615196509509E-5</v>
      </c>
      <c r="R276" s="27">
        <v>1.0794335831466471</v>
      </c>
      <c r="S276" s="154"/>
      <c r="T276">
        <v>1.0130063696258624</v>
      </c>
      <c r="U276">
        <v>2.2839887632955453</v>
      </c>
      <c r="V276">
        <v>2.7856242516504706</v>
      </c>
      <c r="W276">
        <v>1</v>
      </c>
      <c r="Y276" s="2">
        <v>1849.5296268214088</v>
      </c>
      <c r="Z276" s="2">
        <v>13387.839509702248</v>
      </c>
      <c r="AA276" s="2">
        <v>2288.1488148741341</v>
      </c>
      <c r="AB276" s="2">
        <v>3272.3395419991457</v>
      </c>
      <c r="AC276" s="2">
        <v>457.08805000948371</v>
      </c>
      <c r="AD276" s="2">
        <v>953.94027885097785</v>
      </c>
      <c r="AE276" s="2">
        <v>494.2520390878538</v>
      </c>
      <c r="AF276" s="2">
        <v>897.04080828676229</v>
      </c>
      <c r="AG276" s="2">
        <v>82.604250641821679</v>
      </c>
      <c r="AH276" s="2">
        <v>565.67369987147413</v>
      </c>
      <c r="AI276" s="2">
        <v>418342.32142745098</v>
      </c>
      <c r="AJ276" s="2">
        <v>390768.37443864153</v>
      </c>
      <c r="AL276" s="27">
        <v>0.91851441651481858</v>
      </c>
      <c r="AM276" s="27">
        <v>0.91428126683292843</v>
      </c>
      <c r="AN276" s="27">
        <v>0.91205577661938508</v>
      </c>
      <c r="AO276" s="27">
        <v>0.86989241178564281</v>
      </c>
      <c r="AP276" s="27">
        <v>0.74827951755466349</v>
      </c>
      <c r="AQ276" s="27">
        <v>0.91851441651481858</v>
      </c>
      <c r="AR276" s="27">
        <v>0.91428126683292843</v>
      </c>
      <c r="AS276" s="27">
        <v>0.91205577661938508</v>
      </c>
      <c r="AT276" s="27">
        <v>0.86989241178564281</v>
      </c>
      <c r="AU276" s="27">
        <v>0.74827951755466349</v>
      </c>
      <c r="AW276" s="1">
        <v>13.62432684822727</v>
      </c>
      <c r="AX276" s="1">
        <v>15.465394177428408</v>
      </c>
      <c r="AY276" s="2">
        <v>1730262.8238374155</v>
      </c>
      <c r="AZ276" s="1">
        <v>15.449556451068323</v>
      </c>
      <c r="BA276" s="1">
        <v>17.289079486253819</v>
      </c>
      <c r="BB276" s="2">
        <v>1190163.1798359666</v>
      </c>
      <c r="BC276" s="2">
        <f t="shared" si="35"/>
        <v>-540099.64400144899</v>
      </c>
      <c r="BD276" s="292">
        <f t="shared" si="36"/>
        <v>1.8252296028410537</v>
      </c>
      <c r="BF276" s="170">
        <f t="shared" si="31"/>
        <v>449629.47187894746</v>
      </c>
      <c r="BG276" s="2">
        <f t="shared" si="32"/>
        <v>1281765.8523349653</v>
      </c>
      <c r="BI276">
        <f t="shared" si="33"/>
        <v>0</v>
      </c>
      <c r="BJ276" s="95">
        <f t="shared" si="34"/>
        <v>1</v>
      </c>
      <c r="BP276" s="217">
        <f t="shared" si="37"/>
        <v>1281765.8523349653</v>
      </c>
    </row>
    <row r="277" spans="1:68">
      <c r="A277" s="11">
        <v>271</v>
      </c>
      <c r="C277" s="27">
        <v>0.92186743711969976</v>
      </c>
      <c r="D277" s="27">
        <v>7.8132562880300238E-2</v>
      </c>
      <c r="E277" s="27">
        <v>0</v>
      </c>
      <c r="F277" s="27">
        <v>0.85521563011496937</v>
      </c>
      <c r="G277" s="27">
        <v>0.14478436988503063</v>
      </c>
      <c r="H277" s="27">
        <v>0</v>
      </c>
      <c r="I277" s="27">
        <v>0.74556106250268417</v>
      </c>
      <c r="J277" s="27">
        <v>0.25443893749731583</v>
      </c>
      <c r="K277" s="27">
        <v>0</v>
      </c>
      <c r="L277" s="27">
        <v>0.15796702873694135</v>
      </c>
      <c r="M277" s="27">
        <v>0.4749828317831466</v>
      </c>
      <c r="N277" s="27">
        <v>0.36705013947991205</v>
      </c>
      <c r="O277" s="27">
        <v>-10.497110172513818</v>
      </c>
      <c r="P277" s="27">
        <v>3.2269620342365003E-2</v>
      </c>
      <c r="Q277" s="27">
        <v>1.070958727000073E-4</v>
      </c>
      <c r="R277" s="27">
        <v>1.006684635110769</v>
      </c>
      <c r="S277" s="154"/>
      <c r="T277">
        <v>1.0430530879284781</v>
      </c>
      <c r="U277">
        <v>2.2352014414671371</v>
      </c>
      <c r="V277">
        <v>3.0054295556603785</v>
      </c>
      <c r="W277">
        <v>1</v>
      </c>
      <c r="Y277" s="2">
        <v>157.6493580966582</v>
      </c>
      <c r="Z277" s="2">
        <v>3089.8653177534547</v>
      </c>
      <c r="AA277" s="2">
        <v>1157.6082694992256</v>
      </c>
      <c r="AB277" s="2">
        <v>2673.4848504311908</v>
      </c>
      <c r="AC277" s="2">
        <v>5248.0243144967444</v>
      </c>
      <c r="AD277" s="2">
        <v>3302.9177347680384</v>
      </c>
      <c r="AE277" s="2">
        <v>579.04353255308718</v>
      </c>
      <c r="AF277" s="2">
        <v>1176.2467705090746</v>
      </c>
      <c r="AG277" s="2">
        <v>130.14851870652907</v>
      </c>
      <c r="AH277" s="2">
        <v>467.88180855066753</v>
      </c>
      <c r="AI277" s="2">
        <v>427607.72726382304</v>
      </c>
      <c r="AJ277" s="2">
        <v>384133.67235946481</v>
      </c>
      <c r="AL277" s="27">
        <v>0.92769002695799652</v>
      </c>
      <c r="AM277" s="27">
        <v>0.91703394328379439</v>
      </c>
      <c r="AN277" s="27">
        <v>0.90809756138828568</v>
      </c>
      <c r="AO277" s="27">
        <v>0.85204603031496151</v>
      </c>
      <c r="AP277" s="27">
        <v>0.66404402397551354</v>
      </c>
      <c r="AQ277" s="27">
        <v>0.92769002695799652</v>
      </c>
      <c r="AR277" s="27">
        <v>0.91703394328379439</v>
      </c>
      <c r="AS277" s="27">
        <v>0.90809756138828568</v>
      </c>
      <c r="AT277" s="27">
        <v>0.85204603031496151</v>
      </c>
      <c r="AU277" s="27">
        <v>0.66404402397551354</v>
      </c>
      <c r="AW277" s="1">
        <v>13.369478932007674</v>
      </c>
      <c r="AX277" s="1">
        <v>15.459089918263409</v>
      </c>
      <c r="AY277" s="2">
        <v>1709569.875739662</v>
      </c>
      <c r="AZ277" s="1">
        <v>15.354466192411968</v>
      </c>
      <c r="BA277" s="1">
        <v>17.340999273569199</v>
      </c>
      <c r="BB277" s="2">
        <v>1244569.6449007951</v>
      </c>
      <c r="BC277" s="2">
        <f t="shared" si="35"/>
        <v>-465000.2308388669</v>
      </c>
      <c r="BD277" s="292">
        <f t="shared" si="36"/>
        <v>1.984987260404294</v>
      </c>
      <c r="BF277" s="170">
        <f t="shared" si="31"/>
        <v>429546.75338156568</v>
      </c>
      <c r="BG277" s="2">
        <f t="shared" si="32"/>
        <v>1212144.94588512</v>
      </c>
      <c r="BI277">
        <f t="shared" si="33"/>
        <v>0</v>
      </c>
      <c r="BJ277" s="95">
        <f t="shared" si="34"/>
        <v>1</v>
      </c>
      <c r="BP277" s="217">
        <f t="shared" si="37"/>
        <v>1212144.94588512</v>
      </c>
    </row>
    <row r="278" spans="1:68">
      <c r="A278" s="11">
        <v>272</v>
      </c>
      <c r="C278" s="27">
        <v>0.92404519746792113</v>
      </c>
      <c r="D278" s="27">
        <v>7.5954802532078841E-2</v>
      </c>
      <c r="E278" s="27">
        <v>0</v>
      </c>
      <c r="F278" s="27">
        <v>0.85701664330499427</v>
      </c>
      <c r="G278" s="27">
        <v>0.14298335669500573</v>
      </c>
      <c r="H278" s="27">
        <v>0</v>
      </c>
      <c r="I278" s="27">
        <v>0.74876358250594865</v>
      </c>
      <c r="J278" s="27">
        <v>0.25123641749405135</v>
      </c>
      <c r="K278" s="27">
        <v>0</v>
      </c>
      <c r="L278" s="27">
        <v>0.1159977798077706</v>
      </c>
      <c r="M278" s="27">
        <v>0.53783241859422137</v>
      </c>
      <c r="N278" s="27">
        <v>0.34616980159800803</v>
      </c>
      <c r="O278" s="27">
        <v>-11.079668134813943</v>
      </c>
      <c r="P278" s="27">
        <v>3.3894900599706339E-2</v>
      </c>
      <c r="Q278" s="27">
        <v>6.4034900070896684E-5</v>
      </c>
      <c r="R278" s="27">
        <v>1.0668870710919189</v>
      </c>
      <c r="S278" s="154"/>
      <c r="T278">
        <v>0.97509426600154536</v>
      </c>
      <c r="U278">
        <v>2.2872702620857224</v>
      </c>
      <c r="V278">
        <v>3.0004807819259969</v>
      </c>
      <c r="W278">
        <v>1</v>
      </c>
      <c r="Y278" s="2">
        <v>2918.6452843951611</v>
      </c>
      <c r="Z278" s="2">
        <v>1138.0185810829273</v>
      </c>
      <c r="AA278" s="2">
        <v>1783.9589426582907</v>
      </c>
      <c r="AB278" s="2">
        <v>4493.8655495833527</v>
      </c>
      <c r="AC278" s="2">
        <v>2149.7660859534003</v>
      </c>
      <c r="AD278" s="2">
        <v>613.65454809070138</v>
      </c>
      <c r="AE278" s="2">
        <v>528.34762975965373</v>
      </c>
      <c r="AF278" s="2">
        <v>1252.5026663375477</v>
      </c>
      <c r="AG278" s="2">
        <v>112.64388050448321</v>
      </c>
      <c r="AH278" s="2">
        <v>469.37263262063942</v>
      </c>
      <c r="AI278" s="2">
        <v>394512.47374599089</v>
      </c>
      <c r="AJ278" s="2">
        <v>363225.37991149188</v>
      </c>
      <c r="AL278" s="27">
        <v>0.91590447158279775</v>
      </c>
      <c r="AM278" s="27">
        <v>0.91147495976724591</v>
      </c>
      <c r="AN278" s="27">
        <v>0.91965119948191765</v>
      </c>
      <c r="AO278" s="27">
        <v>0.86467448038044026</v>
      </c>
      <c r="AP278" s="27">
        <v>0.79366842405110916</v>
      </c>
      <c r="AQ278" s="27">
        <v>0.91590447158279775</v>
      </c>
      <c r="AR278" s="27">
        <v>0.91147495976724591</v>
      </c>
      <c r="AS278" s="27">
        <v>0.91965119948191765</v>
      </c>
      <c r="AT278" s="27">
        <v>0.86467448038044026</v>
      </c>
      <c r="AU278" s="27">
        <v>0.79366842405110916</v>
      </c>
      <c r="AW278" s="1">
        <v>14.086105083837687</v>
      </c>
      <c r="AX278" s="1">
        <v>15.87192241878282</v>
      </c>
      <c r="AY278" s="2">
        <v>1602261.3349003128</v>
      </c>
      <c r="AZ278" s="1">
        <v>15.724481253658112</v>
      </c>
      <c r="BA278" s="1">
        <v>17.529122489296469</v>
      </c>
      <c r="BB278" s="2">
        <v>1212422.4457177997</v>
      </c>
      <c r="BC278" s="2">
        <f t="shared" si="35"/>
        <v>-389838.88918251311</v>
      </c>
      <c r="BD278" s="292">
        <f t="shared" si="36"/>
        <v>1.6383761698204253</v>
      </c>
      <c r="BF278" s="170">
        <f t="shared" si="31"/>
        <v>651515.47851371695</v>
      </c>
      <c r="BG278" s="2">
        <f t="shared" si="32"/>
        <v>1303494.5548674983</v>
      </c>
      <c r="BI278">
        <f t="shared" si="33"/>
        <v>0</v>
      </c>
      <c r="BJ278" s="95">
        <f t="shared" si="34"/>
        <v>1</v>
      </c>
      <c r="BP278" s="217">
        <f t="shared" si="37"/>
        <v>1303494.5548674983</v>
      </c>
    </row>
    <row r="279" spans="1:68">
      <c r="A279" s="11">
        <v>273</v>
      </c>
      <c r="C279" s="27">
        <v>0.92397114121933499</v>
      </c>
      <c r="D279" s="27">
        <v>7.6028858780664996E-2</v>
      </c>
      <c r="E279" s="27">
        <v>0</v>
      </c>
      <c r="F279" s="27">
        <v>0.85758974682939548</v>
      </c>
      <c r="G279" s="27">
        <v>0.14241025317060454</v>
      </c>
      <c r="H279" s="27">
        <v>0</v>
      </c>
      <c r="I279" s="27">
        <v>0.75377663696374053</v>
      </c>
      <c r="J279" s="27">
        <v>0.2462233630362595</v>
      </c>
      <c r="K279" s="27">
        <v>0</v>
      </c>
      <c r="L279" s="27">
        <v>0.16151410694721463</v>
      </c>
      <c r="M279" s="27">
        <v>0.47843250384231129</v>
      </c>
      <c r="N279" s="27">
        <v>0.36005338921047408</v>
      </c>
      <c r="O279" s="27">
        <v>-11.170048784254808</v>
      </c>
      <c r="P279" s="27">
        <v>3.2833546061329537E-2</v>
      </c>
      <c r="Q279" s="27">
        <v>5.5950686708070681E-5</v>
      </c>
      <c r="R279" s="27">
        <v>1.090301433017987</v>
      </c>
      <c r="S279" s="154"/>
      <c r="T279">
        <v>1.0273389853568295</v>
      </c>
      <c r="U279">
        <v>2.3154508646429948</v>
      </c>
      <c r="V279">
        <v>3.1211603411038515</v>
      </c>
      <c r="W279">
        <v>1</v>
      </c>
      <c r="Y279" s="2">
        <v>179.65724861704339</v>
      </c>
      <c r="Z279" s="2">
        <v>2201.9881998591782</v>
      </c>
      <c r="AA279" s="2">
        <v>1942.4917879613208</v>
      </c>
      <c r="AB279" s="2">
        <v>244.29773095748072</v>
      </c>
      <c r="AC279" s="2">
        <v>36.238927477616059</v>
      </c>
      <c r="AD279" s="2">
        <v>209.50400212063391</v>
      </c>
      <c r="AE279" s="2">
        <v>589.76258763400494</v>
      </c>
      <c r="AF279" s="2">
        <v>1277.4235949972699</v>
      </c>
      <c r="AG279" s="2">
        <v>112.05145085504229</v>
      </c>
      <c r="AH279" s="2">
        <v>423.49568487038584</v>
      </c>
      <c r="AI279" s="2">
        <v>832095.64450671338</v>
      </c>
      <c r="AJ279" s="2">
        <v>802966.19952273136</v>
      </c>
      <c r="AL279" s="27">
        <v>0.91026205735557864</v>
      </c>
      <c r="AM279" s="27">
        <v>0.91088205789031462</v>
      </c>
      <c r="AN279" s="27">
        <v>0.91951452631527364</v>
      </c>
      <c r="AO279" s="27">
        <v>0.83408900316844392</v>
      </c>
      <c r="AP279" s="27">
        <v>0.75159440784926645</v>
      </c>
      <c r="AQ279" s="27">
        <v>0.91026205735557864</v>
      </c>
      <c r="AR279" s="27">
        <v>0.91088205789031462</v>
      </c>
      <c r="AS279" s="27">
        <v>0.91951452631527364</v>
      </c>
      <c r="AT279" s="27">
        <v>0.83408900316844392</v>
      </c>
      <c r="AU279" s="27">
        <v>0.75159440784926645</v>
      </c>
      <c r="AW279" s="1">
        <v>13.482201933834546</v>
      </c>
      <c r="AX279" s="1">
        <v>15.406844062348169</v>
      </c>
      <c r="AY279" s="2">
        <v>3126695.1888808133</v>
      </c>
      <c r="AZ279" s="1">
        <v>15.423880088592977</v>
      </c>
      <c r="BA279" s="1">
        <v>17.345325041604831</v>
      </c>
      <c r="BB279" s="2">
        <v>2182686.8939454351</v>
      </c>
      <c r="BC279" s="2">
        <f t="shared" si="35"/>
        <v>-944008.29493537825</v>
      </c>
      <c r="BD279" s="292">
        <f t="shared" si="36"/>
        <v>1.9416781547584314</v>
      </c>
      <c r="BF279" s="170">
        <f t="shared" si="31"/>
        <v>-969542.87946728617</v>
      </c>
      <c r="BG279" s="2">
        <f t="shared" si="32"/>
        <v>285133.92022944149</v>
      </c>
      <c r="BI279">
        <f t="shared" si="33"/>
        <v>0</v>
      </c>
      <c r="BJ279" s="95">
        <f t="shared" si="34"/>
        <v>1</v>
      </c>
      <c r="BP279" s="217">
        <f t="shared" si="37"/>
        <v>285133.92022944149</v>
      </c>
    </row>
    <row r="280" spans="1:68">
      <c r="A280" s="11">
        <v>274</v>
      </c>
      <c r="C280" s="27">
        <v>0.92103524946071402</v>
      </c>
      <c r="D280" s="27">
        <v>7.8964750539285977E-2</v>
      </c>
      <c r="E280" s="27">
        <v>0</v>
      </c>
      <c r="F280" s="27">
        <v>0.85637418222070161</v>
      </c>
      <c r="G280" s="27">
        <v>0.14362581777929839</v>
      </c>
      <c r="H280" s="27">
        <v>0</v>
      </c>
      <c r="I280" s="27">
        <v>0.75289438042217216</v>
      </c>
      <c r="J280" s="27">
        <v>0.24710561957782778</v>
      </c>
      <c r="K280" s="27">
        <v>0</v>
      </c>
      <c r="L280" s="27">
        <v>9.9041299520840842E-2</v>
      </c>
      <c r="M280" s="27">
        <v>0.5385072498119382</v>
      </c>
      <c r="N280" s="27">
        <v>0.36245145066722095</v>
      </c>
      <c r="O280" s="27">
        <v>-11.218101618725768</v>
      </c>
      <c r="P280" s="27">
        <v>3.5781603387747059E-2</v>
      </c>
      <c r="Q280" s="27">
        <v>6.0354546576967367E-5</v>
      </c>
      <c r="R280" s="27">
        <v>1.0752662141607425</v>
      </c>
      <c r="S280" s="154"/>
      <c r="T280">
        <v>0.99255739325463588</v>
      </c>
      <c r="U280">
        <v>2.1793358399824685</v>
      </c>
      <c r="V280">
        <v>3.1600271591067308</v>
      </c>
      <c r="W280">
        <v>1</v>
      </c>
      <c r="Y280" s="2">
        <v>155.21923674346036</v>
      </c>
      <c r="Z280" s="2">
        <v>2120.4002090751974</v>
      </c>
      <c r="AA280" s="2">
        <v>1959.7025400101193</v>
      </c>
      <c r="AB280" s="2">
        <v>5878.6790930035841</v>
      </c>
      <c r="AC280" s="2">
        <v>946.27020432057896</v>
      </c>
      <c r="AD280" s="2">
        <v>922.4154942433139</v>
      </c>
      <c r="AE280" s="2">
        <v>599.71808842346547</v>
      </c>
      <c r="AF280" s="2">
        <v>1007.2687332551025</v>
      </c>
      <c r="AG280" s="2">
        <v>154.85691604577679</v>
      </c>
      <c r="AH280" s="2">
        <v>347.51858845484605</v>
      </c>
      <c r="AI280" s="2">
        <v>634223.17662566737</v>
      </c>
      <c r="AJ280" s="2">
        <v>573669.41199233581</v>
      </c>
      <c r="AL280" s="27">
        <v>0.92000893862483224</v>
      </c>
      <c r="AM280" s="27">
        <v>0.91435569751065193</v>
      </c>
      <c r="AN280" s="27">
        <v>0.90833480447280701</v>
      </c>
      <c r="AO280" s="27">
        <v>0.88936985073327712</v>
      </c>
      <c r="AP280" s="27">
        <v>0.73492886345877073</v>
      </c>
      <c r="AQ280" s="27">
        <v>0.92000893862483224</v>
      </c>
      <c r="AR280" s="27">
        <v>0.91435569751065193</v>
      </c>
      <c r="AS280" s="27">
        <v>0.90833480447280701</v>
      </c>
      <c r="AT280" s="27">
        <v>0.88936985073327712</v>
      </c>
      <c r="AU280" s="27">
        <v>0.73492886345877073</v>
      </c>
      <c r="AW280" s="1">
        <v>13.733426751198921</v>
      </c>
      <c r="AX280" s="1">
        <v>15.649707034858791</v>
      </c>
      <c r="AY280" s="2">
        <v>2431802.7159296107</v>
      </c>
      <c r="AZ280" s="1">
        <v>15.501263102522058</v>
      </c>
      <c r="BA280" s="1">
        <v>17.395762789305458</v>
      </c>
      <c r="BB280" s="2">
        <v>1844795.5105153176</v>
      </c>
      <c r="BC280" s="2">
        <f t="shared" si="35"/>
        <v>-587007.2054142931</v>
      </c>
      <c r="BD280" s="292">
        <f t="shared" si="36"/>
        <v>1.7678363513231368</v>
      </c>
      <c r="BF280" s="170">
        <f t="shared" si="31"/>
        <v>-234454.43573778309</v>
      </c>
      <c r="BG280" s="2">
        <f t="shared" si="32"/>
        <v>635406.58588821185</v>
      </c>
      <c r="BI280">
        <f t="shared" si="33"/>
        <v>0</v>
      </c>
      <c r="BJ280" s="95">
        <f t="shared" si="34"/>
        <v>1</v>
      </c>
      <c r="BP280" s="217">
        <f t="shared" si="37"/>
        <v>635406.58588821185</v>
      </c>
    </row>
    <row r="281" spans="1:68">
      <c r="A281" s="11">
        <v>275</v>
      </c>
      <c r="C281" s="27">
        <v>0.92754697503740791</v>
      </c>
      <c r="D281" s="27">
        <v>7.245302496259215E-2</v>
      </c>
      <c r="E281" s="27">
        <v>0</v>
      </c>
      <c r="F281" s="27">
        <v>0.85817258082775771</v>
      </c>
      <c r="G281" s="27">
        <v>0.14182741917224231</v>
      </c>
      <c r="H281" s="27">
        <v>0</v>
      </c>
      <c r="I281" s="27">
        <v>0.74310826397787622</v>
      </c>
      <c r="J281" s="27">
        <v>0.25689173602212378</v>
      </c>
      <c r="K281" s="27">
        <v>0</v>
      </c>
      <c r="L281" s="27">
        <v>9.3935903878035742E-2</v>
      </c>
      <c r="M281" s="27">
        <v>0.53100396459153321</v>
      </c>
      <c r="N281" s="27">
        <v>0.37506013153043105</v>
      </c>
      <c r="O281" s="27">
        <v>-11.062357113275835</v>
      </c>
      <c r="P281" s="27">
        <v>3.313214336228576E-2</v>
      </c>
      <c r="Q281" s="27">
        <v>6.3098908149590452E-5</v>
      </c>
      <c r="R281" s="27">
        <v>1.0703352342919512</v>
      </c>
      <c r="S281" s="154"/>
      <c r="T281">
        <v>1.0850518816497037</v>
      </c>
      <c r="U281">
        <v>2.3148766347503953</v>
      </c>
      <c r="V281">
        <v>3.0208154445945961</v>
      </c>
      <c r="W281">
        <v>1</v>
      </c>
      <c r="Y281" s="2">
        <v>1143.0294310191578</v>
      </c>
      <c r="Z281" s="2">
        <v>39543.802529581902</v>
      </c>
      <c r="AA281" s="2">
        <v>2392.7620533551881</v>
      </c>
      <c r="AB281" s="2">
        <v>7398.9493175257303</v>
      </c>
      <c r="AC281" s="2">
        <v>1720.6480826220145</v>
      </c>
      <c r="AD281" s="2">
        <v>2438.1252286415079</v>
      </c>
      <c r="AE281" s="2">
        <v>521.66601524125758</v>
      </c>
      <c r="AF281" s="2">
        <v>1275.6952924195941</v>
      </c>
      <c r="AG281" s="2">
        <v>62.042035420569626</v>
      </c>
      <c r="AH281" s="2">
        <v>458.50379512300537</v>
      </c>
      <c r="AI281" s="2">
        <v>416189.27655784239</v>
      </c>
      <c r="AJ281" s="2">
        <v>374355.51087337022</v>
      </c>
      <c r="AL281" s="27">
        <v>0.92354818926643378</v>
      </c>
      <c r="AM281" s="27">
        <v>0.91604750149572556</v>
      </c>
      <c r="AN281" s="27">
        <v>0.9110445197312097</v>
      </c>
      <c r="AO281" s="27">
        <v>0.84046406312278921</v>
      </c>
      <c r="AP281" s="27">
        <v>0.8419276441219139</v>
      </c>
      <c r="AQ281" s="27">
        <v>0.92354818926643378</v>
      </c>
      <c r="AR281" s="27">
        <v>0.91604750149572556</v>
      </c>
      <c r="AS281" s="27">
        <v>0.9110445197312097</v>
      </c>
      <c r="AT281" s="27">
        <v>0.84046406312278921</v>
      </c>
      <c r="AU281" s="27">
        <v>0.8419276441219139</v>
      </c>
      <c r="AW281" s="1">
        <v>13.994472453254897</v>
      </c>
      <c r="AX281" s="1">
        <v>15.53087203409202</v>
      </c>
      <c r="AY281" s="2">
        <v>2114633.2809497882</v>
      </c>
      <c r="AZ281" s="1">
        <v>15.891373247255887</v>
      </c>
      <c r="BA281" s="1">
        <v>17.502562468272881</v>
      </c>
      <c r="BB281" s="2">
        <v>1266585.2743463148</v>
      </c>
      <c r="BC281" s="2">
        <f t="shared" si="35"/>
        <v>-848048.00660347333</v>
      </c>
      <c r="BD281" s="292">
        <f t="shared" si="36"/>
        <v>1.8969007940009899</v>
      </c>
      <c r="BF281" s="170">
        <f t="shared" si="31"/>
        <v>124482.31157099549</v>
      </c>
      <c r="BG281" s="2">
        <f t="shared" si="32"/>
        <v>1276034.4452146268</v>
      </c>
      <c r="BI281">
        <f t="shared" si="33"/>
        <v>0</v>
      </c>
      <c r="BJ281" s="95">
        <f t="shared" si="34"/>
        <v>1</v>
      </c>
      <c r="BP281" s="217">
        <f t="shared" si="37"/>
        <v>1276034.4452146268</v>
      </c>
    </row>
    <row r="282" spans="1:68">
      <c r="A282" s="11">
        <v>276</v>
      </c>
      <c r="C282" s="27">
        <v>0.92233706539230509</v>
      </c>
      <c r="D282" s="27">
        <v>7.7662934607694911E-2</v>
      </c>
      <c r="E282" s="27">
        <v>0</v>
      </c>
      <c r="F282" s="27">
        <v>0.86029900127217562</v>
      </c>
      <c r="G282" s="27">
        <v>0.1397009987278244</v>
      </c>
      <c r="H282" s="27">
        <v>0</v>
      </c>
      <c r="I282" s="27">
        <v>0.74787440042185882</v>
      </c>
      <c r="J282" s="27">
        <v>0.25212559957814118</v>
      </c>
      <c r="K282" s="27">
        <v>0</v>
      </c>
      <c r="L282" s="27">
        <v>0.1514769338574975</v>
      </c>
      <c r="M282" s="27">
        <v>0.51704745331786839</v>
      </c>
      <c r="N282" s="27">
        <v>0.33147561282463411</v>
      </c>
      <c r="O282" s="27">
        <v>-10.917798038188574</v>
      </c>
      <c r="P282" s="27">
        <v>3.0406713487486213E-2</v>
      </c>
      <c r="Q282" s="27">
        <v>6.5026474453090799E-5</v>
      </c>
      <c r="R282" s="27">
        <v>1.0744800006681021</v>
      </c>
      <c r="S282" s="154"/>
      <c r="T282">
        <v>0.95443849000260084</v>
      </c>
      <c r="U282">
        <v>2.1962719249405689</v>
      </c>
      <c r="V282">
        <v>3.0318329950908867</v>
      </c>
      <c r="W282">
        <v>1</v>
      </c>
      <c r="Y282" s="2">
        <v>939.72340894420176</v>
      </c>
      <c r="Z282" s="2">
        <v>1534.3991199315217</v>
      </c>
      <c r="AA282" s="2">
        <v>4410.8905543921046</v>
      </c>
      <c r="AB282" s="2">
        <v>6394.3793404859807</v>
      </c>
      <c r="AC282" s="2">
        <v>1125.8708160782226</v>
      </c>
      <c r="AD282" s="2">
        <v>819.17358607976212</v>
      </c>
      <c r="AE282" s="2">
        <v>557.77738102697697</v>
      </c>
      <c r="AF282" s="2">
        <v>978.51771608161664</v>
      </c>
      <c r="AG282" s="2">
        <v>198.57778267902452</v>
      </c>
      <c r="AH282" s="2">
        <v>409.75519714332313</v>
      </c>
      <c r="AI282" s="2">
        <v>518708.13944445504</v>
      </c>
      <c r="AJ282" s="2">
        <v>486370.44292201754</v>
      </c>
      <c r="AL282" s="27">
        <v>0.91535947532619721</v>
      </c>
      <c r="AM282" s="27">
        <v>0.91332279754722201</v>
      </c>
      <c r="AN282" s="27">
        <v>0.91330620090327708</v>
      </c>
      <c r="AO282" s="27">
        <v>0.82811104437322292</v>
      </c>
      <c r="AP282" s="27">
        <v>0.66421080472016414</v>
      </c>
      <c r="AQ282" s="27">
        <v>0.91535947532619721</v>
      </c>
      <c r="AR282" s="27">
        <v>0.91332279754722201</v>
      </c>
      <c r="AS282" s="27">
        <v>0.91330620090327708</v>
      </c>
      <c r="AT282" s="27">
        <v>0.82811104437322292</v>
      </c>
      <c r="AU282" s="27">
        <v>0.66421080472016414</v>
      </c>
      <c r="AW282" s="1">
        <v>13.622495600034148</v>
      </c>
      <c r="AX282" s="1">
        <v>15.839336213980058</v>
      </c>
      <c r="AY282" s="2">
        <v>1986763.3750195373</v>
      </c>
      <c r="AZ282" s="1">
        <v>15.333002259134981</v>
      </c>
      <c r="BA282" s="1">
        <v>17.457401774965096</v>
      </c>
      <c r="BB282" s="2">
        <v>1602617.7858372319</v>
      </c>
      <c r="BC282" s="2">
        <f t="shared" si="35"/>
        <v>-384145.58918230538</v>
      </c>
      <c r="BD282" s="292">
        <f t="shared" si="36"/>
        <v>1.7105066591008331</v>
      </c>
      <c r="BF282" s="170">
        <f t="shared" si="31"/>
        <v>192835.92098592641</v>
      </c>
      <c r="BG282" s="2">
        <f t="shared" si="32"/>
        <v>850662.57562436513</v>
      </c>
      <c r="BI282">
        <f t="shared" si="33"/>
        <v>0</v>
      </c>
      <c r="BJ282" s="95">
        <f t="shared" si="34"/>
        <v>1</v>
      </c>
      <c r="BP282" s="217">
        <f t="shared" si="37"/>
        <v>850662.57562436513</v>
      </c>
    </row>
    <row r="283" spans="1:68">
      <c r="A283" s="11">
        <v>277</v>
      </c>
      <c r="C283" s="27">
        <v>0.92078332145008401</v>
      </c>
      <c r="D283" s="27">
        <v>7.9216678549915986E-2</v>
      </c>
      <c r="E283" s="27">
        <v>0</v>
      </c>
      <c r="F283" s="27">
        <v>0.86123349987707787</v>
      </c>
      <c r="G283" s="27">
        <v>0.13876650012292216</v>
      </c>
      <c r="H283" s="27">
        <v>0</v>
      </c>
      <c r="I283" s="27">
        <v>0.74929028044271029</v>
      </c>
      <c r="J283" s="27">
        <v>0.25070971955728971</v>
      </c>
      <c r="K283" s="27">
        <v>0</v>
      </c>
      <c r="L283" s="27">
        <v>0.13089615439604446</v>
      </c>
      <c r="M283" s="27">
        <v>0.49833966752824255</v>
      </c>
      <c r="N283" s="27">
        <v>0.37076417807571299</v>
      </c>
      <c r="O283" s="27">
        <v>-11.026126058665321</v>
      </c>
      <c r="P283" s="27">
        <v>3.9624789786883566E-2</v>
      </c>
      <c r="Q283" s="27">
        <v>8.5937962558736209E-5</v>
      </c>
      <c r="R283" s="27">
        <v>1.0165703424367618</v>
      </c>
      <c r="S283" s="154"/>
      <c r="T283">
        <v>0.88830794229956833</v>
      </c>
      <c r="U283">
        <v>2.3043645285898124</v>
      </c>
      <c r="V283">
        <v>3.2190047986366395</v>
      </c>
      <c r="W283">
        <v>1</v>
      </c>
      <c r="Y283" s="2">
        <v>95.137590381824921</v>
      </c>
      <c r="Z283" s="2">
        <v>4075.8181949053792</v>
      </c>
      <c r="AA283" s="2">
        <v>317.38395614197771</v>
      </c>
      <c r="AB283" s="2">
        <v>9636.8761699122824</v>
      </c>
      <c r="AC283" s="2">
        <v>2089.3362252516922</v>
      </c>
      <c r="AD283" s="2">
        <v>1332.6233669925832</v>
      </c>
      <c r="AE283" s="2">
        <v>496.2906907758956</v>
      </c>
      <c r="AF283" s="2">
        <v>773.31462394802941</v>
      </c>
      <c r="AG283" s="2">
        <v>120.81483596792316</v>
      </c>
      <c r="AH283" s="2">
        <v>336.75027789135413</v>
      </c>
      <c r="AI283" s="2">
        <v>571165.71665671398</v>
      </c>
      <c r="AJ283" s="2">
        <v>530446.34844930656</v>
      </c>
      <c r="AL283" s="27">
        <v>0.91390322150589787</v>
      </c>
      <c r="AM283" s="27">
        <v>0.91957301896483745</v>
      </c>
      <c r="AN283" s="27">
        <v>0.90453743709663315</v>
      </c>
      <c r="AO283" s="27">
        <v>0.8864366561583028</v>
      </c>
      <c r="AP283" s="27">
        <v>0.69712574176334752</v>
      </c>
      <c r="AQ283" s="27">
        <v>0.91390322150589787</v>
      </c>
      <c r="AR283" s="27">
        <v>0.91957301896483745</v>
      </c>
      <c r="AS283" s="27">
        <v>0.90453743709663315</v>
      </c>
      <c r="AT283" s="27">
        <v>0.8864366561583028</v>
      </c>
      <c r="AU283" s="27">
        <v>0.69712574176334752</v>
      </c>
      <c r="AW283" s="1">
        <v>13.916915384690544</v>
      </c>
      <c r="AX283" s="1">
        <v>16.029271177710175</v>
      </c>
      <c r="AY283" s="2">
        <v>2268439.1496021231</v>
      </c>
      <c r="AZ283" s="1">
        <v>15.456485350884254</v>
      </c>
      <c r="BA283" s="1">
        <v>17.503231376175179</v>
      </c>
      <c r="BB283" s="2">
        <v>1796586.4454057806</v>
      </c>
      <c r="BC283" s="2">
        <f t="shared" si="35"/>
        <v>-471852.7041963425</v>
      </c>
      <c r="BD283" s="292">
        <f t="shared" si="36"/>
        <v>1.5395699661937101</v>
      </c>
      <c r="BF283" s="170">
        <f t="shared" si="31"/>
        <v>-41732.688051635865</v>
      </c>
      <c r="BG283" s="2">
        <f t="shared" si="32"/>
        <v>676451.21073569986</v>
      </c>
      <c r="BI283">
        <f t="shared" si="33"/>
        <v>0</v>
      </c>
      <c r="BJ283" s="95">
        <f t="shared" si="34"/>
        <v>1</v>
      </c>
      <c r="BP283" s="217">
        <f t="shared" si="37"/>
        <v>676451.21073569986</v>
      </c>
    </row>
    <row r="284" spans="1:68">
      <c r="A284" s="11">
        <v>278</v>
      </c>
      <c r="C284" s="27">
        <v>0.92536246427990165</v>
      </c>
      <c r="D284" s="27">
        <v>7.4637535720098375E-2</v>
      </c>
      <c r="E284" s="27">
        <v>0</v>
      </c>
      <c r="F284" s="27">
        <v>0.85328759450755498</v>
      </c>
      <c r="G284" s="27">
        <v>0.14671240549244502</v>
      </c>
      <c r="H284" s="27">
        <v>0</v>
      </c>
      <c r="I284" s="27">
        <v>0.75461473791585154</v>
      </c>
      <c r="J284" s="27">
        <v>0.24538526208414849</v>
      </c>
      <c r="K284" s="27">
        <v>0</v>
      </c>
      <c r="L284" s="27">
        <v>0.22514311951716154</v>
      </c>
      <c r="M284" s="27">
        <v>0.43940151127727234</v>
      </c>
      <c r="N284" s="27">
        <v>0.33545536920556612</v>
      </c>
      <c r="O284" s="27">
        <v>-11.491728381833269</v>
      </c>
      <c r="P284" s="27">
        <v>3.2032572686482158E-2</v>
      </c>
      <c r="Q284" s="27">
        <v>3.921856489566678E-5</v>
      </c>
      <c r="R284" s="27">
        <v>1.1455931274459286</v>
      </c>
      <c r="S284" s="154"/>
      <c r="T284">
        <v>0.91826431634247141</v>
      </c>
      <c r="U284">
        <v>2.2715818788742803</v>
      </c>
      <c r="V284">
        <v>3.0180861784906234</v>
      </c>
      <c r="W284">
        <v>1</v>
      </c>
      <c r="Y284" s="2">
        <v>1279.924497878814</v>
      </c>
      <c r="Z284" s="2">
        <v>5200.790612368115</v>
      </c>
      <c r="AA284" s="2">
        <v>4657.5102349601884</v>
      </c>
      <c r="AB284" s="2">
        <v>1361.7390278950497</v>
      </c>
      <c r="AC284" s="2">
        <v>414.53881135029377</v>
      </c>
      <c r="AD284" s="2">
        <v>1846.0784836085163</v>
      </c>
      <c r="AE284" s="2">
        <v>626.33858676057673</v>
      </c>
      <c r="AF284" s="2">
        <v>1006.9106149185466</v>
      </c>
      <c r="AG284" s="2">
        <v>172.84870084324552</v>
      </c>
      <c r="AH284" s="2">
        <v>448.59039762673194</v>
      </c>
      <c r="AI284" s="2">
        <v>401832.70321604219</v>
      </c>
      <c r="AJ284" s="2">
        <v>371158.9749771473</v>
      </c>
      <c r="AL284" s="27">
        <v>0.91355495093958361</v>
      </c>
      <c r="AM284" s="27">
        <v>0.91341466503782909</v>
      </c>
      <c r="AN284" s="27">
        <v>0.90605494925328844</v>
      </c>
      <c r="AO284" s="27">
        <v>0.88970181302617346</v>
      </c>
      <c r="AP284" s="27">
        <v>0.75855633649668996</v>
      </c>
      <c r="AQ284" s="27">
        <v>0.91355495093958361</v>
      </c>
      <c r="AR284" s="27">
        <v>0.91341466503782909</v>
      </c>
      <c r="AS284" s="27">
        <v>0.90605494925328844</v>
      </c>
      <c r="AT284" s="27">
        <v>0.88970181302617346</v>
      </c>
      <c r="AU284" s="27">
        <v>0.75855633649668996</v>
      </c>
      <c r="AW284" s="1">
        <v>13.814302145795494</v>
      </c>
      <c r="AX284" s="1">
        <v>15.605696071976906</v>
      </c>
      <c r="AY284" s="2">
        <v>1327675.0792757347</v>
      </c>
      <c r="AZ284" s="1">
        <v>15.385812581563934</v>
      </c>
      <c r="BA284" s="1">
        <v>17.211705883817796</v>
      </c>
      <c r="BB284" s="2">
        <v>1049167.7113659491</v>
      </c>
      <c r="BC284" s="2">
        <f t="shared" si="35"/>
        <v>-278507.36790978559</v>
      </c>
      <c r="BD284" s="292">
        <f t="shared" si="36"/>
        <v>1.57151043576844</v>
      </c>
      <c r="BF284" s="170">
        <f t="shared" si="31"/>
        <v>882613.26405154448</v>
      </c>
      <c r="BG284" s="2">
        <f t="shared" si="32"/>
        <v>1412562.3016842802</v>
      </c>
      <c r="BI284">
        <f t="shared" si="33"/>
        <v>0</v>
      </c>
      <c r="BJ284" s="95">
        <f t="shared" si="34"/>
        <v>1</v>
      </c>
      <c r="BP284" s="217">
        <f t="shared" si="37"/>
        <v>1412562.3016842802</v>
      </c>
    </row>
    <row r="285" spans="1:68">
      <c r="A285" s="11">
        <v>279</v>
      </c>
      <c r="C285" s="27">
        <v>0.92319518227448771</v>
      </c>
      <c r="D285" s="27">
        <v>7.6804817725512231E-2</v>
      </c>
      <c r="E285" s="27">
        <v>0</v>
      </c>
      <c r="F285" s="27">
        <v>0.86159554055218535</v>
      </c>
      <c r="G285" s="27">
        <v>0.1384044594478146</v>
      </c>
      <c r="H285" s="27">
        <v>0</v>
      </c>
      <c r="I285" s="27">
        <v>0.74533209587924476</v>
      </c>
      <c r="J285" s="27">
        <v>0.25466790412075524</v>
      </c>
      <c r="K285" s="27">
        <v>0</v>
      </c>
      <c r="L285" s="27">
        <v>9.6851980814649519E-2</v>
      </c>
      <c r="M285" s="27">
        <v>0.52729698173580519</v>
      </c>
      <c r="N285" s="27">
        <v>0.37585103744954529</v>
      </c>
      <c r="O285" s="27">
        <v>-11.398225688044054</v>
      </c>
      <c r="P285" s="27">
        <v>3.5718029858763961E-2</v>
      </c>
      <c r="Q285" s="27">
        <v>5.0271691427142687E-5</v>
      </c>
      <c r="R285" s="27">
        <v>1.1041685948130961</v>
      </c>
      <c r="S285" s="154"/>
      <c r="T285">
        <v>0.93419041989669849</v>
      </c>
      <c r="U285">
        <v>2.2661657005319911</v>
      </c>
      <c r="V285">
        <v>2.8568890202546142</v>
      </c>
      <c r="W285">
        <v>1</v>
      </c>
      <c r="Y285" s="2">
        <v>171.86507000076267</v>
      </c>
      <c r="Z285" s="2">
        <v>4208.1987098417057</v>
      </c>
      <c r="AA285" s="2">
        <v>583.74184019156121</v>
      </c>
      <c r="AB285" s="2">
        <v>15470.41756650199</v>
      </c>
      <c r="AC285" s="2">
        <v>173.74622794962482</v>
      </c>
      <c r="AD285" s="2">
        <v>421.54215744979268</v>
      </c>
      <c r="AE285" s="2">
        <v>583.96609333157824</v>
      </c>
      <c r="AF285" s="2">
        <v>1116.1159030508049</v>
      </c>
      <c r="AG285" s="2">
        <v>95.13088248102747</v>
      </c>
      <c r="AH285" s="2">
        <v>428.81918456605871</v>
      </c>
      <c r="AI285" s="2">
        <v>719300.07782904874</v>
      </c>
      <c r="AJ285" s="2">
        <v>691582.49707251089</v>
      </c>
      <c r="AL285" s="27">
        <v>0.91625238175188384</v>
      </c>
      <c r="AM285" s="27">
        <v>0.91549167850758095</v>
      </c>
      <c r="AN285" s="27">
        <v>0.91263044689857042</v>
      </c>
      <c r="AO285" s="27">
        <v>0.85698973198666362</v>
      </c>
      <c r="AP285" s="27">
        <v>0.7174010088243834</v>
      </c>
      <c r="AQ285" s="27">
        <v>0.91625238175188384</v>
      </c>
      <c r="AR285" s="27">
        <v>0.91549167850758095</v>
      </c>
      <c r="AS285" s="27">
        <v>0.91263044689857042</v>
      </c>
      <c r="AT285" s="27">
        <v>0.85698973198666362</v>
      </c>
      <c r="AU285" s="27">
        <v>0.7174010088243834</v>
      </c>
      <c r="AW285" s="1">
        <v>13.7752171615225</v>
      </c>
      <c r="AX285" s="1">
        <v>15.736227545264475</v>
      </c>
      <c r="AY285" s="2">
        <v>2630704.5285559599</v>
      </c>
      <c r="AZ285" s="1">
        <v>15.407258047888954</v>
      </c>
      <c r="BA285" s="1">
        <v>17.338729996990907</v>
      </c>
      <c r="BB285" s="2">
        <v>2157121.2840478057</v>
      </c>
      <c r="BC285" s="2">
        <f t="shared" si="35"/>
        <v>-473583.24450815422</v>
      </c>
      <c r="BD285" s="292">
        <f t="shared" si="36"/>
        <v>1.6320408863664539</v>
      </c>
      <c r="BF285" s="170">
        <f t="shared" si="31"/>
        <v>-426669.78271235991</v>
      </c>
      <c r="BG285" s="2">
        <f t="shared" si="32"/>
        <v>308040.00361442706</v>
      </c>
      <c r="BI285">
        <f t="shared" si="33"/>
        <v>0</v>
      </c>
      <c r="BJ285" s="95">
        <f t="shared" si="34"/>
        <v>1</v>
      </c>
      <c r="BP285" s="217">
        <f t="shared" si="37"/>
        <v>308040.00361442706</v>
      </c>
    </row>
    <row r="286" spans="1:68">
      <c r="A286" s="11">
        <v>280</v>
      </c>
      <c r="C286" s="27">
        <v>0.91903352408720373</v>
      </c>
      <c r="D286" s="27">
        <v>8.0966475912796265E-2</v>
      </c>
      <c r="E286" s="27">
        <v>0</v>
      </c>
      <c r="F286" s="27">
        <v>0.86081089465211391</v>
      </c>
      <c r="G286" s="27">
        <v>0.13918910534788606</v>
      </c>
      <c r="H286" s="27">
        <v>0</v>
      </c>
      <c r="I286" s="27">
        <v>0.73522031745547922</v>
      </c>
      <c r="J286" s="27">
        <v>0.26477968254452078</v>
      </c>
      <c r="K286" s="27">
        <v>0</v>
      </c>
      <c r="L286" s="27">
        <v>-3.0548523475337763E-3</v>
      </c>
      <c r="M286" s="27">
        <v>0.56231976315473187</v>
      </c>
      <c r="N286" s="27">
        <v>0.44073508919280191</v>
      </c>
      <c r="O286" s="27">
        <v>-11.356630777288824</v>
      </c>
      <c r="P286" s="27">
        <v>3.6082542219277126E-2</v>
      </c>
      <c r="Q286" s="27">
        <v>5.3215332189931397E-5</v>
      </c>
      <c r="R286" s="27">
        <v>1.0920480967025421</v>
      </c>
      <c r="S286" s="154"/>
      <c r="T286">
        <v>1.1900959887179132</v>
      </c>
      <c r="U286">
        <v>2.3187000148647763</v>
      </c>
      <c r="V286">
        <v>3.1243341730095664</v>
      </c>
      <c r="W286">
        <v>1</v>
      </c>
      <c r="Y286" s="2">
        <v>585.48252079866256</v>
      </c>
      <c r="Z286" s="2">
        <v>1445.7897284750854</v>
      </c>
      <c r="AA286" s="2">
        <v>826.96179910606656</v>
      </c>
      <c r="AB286" s="2">
        <v>6113.8780310925049</v>
      </c>
      <c r="AC286" s="2">
        <v>1318.9180087005675</v>
      </c>
      <c r="AD286" s="2">
        <v>548.90390000708749</v>
      </c>
      <c r="AE286" s="2">
        <v>589.34090992570714</v>
      </c>
      <c r="AF286" s="2">
        <v>876.58880155338488</v>
      </c>
      <c r="AG286" s="2">
        <v>183.26027304812527</v>
      </c>
      <c r="AH286" s="2">
        <v>182.08314010564317</v>
      </c>
      <c r="AI286" s="2">
        <v>437434.42013775074</v>
      </c>
      <c r="AJ286" s="2">
        <v>402858.89917713532</v>
      </c>
      <c r="AL286" s="27">
        <v>0.91781626404856853</v>
      </c>
      <c r="AM286" s="27">
        <v>0.92141781048713833</v>
      </c>
      <c r="AN286" s="27">
        <v>0.90621466436873921</v>
      </c>
      <c r="AO286" s="27">
        <v>0.8781108313220668</v>
      </c>
      <c r="AP286" s="27">
        <v>0.73979079470351894</v>
      </c>
      <c r="AQ286" s="27">
        <v>0.91781626404856853</v>
      </c>
      <c r="AR286" s="27">
        <v>0.92141781048713833</v>
      </c>
      <c r="AS286" s="27">
        <v>0.90621466436873921</v>
      </c>
      <c r="AT286" s="27">
        <v>0.8781108313220668</v>
      </c>
      <c r="AU286" s="27">
        <v>0.73979079470351894</v>
      </c>
      <c r="AW286" s="1">
        <v>12.845224196078812</v>
      </c>
      <c r="AX286" s="1">
        <v>14.697758284717747</v>
      </c>
      <c r="AY286" s="2">
        <v>1769354.4757586047</v>
      </c>
      <c r="AZ286" s="1">
        <v>15.277858643504626</v>
      </c>
      <c r="BA286" s="1">
        <v>17.114001907172003</v>
      </c>
      <c r="BB286" s="2">
        <v>1254583.5106559033</v>
      </c>
      <c r="BC286" s="2">
        <f t="shared" si="35"/>
        <v>-514770.96510270145</v>
      </c>
      <c r="BD286" s="292">
        <f t="shared" si="36"/>
        <v>2.4326344474258139</v>
      </c>
      <c r="BF286" s="170">
        <f t="shared" si="31"/>
        <v>285881.39561400516</v>
      </c>
      <c r="BG286" s="2">
        <f t="shared" si="32"/>
        <v>1189873.8723048368</v>
      </c>
      <c r="BI286">
        <f t="shared" si="33"/>
        <v>0</v>
      </c>
      <c r="BJ286" s="95">
        <f t="shared" si="34"/>
        <v>1</v>
      </c>
      <c r="BP286" s="217">
        <f t="shared" si="37"/>
        <v>1189873.8723048368</v>
      </c>
    </row>
    <row r="287" spans="1:68">
      <c r="A287" s="11">
        <v>281</v>
      </c>
      <c r="C287" s="27">
        <v>0.9203833620927262</v>
      </c>
      <c r="D287" s="27">
        <v>7.9616637907273802E-2</v>
      </c>
      <c r="E287" s="27">
        <v>0</v>
      </c>
      <c r="F287" s="27">
        <v>0.86621158906406936</v>
      </c>
      <c r="G287" s="27">
        <v>0.13378841093593069</v>
      </c>
      <c r="H287" s="27">
        <v>0</v>
      </c>
      <c r="I287" s="27">
        <v>0.74821235662853913</v>
      </c>
      <c r="J287" s="27">
        <v>0.25178764337146087</v>
      </c>
      <c r="K287" s="27">
        <v>0</v>
      </c>
      <c r="L287" s="27">
        <v>0.10828955728740064</v>
      </c>
      <c r="M287" s="27">
        <v>0.48056340359324934</v>
      </c>
      <c r="N287" s="27">
        <v>0.41114703911935002</v>
      </c>
      <c r="O287" s="27">
        <v>-11.063773060086017</v>
      </c>
      <c r="P287" s="27">
        <v>3.4752729346046278E-2</v>
      </c>
      <c r="Q287" s="27">
        <v>6.744767623633614E-5</v>
      </c>
      <c r="R287" s="27">
        <v>1.055440327180476</v>
      </c>
      <c r="S287" s="154"/>
      <c r="T287">
        <v>1.0742380840647034</v>
      </c>
      <c r="U287">
        <v>2.2665754866882271</v>
      </c>
      <c r="V287">
        <v>2.9096708573396444</v>
      </c>
      <c r="W287">
        <v>1</v>
      </c>
      <c r="Y287" s="2">
        <v>124.21567107423647</v>
      </c>
      <c r="Z287" s="2">
        <v>11047.772867129932</v>
      </c>
      <c r="AA287" s="2">
        <v>87.896486039738662</v>
      </c>
      <c r="AB287" s="2">
        <v>74.875469951732214</v>
      </c>
      <c r="AC287" s="2">
        <v>538.52623985925777</v>
      </c>
      <c r="AD287" s="2">
        <v>1880.7772190735586</v>
      </c>
      <c r="AE287" s="2">
        <v>556.56121783530284</v>
      </c>
      <c r="AF287" s="2">
        <v>1400.8823925215897</v>
      </c>
      <c r="AG287" s="2">
        <v>155.97903654663324</v>
      </c>
      <c r="AH287" s="2">
        <v>380.53806435143076</v>
      </c>
      <c r="AI287" s="2">
        <v>476676.38406245341</v>
      </c>
      <c r="AJ287" s="2">
        <v>443273.66617055971</v>
      </c>
      <c r="AL287" s="27">
        <v>0.90591529165824058</v>
      </c>
      <c r="AM287" s="27">
        <v>0.92341943135741666</v>
      </c>
      <c r="AN287" s="27">
        <v>0.911314735562895</v>
      </c>
      <c r="AO287" s="27">
        <v>0.86551739593784194</v>
      </c>
      <c r="AP287" s="27">
        <v>0.60852383245857644</v>
      </c>
      <c r="AQ287" s="27">
        <v>0.90591529165824058</v>
      </c>
      <c r="AR287" s="27">
        <v>0.92341943135741666</v>
      </c>
      <c r="AS287" s="27">
        <v>0.911314735562895</v>
      </c>
      <c r="AT287" s="27">
        <v>0.86551739593784194</v>
      </c>
      <c r="AU287" s="27">
        <v>0.60852383245857644</v>
      </c>
      <c r="AW287" s="1">
        <v>12.849150625715637</v>
      </c>
      <c r="AX287" s="1">
        <v>15.227325053002934</v>
      </c>
      <c r="AY287" s="2">
        <v>1925548.6602174758</v>
      </c>
      <c r="AZ287" s="1">
        <v>15.074235828831837</v>
      </c>
      <c r="BA287" s="1">
        <v>17.292097386101204</v>
      </c>
      <c r="BB287" s="2">
        <v>1246255.1179392498</v>
      </c>
      <c r="BC287" s="2">
        <f t="shared" si="35"/>
        <v>-679293.542278226</v>
      </c>
      <c r="BD287" s="292">
        <f t="shared" si="36"/>
        <v>2.2250852031161994</v>
      </c>
      <c r="BF287" s="170">
        <f t="shared" si="31"/>
        <v>130315.43989702617</v>
      </c>
      <c r="BG287" s="2">
        <f t="shared" si="32"/>
        <v>1165622.6146738438</v>
      </c>
      <c r="BI287">
        <f t="shared" si="33"/>
        <v>0</v>
      </c>
      <c r="BJ287" s="95">
        <f t="shared" si="34"/>
        <v>1</v>
      </c>
      <c r="BP287" s="217">
        <f t="shared" si="37"/>
        <v>1165622.6146738438</v>
      </c>
    </row>
    <row r="288" spans="1:68">
      <c r="A288" s="11">
        <v>282</v>
      </c>
      <c r="C288" s="27">
        <v>0.92193857563064385</v>
      </c>
      <c r="D288" s="27">
        <v>7.8061424369356147E-2</v>
      </c>
      <c r="E288" s="27">
        <v>0</v>
      </c>
      <c r="F288" s="27">
        <v>0.85736639054889019</v>
      </c>
      <c r="G288" s="27">
        <v>0.14263360945110978</v>
      </c>
      <c r="H288" s="27">
        <v>0</v>
      </c>
      <c r="I288" s="27">
        <v>0.74593817458621037</v>
      </c>
      <c r="J288" s="27">
        <v>0.25406182541378963</v>
      </c>
      <c r="K288" s="27">
        <v>0</v>
      </c>
      <c r="L288" s="27">
        <v>0.19203154807244183</v>
      </c>
      <c r="M288" s="27">
        <v>0.46361639629177664</v>
      </c>
      <c r="N288" s="27">
        <v>0.34435205563578153</v>
      </c>
      <c r="O288" s="27">
        <v>-11.260651209908318</v>
      </c>
      <c r="P288" s="27">
        <v>3.7609867676820521E-2</v>
      </c>
      <c r="Q288" s="27">
        <v>6.2456717102950262E-5</v>
      </c>
      <c r="R288" s="27">
        <v>1.0616439326839042</v>
      </c>
      <c r="S288" s="154"/>
      <c r="T288">
        <v>0.95962952023339354</v>
      </c>
      <c r="U288">
        <v>2.1956772092913326</v>
      </c>
      <c r="V288">
        <v>2.9427234952324559</v>
      </c>
      <c r="W288">
        <v>1</v>
      </c>
      <c r="Y288" s="2">
        <v>489.76425167602571</v>
      </c>
      <c r="Z288" s="2">
        <v>3559.743055531048</v>
      </c>
      <c r="AA288" s="2">
        <v>1122.0656344438598</v>
      </c>
      <c r="AB288" s="2">
        <v>1119.0872969088477</v>
      </c>
      <c r="AC288" s="2">
        <v>220.25095380482665</v>
      </c>
      <c r="AD288" s="2">
        <v>2542.4099399368697</v>
      </c>
      <c r="AE288" s="2">
        <v>657.2795892988479</v>
      </c>
      <c r="AF288" s="2">
        <v>1228.9040093468384</v>
      </c>
      <c r="AG288" s="2">
        <v>131.97766012384164</v>
      </c>
      <c r="AH288" s="2">
        <v>319.20860341363817</v>
      </c>
      <c r="AI288" s="2">
        <v>453127.45236873144</v>
      </c>
      <c r="AJ288" s="2">
        <v>421491.22885364172</v>
      </c>
      <c r="AL288" s="27">
        <v>0.91842029468361974</v>
      </c>
      <c r="AM288" s="27">
        <v>0.91418898270383431</v>
      </c>
      <c r="AN288" s="27">
        <v>0.90600453884015453</v>
      </c>
      <c r="AO288" s="27">
        <v>0.80554103762148443</v>
      </c>
      <c r="AP288" s="27">
        <v>0.65323843995006092</v>
      </c>
      <c r="AQ288" s="27">
        <v>0.91842029468361974</v>
      </c>
      <c r="AR288" s="27">
        <v>0.91418898270383431</v>
      </c>
      <c r="AS288" s="27">
        <v>0.90600453884015453</v>
      </c>
      <c r="AT288" s="27">
        <v>0.80554103762148443</v>
      </c>
      <c r="AU288" s="27">
        <v>0.65323843995006092</v>
      </c>
      <c r="AW288" s="1">
        <v>13.56968900776377</v>
      </c>
      <c r="AX288" s="1">
        <v>15.81685399246536</v>
      </c>
      <c r="AY288" s="2">
        <v>1755035.6770322716</v>
      </c>
      <c r="AZ288" s="1">
        <v>15.270289422414429</v>
      </c>
      <c r="BA288" s="1">
        <v>17.416106875572044</v>
      </c>
      <c r="BB288" s="2">
        <v>1318309.7944820626</v>
      </c>
      <c r="BC288" s="2">
        <f t="shared" si="35"/>
        <v>-436725.88255020906</v>
      </c>
      <c r="BD288" s="292">
        <f t="shared" si="36"/>
        <v>1.7006004146506584</v>
      </c>
      <c r="BF288" s="170">
        <f t="shared" si="31"/>
        <v>416114.56420993176</v>
      </c>
      <c r="BG288" s="2">
        <f t="shared" si="32"/>
        <v>1124936.513104246</v>
      </c>
      <c r="BI288">
        <f t="shared" si="33"/>
        <v>0</v>
      </c>
      <c r="BJ288" s="95">
        <f t="shared" si="34"/>
        <v>1</v>
      </c>
      <c r="BP288" s="217">
        <f t="shared" si="37"/>
        <v>1124936.513104246</v>
      </c>
    </row>
    <row r="289" spans="1:68">
      <c r="A289" s="11">
        <v>283</v>
      </c>
      <c r="C289" s="27">
        <v>0.92527577816044904</v>
      </c>
      <c r="D289" s="27">
        <v>7.472422183955095E-2</v>
      </c>
      <c r="E289" s="27">
        <v>0</v>
      </c>
      <c r="F289" s="27">
        <v>0.85586461846143502</v>
      </c>
      <c r="G289" s="27">
        <v>0.14413538153856498</v>
      </c>
      <c r="H289" s="27">
        <v>0</v>
      </c>
      <c r="I289" s="27">
        <v>0.75209027352462021</v>
      </c>
      <c r="J289" s="27">
        <v>0.24790972647537973</v>
      </c>
      <c r="K289" s="27">
        <v>0</v>
      </c>
      <c r="L289" s="27">
        <v>0.1467328207611911</v>
      </c>
      <c r="M289" s="27">
        <v>0.47934674812838213</v>
      </c>
      <c r="N289" s="27">
        <v>0.37392043111042672</v>
      </c>
      <c r="O289" s="27">
        <v>-11.037207020665612</v>
      </c>
      <c r="P289" s="27">
        <v>3.2614661097909496E-2</v>
      </c>
      <c r="Q289" s="27">
        <v>6.3314812303485527E-5</v>
      </c>
      <c r="R289" s="27">
        <v>1.0708508484068604</v>
      </c>
      <c r="S289" s="154"/>
      <c r="T289">
        <v>1.1161335426035282</v>
      </c>
      <c r="U289">
        <v>2.2939958966288967</v>
      </c>
      <c r="V289">
        <v>3.1881770319425313</v>
      </c>
      <c r="W289">
        <v>1</v>
      </c>
      <c r="Y289" s="2">
        <v>377.70465602049632</v>
      </c>
      <c r="Z289" s="2">
        <v>387.20360523044445</v>
      </c>
      <c r="AA289" s="2">
        <v>308.6949483069057</v>
      </c>
      <c r="AB289" s="2">
        <v>196.16757842654022</v>
      </c>
      <c r="AC289" s="2">
        <v>2969.5205121674699</v>
      </c>
      <c r="AD289" s="2">
        <v>1160.4486240251499</v>
      </c>
      <c r="AE289" s="2">
        <v>548.41690183950436</v>
      </c>
      <c r="AF289" s="2">
        <v>914.95305150716092</v>
      </c>
      <c r="AG289" s="2">
        <v>94.74188136073991</v>
      </c>
      <c r="AH289" s="2">
        <v>326.38646150822939</v>
      </c>
      <c r="AI289" s="2">
        <v>594468.61874630279</v>
      </c>
      <c r="AJ289" s="2">
        <v>565509.25163946138</v>
      </c>
      <c r="AL289" s="27">
        <v>0.91635846978712454</v>
      </c>
      <c r="AM289" s="27">
        <v>0.91414781778092935</v>
      </c>
      <c r="AN289" s="27">
        <v>0.9047074624917999</v>
      </c>
      <c r="AO289" s="27">
        <v>0.88757487325287898</v>
      </c>
      <c r="AP289" s="27">
        <v>0.65263492414090363</v>
      </c>
      <c r="AQ289" s="27">
        <v>0.91635846978712454</v>
      </c>
      <c r="AR289" s="27">
        <v>0.91414781778092935</v>
      </c>
      <c r="AS289" s="27">
        <v>0.9047074624917999</v>
      </c>
      <c r="AT289" s="27">
        <v>0.88757487325287898</v>
      </c>
      <c r="AU289" s="27">
        <v>0.65263492414090363</v>
      </c>
      <c r="AW289" s="1">
        <v>13.050086917187791</v>
      </c>
      <c r="AX289" s="1">
        <v>15.221607408954624</v>
      </c>
      <c r="AY289" s="2">
        <v>2332596.1199087566</v>
      </c>
      <c r="AZ289" s="1">
        <v>15.294625408561481</v>
      </c>
      <c r="BA289" s="1">
        <v>17.368302675244955</v>
      </c>
      <c r="BB289" s="2">
        <v>1550911.1840072975</v>
      </c>
      <c r="BC289" s="2">
        <f t="shared" si="35"/>
        <v>-781684.93590145907</v>
      </c>
      <c r="BD289" s="292">
        <f t="shared" si="36"/>
        <v>2.2445384913736905</v>
      </c>
      <c r="BF289" s="170">
        <f t="shared" si="31"/>
        <v>-244582.21315870993</v>
      </c>
      <c r="BG289" s="2">
        <f t="shared" si="32"/>
        <v>896228.88136253948</v>
      </c>
      <c r="BI289">
        <f t="shared" si="33"/>
        <v>0</v>
      </c>
      <c r="BJ289" s="95">
        <f t="shared" si="34"/>
        <v>1</v>
      </c>
      <c r="BP289" s="217">
        <f t="shared" si="37"/>
        <v>896228.88136253948</v>
      </c>
    </row>
    <row r="290" spans="1:68">
      <c r="A290" s="11">
        <v>284</v>
      </c>
      <c r="C290" s="27">
        <v>0.92359777741676452</v>
      </c>
      <c r="D290" s="27">
        <v>7.6402222583235521E-2</v>
      </c>
      <c r="E290" s="27">
        <v>0</v>
      </c>
      <c r="F290" s="27">
        <v>0.85716608178556153</v>
      </c>
      <c r="G290" s="27">
        <v>0.1428339182144385</v>
      </c>
      <c r="H290" s="27">
        <v>0</v>
      </c>
      <c r="I290" s="27">
        <v>0.7510432417361903</v>
      </c>
      <c r="J290" s="27">
        <v>0.24895675826380972</v>
      </c>
      <c r="K290" s="27">
        <v>0</v>
      </c>
      <c r="L290" s="27">
        <v>0.13388283550186508</v>
      </c>
      <c r="M290" s="27">
        <v>0.50755703661439244</v>
      </c>
      <c r="N290" s="27">
        <v>0.35856012788374247</v>
      </c>
      <c r="O290" s="27">
        <v>-11.148313991577762</v>
      </c>
      <c r="P290" s="27">
        <v>3.4196987591138227E-2</v>
      </c>
      <c r="Q290" s="27">
        <v>6.0550034829291382E-5</v>
      </c>
      <c r="R290" s="27">
        <v>1.0812525905767592</v>
      </c>
      <c r="S290" s="154"/>
      <c r="T290">
        <v>0.92296048104490613</v>
      </c>
      <c r="U290">
        <v>2.2554402213466598</v>
      </c>
      <c r="V290">
        <v>3.1124480370543908</v>
      </c>
      <c r="W290">
        <v>1</v>
      </c>
      <c r="Y290" s="2">
        <v>418.91243113457762</v>
      </c>
      <c r="Z290" s="2">
        <v>2884.2943256739873</v>
      </c>
      <c r="AA290" s="2">
        <v>3275.355171441633</v>
      </c>
      <c r="AB290" s="2">
        <v>3293.615589133396</v>
      </c>
      <c r="AC290" s="2">
        <v>2301.1773722617095</v>
      </c>
      <c r="AD290" s="2">
        <v>389.4896328532364</v>
      </c>
      <c r="AE290" s="2">
        <v>606.23067211296063</v>
      </c>
      <c r="AF290" s="2">
        <v>1160.571211727143</v>
      </c>
      <c r="AG290" s="2">
        <v>111.98430789414029</v>
      </c>
      <c r="AH290" s="2">
        <v>772.62424305025775</v>
      </c>
      <c r="AI290" s="2">
        <v>450441.6430261067</v>
      </c>
      <c r="AJ290" s="2">
        <v>420177.46521976078</v>
      </c>
      <c r="AL290" s="27">
        <v>0.92237785346888401</v>
      </c>
      <c r="AM290" s="27">
        <v>0.91746202379966357</v>
      </c>
      <c r="AN290" s="27">
        <v>0.9098464104671421</v>
      </c>
      <c r="AO290" s="27">
        <v>0.87562261489057436</v>
      </c>
      <c r="AP290" s="27">
        <v>0.71349552677043859</v>
      </c>
      <c r="AQ290" s="27">
        <v>0.92237785346888401</v>
      </c>
      <c r="AR290" s="27">
        <v>0.91746202379966357</v>
      </c>
      <c r="AS290" s="27">
        <v>0.9098464104671421</v>
      </c>
      <c r="AT290" s="27">
        <v>0.87562261489057436</v>
      </c>
      <c r="AU290" s="27">
        <v>0.71349552677043859</v>
      </c>
      <c r="AW290" s="1">
        <v>13.882218198520881</v>
      </c>
      <c r="AX290" s="1">
        <v>15.799289594871384</v>
      </c>
      <c r="AY290" s="2">
        <v>1669574.8492590766</v>
      </c>
      <c r="AZ290" s="1">
        <v>15.49181904388068</v>
      </c>
      <c r="BA290" s="1">
        <v>17.377692731761375</v>
      </c>
      <c r="BB290" s="2">
        <v>1299721.9878187582</v>
      </c>
      <c r="BC290" s="2">
        <f t="shared" si="35"/>
        <v>-369852.8614403184</v>
      </c>
      <c r="BD290" s="292">
        <f t="shared" si="36"/>
        <v>1.6096008453597985</v>
      </c>
      <c r="BF290" s="170">
        <f t="shared" si="31"/>
        <v>551580.06250426453</v>
      </c>
      <c r="BG290" s="2">
        <f t="shared" si="32"/>
        <v>1178969.0592021507</v>
      </c>
      <c r="BI290">
        <f t="shared" si="33"/>
        <v>0</v>
      </c>
      <c r="BJ290" s="95">
        <f t="shared" si="34"/>
        <v>1</v>
      </c>
      <c r="BP290" s="217">
        <f t="shared" si="37"/>
        <v>1178969.0592021507</v>
      </c>
    </row>
    <row r="291" spans="1:68">
      <c r="A291" s="11">
        <v>285</v>
      </c>
      <c r="C291" s="27">
        <v>0.92035897938132938</v>
      </c>
      <c r="D291" s="27">
        <v>7.9641020618670622E-2</v>
      </c>
      <c r="E291" s="27">
        <v>0</v>
      </c>
      <c r="F291" s="27">
        <v>0.85327771793290375</v>
      </c>
      <c r="G291" s="27">
        <v>0.14672228206709625</v>
      </c>
      <c r="H291" s="27">
        <v>0</v>
      </c>
      <c r="I291" s="27">
        <v>0.74797774004333617</v>
      </c>
      <c r="J291" s="27">
        <v>0.25202225995666383</v>
      </c>
      <c r="K291" s="27">
        <v>0</v>
      </c>
      <c r="L291" s="27">
        <v>4.6202970079460948E-2</v>
      </c>
      <c r="M291" s="27">
        <v>0.51654968187595673</v>
      </c>
      <c r="N291" s="27">
        <v>0.43724734804458232</v>
      </c>
      <c r="O291" s="27">
        <v>-11.060325890387009</v>
      </c>
      <c r="P291" s="27">
        <v>3.4890475577309621E-2</v>
      </c>
      <c r="Q291" s="27">
        <v>6.8073271139180969E-5</v>
      </c>
      <c r="R291" s="27">
        <v>1.0509393576037152</v>
      </c>
      <c r="S291" s="154"/>
      <c r="T291">
        <v>1.0637677971385184</v>
      </c>
      <c r="U291">
        <v>2.2427597616587689</v>
      </c>
      <c r="V291">
        <v>2.917196245139579</v>
      </c>
      <c r="W291">
        <v>1</v>
      </c>
      <c r="Y291" s="2">
        <v>2349.9750760341212</v>
      </c>
      <c r="Z291" s="2">
        <v>14352.913432407217</v>
      </c>
      <c r="AA291" s="2">
        <v>2171.0417422482055</v>
      </c>
      <c r="AB291" s="2">
        <v>22568.976223106987</v>
      </c>
      <c r="AC291" s="2">
        <v>542.10622904639456</v>
      </c>
      <c r="AD291" s="2">
        <v>266.484647893204</v>
      </c>
      <c r="AE291" s="2">
        <v>553.88099288775925</v>
      </c>
      <c r="AF291" s="2">
        <v>994.57925401466719</v>
      </c>
      <c r="AG291" s="2">
        <v>117.10125097633545</v>
      </c>
      <c r="AH291" s="2">
        <v>336.75177133740885</v>
      </c>
      <c r="AI291" s="2">
        <v>385656.68585248955</v>
      </c>
      <c r="AJ291" s="2">
        <v>347308.73720380518</v>
      </c>
      <c r="AL291" s="27">
        <v>0.91469403983549125</v>
      </c>
      <c r="AM291" s="27">
        <v>0.91706586040026317</v>
      </c>
      <c r="AN291" s="27">
        <v>0.90512260308493775</v>
      </c>
      <c r="AO291" s="27">
        <v>0.89117449021386397</v>
      </c>
      <c r="AP291" s="27">
        <v>0.66838817156472419</v>
      </c>
      <c r="AQ291" s="27">
        <v>0.91469403983549125</v>
      </c>
      <c r="AR291" s="27">
        <v>0.91706586040026317</v>
      </c>
      <c r="AS291" s="27">
        <v>0.90512260308493775</v>
      </c>
      <c r="AT291" s="27">
        <v>0.89117449021386397</v>
      </c>
      <c r="AU291" s="27">
        <v>0.66838817156472419</v>
      </c>
      <c r="AW291" s="1">
        <v>13.056936633374251</v>
      </c>
      <c r="AX291" s="1">
        <v>15.190063061122739</v>
      </c>
      <c r="AY291" s="2">
        <v>1659442.1939349987</v>
      </c>
      <c r="AZ291" s="1">
        <v>15.118006748833576</v>
      </c>
      <c r="BA291" s="1">
        <v>17.17148839502763</v>
      </c>
      <c r="BB291" s="2">
        <v>1411492.874073023</v>
      </c>
      <c r="BC291" s="2">
        <f t="shared" si="35"/>
        <v>-247949.31986197573</v>
      </c>
      <c r="BD291" s="292">
        <f t="shared" si="36"/>
        <v>2.0610701154593247</v>
      </c>
      <c r="BF291" s="170">
        <f t="shared" si="31"/>
        <v>429667.66740488145</v>
      </c>
      <c r="BG291" s="2">
        <f t="shared" si="32"/>
        <v>1007388.2057403494</v>
      </c>
      <c r="BI291">
        <f t="shared" si="33"/>
        <v>0</v>
      </c>
      <c r="BJ291" s="95">
        <f t="shared" si="34"/>
        <v>1</v>
      </c>
      <c r="BP291" s="217">
        <f t="shared" si="37"/>
        <v>1007388.2057403494</v>
      </c>
    </row>
    <row r="292" spans="1:68">
      <c r="A292" s="11">
        <v>286</v>
      </c>
      <c r="C292" s="27">
        <v>0.9218625929599531</v>
      </c>
      <c r="D292" s="27">
        <v>7.8137407040046902E-2</v>
      </c>
      <c r="E292" s="27">
        <v>0</v>
      </c>
      <c r="F292" s="27">
        <v>0.85359875363619131</v>
      </c>
      <c r="G292" s="27">
        <v>0.14640124636380869</v>
      </c>
      <c r="H292" s="27">
        <v>0</v>
      </c>
      <c r="I292" s="27">
        <v>0.75423636945638295</v>
      </c>
      <c r="J292" s="27">
        <v>0.24576363054361705</v>
      </c>
      <c r="K292" s="27">
        <v>0</v>
      </c>
      <c r="L292" s="27">
        <v>8.4392867764021162E-2</v>
      </c>
      <c r="M292" s="27">
        <v>0.5527637257963891</v>
      </c>
      <c r="N292" s="27">
        <v>0.36284340643958973</v>
      </c>
      <c r="O292" s="27">
        <v>-11.201059119518359</v>
      </c>
      <c r="P292" s="27">
        <v>3.2130456827700757E-2</v>
      </c>
      <c r="Q292" s="27">
        <v>5.2663921796323266E-5</v>
      </c>
      <c r="R292" s="27">
        <v>1.1011777623316321</v>
      </c>
      <c r="S292" s="154"/>
      <c r="T292">
        <v>0.98970718426267112</v>
      </c>
      <c r="U292">
        <v>2.260776414935612</v>
      </c>
      <c r="V292">
        <v>2.8097547004690284</v>
      </c>
      <c r="W292">
        <v>1</v>
      </c>
      <c r="Y292" s="2">
        <v>540.84964532763161</v>
      </c>
      <c r="Z292" s="2">
        <v>2530.940851034447</v>
      </c>
      <c r="AA292" s="2">
        <v>752.97282879865065</v>
      </c>
      <c r="AB292" s="2">
        <v>10119.895054035271</v>
      </c>
      <c r="AC292" s="2">
        <v>557.92021335505694</v>
      </c>
      <c r="AD292" s="2">
        <v>1187.3222438092109</v>
      </c>
      <c r="AE292" s="2">
        <v>578.83976711068578</v>
      </c>
      <c r="AF292" s="2">
        <v>759.58170148721661</v>
      </c>
      <c r="AG292" s="2">
        <v>150.32092051137732</v>
      </c>
      <c r="AH292" s="2">
        <v>483.15860452086383</v>
      </c>
      <c r="AI292" s="2">
        <v>524267.70463091019</v>
      </c>
      <c r="AJ292" s="2">
        <v>497818.43757255009</v>
      </c>
      <c r="AL292" s="27">
        <v>0.91103957344648434</v>
      </c>
      <c r="AM292" s="27">
        <v>0.91761304115358699</v>
      </c>
      <c r="AN292" s="27">
        <v>0.9082584781958507</v>
      </c>
      <c r="AO292" s="27">
        <v>0.91014135277224928</v>
      </c>
      <c r="AP292" s="27">
        <v>0.65804490523664838</v>
      </c>
      <c r="AQ292" s="27">
        <v>0.91103957344648434</v>
      </c>
      <c r="AR292" s="27">
        <v>0.91761304115358699</v>
      </c>
      <c r="AS292" s="27">
        <v>0.9082584781958507</v>
      </c>
      <c r="AT292" s="27">
        <v>0.91014135277224928</v>
      </c>
      <c r="AU292" s="27">
        <v>0.65804490523664838</v>
      </c>
      <c r="AW292" s="1">
        <v>13.375036018445378</v>
      </c>
      <c r="AX292" s="1">
        <v>15.573065742287566</v>
      </c>
      <c r="AY292" s="2">
        <v>2031648.9567287492</v>
      </c>
      <c r="AZ292" s="1">
        <v>15.204000595713776</v>
      </c>
      <c r="BA292" s="1">
        <v>17.315788223000332</v>
      </c>
      <c r="BB292" s="2">
        <v>1622913.8158559524</v>
      </c>
      <c r="BC292" s="2">
        <f t="shared" si="35"/>
        <v>-408735.14087279676</v>
      </c>
      <c r="BD292" s="292">
        <f t="shared" si="36"/>
        <v>1.8289645772683976</v>
      </c>
      <c r="BF292" s="170">
        <f t="shared" si="31"/>
        <v>108356.80622251122</v>
      </c>
      <c r="BG292" s="2">
        <f t="shared" si="32"/>
        <v>809726.27945825178</v>
      </c>
      <c r="BI292">
        <f t="shared" si="33"/>
        <v>0</v>
      </c>
      <c r="BJ292" s="95">
        <f t="shared" si="34"/>
        <v>1</v>
      </c>
      <c r="BP292" s="217">
        <f t="shared" si="37"/>
        <v>809726.27945825178</v>
      </c>
    </row>
    <row r="293" spans="1:68">
      <c r="A293" s="11">
        <v>287</v>
      </c>
      <c r="C293" s="27">
        <v>0.92525621366541932</v>
      </c>
      <c r="D293" s="27">
        <v>7.4743786334580689E-2</v>
      </c>
      <c r="E293" s="27">
        <v>0</v>
      </c>
      <c r="F293" s="27">
        <v>0.85259962471087058</v>
      </c>
      <c r="G293" s="27">
        <v>0.14740037528912942</v>
      </c>
      <c r="H293" s="27">
        <v>0</v>
      </c>
      <c r="I293" s="27">
        <v>0.75042459369549186</v>
      </c>
      <c r="J293" s="27">
        <v>0.2495754063045082</v>
      </c>
      <c r="K293" s="27">
        <v>0</v>
      </c>
      <c r="L293" s="27">
        <v>0.12291433893562681</v>
      </c>
      <c r="M293" s="27">
        <v>0.55835478978785835</v>
      </c>
      <c r="N293" s="27">
        <v>0.31873087127651484</v>
      </c>
      <c r="O293" s="27">
        <v>-10.755751700803788</v>
      </c>
      <c r="P293" s="27">
        <v>2.9528534767720611E-2</v>
      </c>
      <c r="Q293" s="27">
        <v>7.369664806826372E-5</v>
      </c>
      <c r="R293" s="27">
        <v>1.0596385522463108</v>
      </c>
      <c r="S293" s="154"/>
      <c r="T293">
        <v>0.92763374034363522</v>
      </c>
      <c r="U293">
        <v>2.2378815949331239</v>
      </c>
      <c r="V293">
        <v>2.8691190771407169</v>
      </c>
      <c r="W293">
        <v>1</v>
      </c>
      <c r="Y293" s="2">
        <v>500.64259017460853</v>
      </c>
      <c r="Z293" s="2">
        <v>1899.2948703550351</v>
      </c>
      <c r="AA293" s="2">
        <v>442.48079786803498</v>
      </c>
      <c r="AB293" s="2">
        <v>81.07783927961836</v>
      </c>
      <c r="AC293" s="2">
        <v>635.78416515473748</v>
      </c>
      <c r="AD293" s="2">
        <v>28.777863837699378</v>
      </c>
      <c r="AE293" s="2">
        <v>560.67040252536322</v>
      </c>
      <c r="AF293" s="2">
        <v>1240.5863512847022</v>
      </c>
      <c r="AG293" s="2">
        <v>100.66593751963059</v>
      </c>
      <c r="AH293" s="2">
        <v>445.9710483229868</v>
      </c>
      <c r="AI293" s="2">
        <v>629018.02005775669</v>
      </c>
      <c r="AJ293" s="2">
        <v>589461.67856281553</v>
      </c>
      <c r="AL293" s="27">
        <v>0.92026138011228698</v>
      </c>
      <c r="AM293" s="27">
        <v>0.91496208030212256</v>
      </c>
      <c r="AN293" s="27">
        <v>0.90966444372812516</v>
      </c>
      <c r="AO293" s="27">
        <v>0.86118882752918058</v>
      </c>
      <c r="AP293" s="27">
        <v>0.66631996011494987</v>
      </c>
      <c r="AQ293" s="27">
        <v>0.92026138011228698</v>
      </c>
      <c r="AR293" s="27">
        <v>0.91496208030212256</v>
      </c>
      <c r="AS293" s="27">
        <v>0.90966444372812516</v>
      </c>
      <c r="AT293" s="27">
        <v>0.86118882752918058</v>
      </c>
      <c r="AU293" s="27">
        <v>0.66631996011494987</v>
      </c>
      <c r="AW293" s="1">
        <v>13.949152823099107</v>
      </c>
      <c r="AX293" s="1">
        <v>16.13500216984173</v>
      </c>
      <c r="AY293" s="2">
        <v>2450184.8626374393</v>
      </c>
      <c r="AZ293" s="1">
        <v>15.483932845622403</v>
      </c>
      <c r="BA293" s="1">
        <v>17.581360556082057</v>
      </c>
      <c r="BB293" s="2">
        <v>1804981.3976352094</v>
      </c>
      <c r="BC293" s="2">
        <f t="shared" si="35"/>
        <v>-645203.4650022299</v>
      </c>
      <c r="BD293" s="292">
        <f t="shared" si="36"/>
        <v>1.5347800225232966</v>
      </c>
      <c r="BF293" s="170">
        <f t="shared" si="31"/>
        <v>-218320.41094158217</v>
      </c>
      <c r="BG293" s="2">
        <f t="shared" si="32"/>
        <v>672447.8576643751</v>
      </c>
      <c r="BI293">
        <f t="shared" si="33"/>
        <v>0</v>
      </c>
      <c r="BJ293" s="95">
        <f t="shared" si="34"/>
        <v>1</v>
      </c>
      <c r="BP293" s="217">
        <f t="shared" si="37"/>
        <v>672447.8576643751</v>
      </c>
    </row>
    <row r="294" spans="1:68">
      <c r="A294" s="11">
        <v>288</v>
      </c>
      <c r="C294" s="27">
        <v>0.92137101188736603</v>
      </c>
      <c r="D294" s="27">
        <v>7.8628988112633968E-2</v>
      </c>
      <c r="E294" s="27">
        <v>0</v>
      </c>
      <c r="F294" s="27">
        <v>0.86293856899043742</v>
      </c>
      <c r="G294" s="27">
        <v>0.13706143100956256</v>
      </c>
      <c r="H294" s="27">
        <v>0</v>
      </c>
      <c r="I294" s="27">
        <v>0.76104144153644804</v>
      </c>
      <c r="J294" s="27">
        <v>0.23895855846355196</v>
      </c>
      <c r="K294" s="27">
        <v>0</v>
      </c>
      <c r="L294" s="27">
        <v>4.7614483030752663E-2</v>
      </c>
      <c r="M294" s="27">
        <v>0.52328271648539637</v>
      </c>
      <c r="N294" s="27">
        <v>0.42910280048385097</v>
      </c>
      <c r="O294" s="27">
        <v>-11.763613719246829</v>
      </c>
      <c r="P294" s="27">
        <v>3.430470330948969E-2</v>
      </c>
      <c r="Q294" s="27">
        <v>3.2874404547687156E-5</v>
      </c>
      <c r="R294" s="27">
        <v>1.1578521284421115</v>
      </c>
      <c r="S294" s="154"/>
      <c r="T294">
        <v>0.88063378211536691</v>
      </c>
      <c r="U294">
        <v>2.2441594528965045</v>
      </c>
      <c r="V294">
        <v>2.8644149055393493</v>
      </c>
      <c r="W294">
        <v>1</v>
      </c>
      <c r="Y294" s="2">
        <v>1021.6816872457632</v>
      </c>
      <c r="Z294" s="2">
        <v>4110.6237669823358</v>
      </c>
      <c r="AA294" s="2">
        <v>827.68862292449887</v>
      </c>
      <c r="AB294" s="2">
        <v>7949.4220705498965</v>
      </c>
      <c r="AC294" s="2">
        <v>26.916288164708853</v>
      </c>
      <c r="AD294" s="2">
        <v>229.47395793925543</v>
      </c>
      <c r="AE294" s="2">
        <v>586.69707961626227</v>
      </c>
      <c r="AF294" s="2">
        <v>1129.4412382612206</v>
      </c>
      <c r="AG294" s="2">
        <v>140.06849365860151</v>
      </c>
      <c r="AH294" s="2">
        <v>558.97187512369658</v>
      </c>
      <c r="AI294" s="2">
        <v>553265.33526983322</v>
      </c>
      <c r="AJ294" s="2">
        <v>523075.68011734326</v>
      </c>
      <c r="AL294" s="27">
        <v>0.91321757643684787</v>
      </c>
      <c r="AM294" s="27">
        <v>0.91248098241197062</v>
      </c>
      <c r="AN294" s="27">
        <v>0.9059632965721417</v>
      </c>
      <c r="AO294" s="27">
        <v>0.86870217535767336</v>
      </c>
      <c r="AP294" s="27">
        <v>0.70876730006280542</v>
      </c>
      <c r="AQ294" s="27">
        <v>0.91321757643684787</v>
      </c>
      <c r="AR294" s="27">
        <v>0.91248098241197062</v>
      </c>
      <c r="AS294" s="27">
        <v>0.9059632965721417</v>
      </c>
      <c r="AT294" s="27">
        <v>0.86870217535767336</v>
      </c>
      <c r="AU294" s="27">
        <v>0.70876730006280542</v>
      </c>
      <c r="AW294" s="1">
        <v>13.655860336557163</v>
      </c>
      <c r="AX294" s="1">
        <v>15.590844839809165</v>
      </c>
      <c r="AY294" s="2">
        <v>1791137.3574117341</v>
      </c>
      <c r="AZ294" s="1">
        <v>15.207835348546439</v>
      </c>
      <c r="BA294" s="1">
        <v>17.143004403780679</v>
      </c>
      <c r="BB294" s="2">
        <v>1443095.1576144458</v>
      </c>
      <c r="BC294" s="2">
        <f t="shared" si="35"/>
        <v>-348042.19979728828</v>
      </c>
      <c r="BD294" s="292">
        <f t="shared" si="36"/>
        <v>1.5519750119892759</v>
      </c>
      <c r="BF294" s="170">
        <f t="shared" si="31"/>
        <v>393800.29643741227</v>
      </c>
      <c r="BG294" s="2">
        <f t="shared" si="32"/>
        <v>990158.49815298431</v>
      </c>
      <c r="BI294">
        <f t="shared" si="33"/>
        <v>0</v>
      </c>
      <c r="BJ294" s="95">
        <f t="shared" si="34"/>
        <v>1</v>
      </c>
      <c r="BP294" s="217">
        <f t="shared" si="37"/>
        <v>990158.49815298431</v>
      </c>
    </row>
    <row r="295" spans="1:68">
      <c r="A295" s="11">
        <v>289</v>
      </c>
      <c r="C295" s="27">
        <v>0.92261087120511842</v>
      </c>
      <c r="D295" s="27">
        <v>7.7389128794881579E-2</v>
      </c>
      <c r="E295" s="27">
        <v>0</v>
      </c>
      <c r="F295" s="27">
        <v>0.85603047581455871</v>
      </c>
      <c r="G295" s="27">
        <v>0.14396952418544129</v>
      </c>
      <c r="H295" s="27">
        <v>0</v>
      </c>
      <c r="I295" s="27">
        <v>0.75409379711362878</v>
      </c>
      <c r="J295" s="27">
        <v>0.24590620288637116</v>
      </c>
      <c r="K295" s="27">
        <v>0</v>
      </c>
      <c r="L295" s="27">
        <v>6.236559203225478E-2</v>
      </c>
      <c r="M295" s="27">
        <v>0.58085762716924427</v>
      </c>
      <c r="N295" s="27">
        <v>0.35677678079850095</v>
      </c>
      <c r="O295" s="27">
        <v>-10.779092820639299</v>
      </c>
      <c r="P295" s="27">
        <v>3.0916301289481384E-2</v>
      </c>
      <c r="Q295" s="27">
        <v>7.6317509287313325E-5</v>
      </c>
      <c r="R295" s="27">
        <v>1.0512348791136423</v>
      </c>
      <c r="S295" s="154"/>
      <c r="T295">
        <v>0.9755833262968383</v>
      </c>
      <c r="U295">
        <v>2.2941316647261925</v>
      </c>
      <c r="V295">
        <v>3.0092329217292528</v>
      </c>
      <c r="W295">
        <v>1</v>
      </c>
      <c r="Y295" s="2">
        <v>608.42205218416393</v>
      </c>
      <c r="Z295" s="2">
        <v>7500.5783522741422</v>
      </c>
      <c r="AA295" s="2">
        <v>1530.4731021779357</v>
      </c>
      <c r="AB295" s="2">
        <v>7608.0680268741426</v>
      </c>
      <c r="AC295" s="2">
        <v>1575.4244488474635</v>
      </c>
      <c r="AD295" s="2">
        <v>1342.6311361662965</v>
      </c>
      <c r="AE295" s="2">
        <v>601.11144008451936</v>
      </c>
      <c r="AF295" s="2">
        <v>1141.0707018660501</v>
      </c>
      <c r="AG295" s="2">
        <v>133.90096159300856</v>
      </c>
      <c r="AH295" s="2">
        <v>351.51608325164614</v>
      </c>
      <c r="AI295" s="2">
        <v>661371.96353270661</v>
      </c>
      <c r="AJ295" s="2">
        <v>619007.77527535101</v>
      </c>
      <c r="AL295" s="27">
        <v>0.92050910799687125</v>
      </c>
      <c r="AM295" s="27">
        <v>0.91404785194349158</v>
      </c>
      <c r="AN295" s="27">
        <v>0.91300396510202497</v>
      </c>
      <c r="AO295" s="27">
        <v>0.86450116835262725</v>
      </c>
      <c r="AP295" s="27">
        <v>0.67358937996074397</v>
      </c>
      <c r="AQ295" s="27">
        <v>0.92050910799687125</v>
      </c>
      <c r="AR295" s="27">
        <v>0.91404785194349158</v>
      </c>
      <c r="AS295" s="27">
        <v>0.91300396510202497</v>
      </c>
      <c r="AT295" s="27">
        <v>0.86450116835262725</v>
      </c>
      <c r="AU295" s="27">
        <v>0.67358937996074397</v>
      </c>
      <c r="AW295" s="1">
        <v>13.664263426429899</v>
      </c>
      <c r="AX295" s="1">
        <v>15.828416080458334</v>
      </c>
      <c r="AY295" s="2">
        <v>2767595.6597416056</v>
      </c>
      <c r="AZ295" s="1">
        <v>15.446179464355462</v>
      </c>
      <c r="BA295" s="1">
        <v>17.513281457203345</v>
      </c>
      <c r="BB295" s="2">
        <v>2059084.7639207989</v>
      </c>
      <c r="BC295" s="2">
        <f t="shared" si="35"/>
        <v>-708510.89582080673</v>
      </c>
      <c r="BD295" s="292">
        <f t="shared" si="36"/>
        <v>1.7819160379255621</v>
      </c>
      <c r="BF295" s="170">
        <f t="shared" si="31"/>
        <v>-581313.51151282154</v>
      </c>
      <c r="BG295" s="2">
        <f t="shared" si="32"/>
        <v>412303.95037607476</v>
      </c>
      <c r="BI295">
        <f t="shared" si="33"/>
        <v>0</v>
      </c>
      <c r="BJ295" s="95">
        <f t="shared" si="34"/>
        <v>1</v>
      </c>
      <c r="BP295" s="217">
        <f t="shared" si="37"/>
        <v>412303.95037607476</v>
      </c>
    </row>
    <row r="296" spans="1:68">
      <c r="A296" s="11">
        <v>290</v>
      </c>
      <c r="C296" s="27">
        <v>0.923579754604544</v>
      </c>
      <c r="D296" s="27">
        <v>7.6420245395456027E-2</v>
      </c>
      <c r="E296" s="27">
        <v>0</v>
      </c>
      <c r="F296" s="27">
        <v>0.85805155123640264</v>
      </c>
      <c r="G296" s="27">
        <v>0.14194844876359736</v>
      </c>
      <c r="H296" s="27">
        <v>0</v>
      </c>
      <c r="I296" s="27">
        <v>0.74262666517722242</v>
      </c>
      <c r="J296" s="27">
        <v>0.25737333482277758</v>
      </c>
      <c r="K296" s="27">
        <v>0</v>
      </c>
      <c r="L296" s="27">
        <v>0.12899369869568222</v>
      </c>
      <c r="M296" s="27">
        <v>0.46591887830738732</v>
      </c>
      <c r="N296" s="27">
        <v>0.40508742299693046</v>
      </c>
      <c r="O296" s="27">
        <v>-11.19972167834163</v>
      </c>
      <c r="P296" s="27">
        <v>3.4908363733764346E-2</v>
      </c>
      <c r="Q296" s="27">
        <v>5.9260332704075043E-5</v>
      </c>
      <c r="R296" s="27">
        <v>1.0743083742118713</v>
      </c>
      <c r="S296" s="154"/>
      <c r="T296">
        <v>1.0245902782251111</v>
      </c>
      <c r="U296">
        <v>2.2728152790766769</v>
      </c>
      <c r="V296">
        <v>3.0125622302533013</v>
      </c>
      <c r="W296">
        <v>1</v>
      </c>
      <c r="Y296" s="2">
        <v>711.94476102932333</v>
      </c>
      <c r="Z296" s="2">
        <v>1717.048856007372</v>
      </c>
      <c r="AA296" s="2">
        <v>710.18558222714034</v>
      </c>
      <c r="AB296" s="2">
        <v>509.58845773658976</v>
      </c>
      <c r="AC296" s="2">
        <v>1491.4110015253091</v>
      </c>
      <c r="AD296" s="2">
        <v>1180.1766918565199</v>
      </c>
      <c r="AE296" s="2">
        <v>604.86558663569838</v>
      </c>
      <c r="AF296" s="2">
        <v>997.58142450768185</v>
      </c>
      <c r="AG296" s="2">
        <v>98.070718793913002</v>
      </c>
      <c r="AH296" s="2">
        <v>403.65604984661417</v>
      </c>
      <c r="AI296" s="2">
        <v>687228.4613639391</v>
      </c>
      <c r="AJ296" s="2">
        <v>647574.8212036998</v>
      </c>
      <c r="AL296" s="27">
        <v>0.91213007101708199</v>
      </c>
      <c r="AM296" s="27">
        <v>0.90353586859377522</v>
      </c>
      <c r="AN296" s="27">
        <v>0.91111407841601577</v>
      </c>
      <c r="AO296" s="27">
        <v>0.8749324918258603</v>
      </c>
      <c r="AP296" s="27">
        <v>0.58051653696472649</v>
      </c>
      <c r="AQ296" s="27">
        <v>0.91213007101708199</v>
      </c>
      <c r="AR296" s="27">
        <v>0.90353586859377522</v>
      </c>
      <c r="AS296" s="27">
        <v>0.91111407841601577</v>
      </c>
      <c r="AT296" s="27">
        <v>0.8749324918258603</v>
      </c>
      <c r="AU296" s="27">
        <v>0.58051653696472649</v>
      </c>
      <c r="AW296" s="1">
        <v>12.911650647670148</v>
      </c>
      <c r="AX296" s="1">
        <v>15.313150219131249</v>
      </c>
      <c r="AY296" s="2">
        <v>2492931.7624974246</v>
      </c>
      <c r="AZ296" s="1">
        <v>14.944005264318672</v>
      </c>
      <c r="BA296" s="1">
        <v>17.219759061954409</v>
      </c>
      <c r="BB296" s="2">
        <v>1749007.4350986129</v>
      </c>
      <c r="BC296" s="2">
        <f t="shared" si="35"/>
        <v>-743924.3273988117</v>
      </c>
      <c r="BD296" s="292">
        <f t="shared" si="36"/>
        <v>2.032354616648524</v>
      </c>
      <c r="BF296" s="170">
        <f t="shared" si="31"/>
        <v>-427067.65887020086</v>
      </c>
      <c r="BG296" s="2">
        <f t="shared" si="32"/>
        <v>642033.40719237481</v>
      </c>
      <c r="BI296">
        <f t="shared" si="33"/>
        <v>0</v>
      </c>
      <c r="BJ296" s="95">
        <f t="shared" si="34"/>
        <v>1</v>
      </c>
      <c r="BP296" s="217">
        <f t="shared" si="37"/>
        <v>642033.40719237481</v>
      </c>
    </row>
    <row r="297" spans="1:68">
      <c r="A297" s="11">
        <v>291</v>
      </c>
      <c r="C297" s="27">
        <v>0.92321256582953903</v>
      </c>
      <c r="D297" s="27">
        <v>7.6787434170460939E-2</v>
      </c>
      <c r="E297" s="27">
        <v>0</v>
      </c>
      <c r="F297" s="27">
        <v>0.8560733480145033</v>
      </c>
      <c r="G297" s="27">
        <v>0.1439266519854967</v>
      </c>
      <c r="H297" s="27">
        <v>0</v>
      </c>
      <c r="I297" s="27">
        <v>0.76278773098183283</v>
      </c>
      <c r="J297" s="27">
        <v>0.23721226901816717</v>
      </c>
      <c r="K297" s="27">
        <v>0</v>
      </c>
      <c r="L297" s="27">
        <v>0.16090098420755927</v>
      </c>
      <c r="M297" s="27">
        <v>0.48967290772004751</v>
      </c>
      <c r="N297" s="27">
        <v>0.34942610807239327</v>
      </c>
      <c r="O297" s="27">
        <v>-11.107617076697768</v>
      </c>
      <c r="P297" s="27">
        <v>3.3117874996287232E-2</v>
      </c>
      <c r="Q297" s="27">
        <v>6.0270588455986031E-5</v>
      </c>
      <c r="R297" s="27">
        <v>1.0766025265704715</v>
      </c>
      <c r="S297" s="154"/>
      <c r="T297">
        <v>0.97820541496328639</v>
      </c>
      <c r="U297">
        <v>2.243743496076966</v>
      </c>
      <c r="V297">
        <v>2.98895401132136</v>
      </c>
      <c r="W297">
        <v>1</v>
      </c>
      <c r="Y297" s="2">
        <v>369.01033873637056</v>
      </c>
      <c r="Z297" s="2">
        <v>1584.7762926147964</v>
      </c>
      <c r="AA297" s="2">
        <v>3035.1987722318149</v>
      </c>
      <c r="AB297" s="2">
        <v>13542.056469266068</v>
      </c>
      <c r="AC297" s="2">
        <v>324.8311903709336</v>
      </c>
      <c r="AD297" s="2">
        <v>2541.4883743643541</v>
      </c>
      <c r="AE297" s="2">
        <v>509.47810605517964</v>
      </c>
      <c r="AF297" s="2">
        <v>1065.2956136774048</v>
      </c>
      <c r="AG297" s="2">
        <v>140.15634434163428</v>
      </c>
      <c r="AH297" s="2">
        <v>272.90676028825465</v>
      </c>
      <c r="AI297" s="2">
        <v>380788.74472466484</v>
      </c>
      <c r="AJ297" s="2">
        <v>339194.94063980354</v>
      </c>
      <c r="AL297" s="27">
        <v>0.91220237016952233</v>
      </c>
      <c r="AM297" s="27">
        <v>0.9186992251146332</v>
      </c>
      <c r="AN297" s="27">
        <v>0.91655250055512305</v>
      </c>
      <c r="AO297" s="27">
        <v>0.8702217180756614</v>
      </c>
      <c r="AP297" s="27">
        <v>0.71353402969284552</v>
      </c>
      <c r="AQ297" s="27">
        <v>0.91220237016952233</v>
      </c>
      <c r="AR297" s="27">
        <v>0.9186992251146332</v>
      </c>
      <c r="AS297" s="27">
        <v>0.91655250055512305</v>
      </c>
      <c r="AT297" s="27">
        <v>0.8702217180756614</v>
      </c>
      <c r="AU297" s="27">
        <v>0.71353402969284552</v>
      </c>
      <c r="AW297" s="1">
        <v>13.691111442655844</v>
      </c>
      <c r="AX297" s="1">
        <v>15.718003095682686</v>
      </c>
      <c r="AY297" s="2">
        <v>1370375.4492634474</v>
      </c>
      <c r="AZ297" s="1">
        <v>15.470359465265663</v>
      </c>
      <c r="BA297" s="1">
        <v>17.442327901043889</v>
      </c>
      <c r="BB297" s="2">
        <v>1279106.322139187</v>
      </c>
      <c r="BC297" s="2">
        <f t="shared" si="35"/>
        <v>-91269.127124260413</v>
      </c>
      <c r="BD297" s="292">
        <f t="shared" si="36"/>
        <v>1.7792480226098188</v>
      </c>
      <c r="BF297" s="170">
        <f t="shared" si="31"/>
        <v>820202.38156148745</v>
      </c>
      <c r="BG297" s="2">
        <f t="shared" si="32"/>
        <v>1196151.1923033192</v>
      </c>
      <c r="BI297">
        <f t="shared" si="33"/>
        <v>0</v>
      </c>
      <c r="BJ297" s="95">
        <f t="shared" si="34"/>
        <v>1</v>
      </c>
      <c r="BP297" s="217">
        <f t="shared" si="37"/>
        <v>1196151.1923033192</v>
      </c>
    </row>
    <row r="298" spans="1:68">
      <c r="A298" s="11">
        <v>292</v>
      </c>
      <c r="C298" s="27">
        <v>0.92347984905527358</v>
      </c>
      <c r="D298" s="27">
        <v>7.6520150944726445E-2</v>
      </c>
      <c r="E298" s="27">
        <v>0</v>
      </c>
      <c r="F298" s="27">
        <v>0.86348772595911016</v>
      </c>
      <c r="G298" s="27">
        <v>0.13651227404088984</v>
      </c>
      <c r="H298" s="27">
        <v>0</v>
      </c>
      <c r="I298" s="27">
        <v>0.76868062631844369</v>
      </c>
      <c r="J298" s="27">
        <v>0.23131937368155631</v>
      </c>
      <c r="K298" s="27">
        <v>0</v>
      </c>
      <c r="L298" s="27">
        <v>9.8187635222265202E-2</v>
      </c>
      <c r="M298" s="27">
        <v>0.53985872442839855</v>
      </c>
      <c r="N298" s="27">
        <v>0.36195364034933625</v>
      </c>
      <c r="O298" s="27">
        <v>-11.011303670277766</v>
      </c>
      <c r="P298" s="27">
        <v>3.1677091362292846E-2</v>
      </c>
      <c r="Q298" s="27">
        <v>6.246739401818792E-5</v>
      </c>
      <c r="R298" s="27">
        <v>1.0695526419371109</v>
      </c>
      <c r="S298" s="154"/>
      <c r="T298">
        <v>0.98950839619998698</v>
      </c>
      <c r="U298">
        <v>2.2587221409729894</v>
      </c>
      <c r="V298">
        <v>2.9277747666780636</v>
      </c>
      <c r="W298">
        <v>1</v>
      </c>
      <c r="Y298" s="2">
        <v>110.09969551441867</v>
      </c>
      <c r="Z298" s="2">
        <v>2465.0407353946898</v>
      </c>
      <c r="AA298" s="2">
        <v>702.31302333052986</v>
      </c>
      <c r="AB298" s="2">
        <v>660.11554541339456</v>
      </c>
      <c r="AC298" s="2">
        <v>538.85848249537378</v>
      </c>
      <c r="AD298" s="2">
        <v>24.508961288388843</v>
      </c>
      <c r="AE298" s="2">
        <v>596.06026541433812</v>
      </c>
      <c r="AF298" s="2">
        <v>1008.7129449123526</v>
      </c>
      <c r="AG298" s="2">
        <v>136.19462979597907</v>
      </c>
      <c r="AH298" s="2">
        <v>244.63746736687671</v>
      </c>
      <c r="AI298" s="2">
        <v>560856.31333115289</v>
      </c>
      <c r="AJ298" s="2">
        <v>521267.06935471017</v>
      </c>
      <c r="AL298" s="27">
        <v>0.91383377856375192</v>
      </c>
      <c r="AM298" s="27">
        <v>0.91384372678448855</v>
      </c>
      <c r="AN298" s="27">
        <v>0.90620057921891717</v>
      </c>
      <c r="AO298" s="27">
        <v>0.82789186391895953</v>
      </c>
      <c r="AP298" s="27">
        <v>0.69461587346039733</v>
      </c>
      <c r="AQ298" s="27">
        <v>0.91383377856375192</v>
      </c>
      <c r="AR298" s="27">
        <v>0.91384372678448855</v>
      </c>
      <c r="AS298" s="27">
        <v>0.90620057921891717</v>
      </c>
      <c r="AT298" s="27">
        <v>0.82789186391895953</v>
      </c>
      <c r="AU298" s="27">
        <v>0.69461587346039733</v>
      </c>
      <c r="AW298" s="1">
        <v>13.706631108781298</v>
      </c>
      <c r="AX298" s="1">
        <v>15.857509686287283</v>
      </c>
      <c r="AY298" s="2">
        <v>2168603.6199417445</v>
      </c>
      <c r="AZ298" s="1">
        <v>15.529383446555773</v>
      </c>
      <c r="BA298" s="1">
        <v>17.60724629737841</v>
      </c>
      <c r="BB298" s="2">
        <v>1506654.8801037585</v>
      </c>
      <c r="BC298" s="2">
        <f t="shared" si="35"/>
        <v>-661948.73983798595</v>
      </c>
      <c r="BD298" s="292">
        <f t="shared" si="36"/>
        <v>1.8227523377744745</v>
      </c>
      <c r="BF298" s="170">
        <f t="shared" si="31"/>
        <v>24457.357463263441</v>
      </c>
      <c r="BG298" s="2">
        <f t="shared" si="32"/>
        <v>978046.47134516528</v>
      </c>
      <c r="BI298">
        <f t="shared" si="33"/>
        <v>0</v>
      </c>
      <c r="BJ298" s="95">
        <f t="shared" si="34"/>
        <v>1</v>
      </c>
      <c r="BP298" s="217">
        <f t="shared" si="37"/>
        <v>978046.47134516528</v>
      </c>
    </row>
    <row r="299" spans="1:68">
      <c r="A299" s="11">
        <v>293</v>
      </c>
      <c r="C299" s="27">
        <v>0.92206771870572468</v>
      </c>
      <c r="D299" s="27">
        <v>7.7932281294275318E-2</v>
      </c>
      <c r="E299" s="27">
        <v>0</v>
      </c>
      <c r="F299" s="27">
        <v>0.8599543389062444</v>
      </c>
      <c r="G299" s="27">
        <v>0.14004566109375557</v>
      </c>
      <c r="H299" s="27">
        <v>0</v>
      </c>
      <c r="I299" s="27">
        <v>0.75894487576807246</v>
      </c>
      <c r="J299" s="27">
        <v>0.24105512423192754</v>
      </c>
      <c r="K299" s="27">
        <v>0</v>
      </c>
      <c r="L299" s="27">
        <v>0.15913225990178959</v>
      </c>
      <c r="M299" s="27">
        <v>0.49195647702587592</v>
      </c>
      <c r="N299" s="27">
        <v>0.34891126307233444</v>
      </c>
      <c r="O299" s="27">
        <v>-11.343607781030007</v>
      </c>
      <c r="P299" s="27">
        <v>3.5809983399070898E-2</v>
      </c>
      <c r="Q299" s="27">
        <v>5.3299240401712405E-5</v>
      </c>
      <c r="R299" s="27">
        <v>1.0872376256968528</v>
      </c>
      <c r="S299" s="154"/>
      <c r="T299">
        <v>0.96693909297350844</v>
      </c>
      <c r="U299">
        <v>2.204276211628605</v>
      </c>
      <c r="V299">
        <v>2.74736983765222</v>
      </c>
      <c r="W299">
        <v>1</v>
      </c>
      <c r="Y299" s="2">
        <v>318.25344180743639</v>
      </c>
      <c r="Z299" s="2">
        <v>4181.2354711709168</v>
      </c>
      <c r="AA299" s="2">
        <v>294.10063657846183</v>
      </c>
      <c r="AB299" s="2">
        <v>5746.3811542460235</v>
      </c>
      <c r="AC299" s="2">
        <v>648.59706385631137</v>
      </c>
      <c r="AD299" s="2">
        <v>673.28123484837374</v>
      </c>
      <c r="AE299" s="2">
        <v>566.36637536719411</v>
      </c>
      <c r="AF299" s="2">
        <v>1276.9810588673536</v>
      </c>
      <c r="AG299" s="2">
        <v>86.309091981415605</v>
      </c>
      <c r="AH299" s="2">
        <v>438.72518741447612</v>
      </c>
      <c r="AI299" s="2">
        <v>466331.94275619293</v>
      </c>
      <c r="AJ299" s="2">
        <v>422484.75030362367</v>
      </c>
      <c r="AL299" s="27">
        <v>0.91663923044596685</v>
      </c>
      <c r="AM299" s="27">
        <v>0.91133835316930267</v>
      </c>
      <c r="AN299" s="27">
        <v>0.90500694622940736</v>
      </c>
      <c r="AO299" s="27">
        <v>0.84243754246689728</v>
      </c>
      <c r="AP299" s="27">
        <v>0.7288772907174581</v>
      </c>
      <c r="AQ299" s="27">
        <v>0.91663923044596685</v>
      </c>
      <c r="AR299" s="27">
        <v>0.91133835316930267</v>
      </c>
      <c r="AS299" s="27">
        <v>0.90500694622940736</v>
      </c>
      <c r="AT299" s="27">
        <v>0.84243754246689728</v>
      </c>
      <c r="AU299" s="27">
        <v>0.7288772907174581</v>
      </c>
      <c r="AW299" s="1">
        <v>13.832010249508066</v>
      </c>
      <c r="AX299" s="1">
        <v>15.819078428206456</v>
      </c>
      <c r="AY299" s="2">
        <v>1734919.7263662829</v>
      </c>
      <c r="AZ299" s="1">
        <v>15.488770547338961</v>
      </c>
      <c r="BA299" s="1">
        <v>17.455259235431942</v>
      </c>
      <c r="BB299" s="2">
        <v>1321062.3827966261</v>
      </c>
      <c r="BC299" s="2">
        <f t="shared" si="35"/>
        <v>-413857.34356965683</v>
      </c>
      <c r="BD299" s="292">
        <f t="shared" si="36"/>
        <v>1.6567602978308944</v>
      </c>
      <c r="BF299" s="170">
        <f t="shared" si="31"/>
        <v>478201.91355500789</v>
      </c>
      <c r="BG299" s="2">
        <f t="shared" si="32"/>
        <v>1157140.9047776074</v>
      </c>
      <c r="BI299">
        <f t="shared" si="33"/>
        <v>0</v>
      </c>
      <c r="BJ299" s="95">
        <f t="shared" si="34"/>
        <v>1</v>
      </c>
      <c r="BP299" s="217">
        <f t="shared" si="37"/>
        <v>1157140.9047776074</v>
      </c>
    </row>
    <row r="300" spans="1:68">
      <c r="A300" s="11">
        <v>294</v>
      </c>
      <c r="C300" s="27">
        <v>0.92107884728748612</v>
      </c>
      <c r="D300" s="27">
        <v>7.8921152712513876E-2</v>
      </c>
      <c r="E300" s="27">
        <v>0</v>
      </c>
      <c r="F300" s="27">
        <v>0.86083621100239294</v>
      </c>
      <c r="G300" s="27">
        <v>0.13916378899760704</v>
      </c>
      <c r="H300" s="27">
        <v>0</v>
      </c>
      <c r="I300" s="27">
        <v>0.754590606283984</v>
      </c>
      <c r="J300" s="27">
        <v>0.24540939371601606</v>
      </c>
      <c r="K300" s="27">
        <v>0</v>
      </c>
      <c r="L300" s="27">
        <v>0.15142193656966974</v>
      </c>
      <c r="M300" s="27">
        <v>0.44577218970635651</v>
      </c>
      <c r="N300" s="27">
        <v>0.40280587372397381</v>
      </c>
      <c r="O300" s="27">
        <v>-11.235329200865385</v>
      </c>
      <c r="P300" s="27">
        <v>3.6923070527033149E-2</v>
      </c>
      <c r="Q300" s="27">
        <v>6.2237039896417124E-5</v>
      </c>
      <c r="R300" s="27">
        <v>1.0625709288749217</v>
      </c>
      <c r="S300" s="154"/>
      <c r="T300">
        <v>1.0018715062679049</v>
      </c>
      <c r="U300">
        <v>2.1829926566279929</v>
      </c>
      <c r="V300">
        <v>2.9906761720531239</v>
      </c>
      <c r="W300">
        <v>1</v>
      </c>
      <c r="Y300" s="2">
        <v>1831.818275831745</v>
      </c>
      <c r="Z300" s="2">
        <v>1396.1371732312211</v>
      </c>
      <c r="AA300" s="2">
        <v>87.458041228832727</v>
      </c>
      <c r="AB300" s="2">
        <v>434.22702822235362</v>
      </c>
      <c r="AC300" s="2">
        <v>852.8678564611281</v>
      </c>
      <c r="AD300" s="2">
        <v>2258.1187650730731</v>
      </c>
      <c r="AE300" s="2">
        <v>595.81958835377236</v>
      </c>
      <c r="AF300" s="2">
        <v>970.77571291718004</v>
      </c>
      <c r="AG300" s="2">
        <v>132.2500307997534</v>
      </c>
      <c r="AH300" s="2">
        <v>419.76771887740335</v>
      </c>
      <c r="AI300" s="2">
        <v>560245.75269689958</v>
      </c>
      <c r="AJ300" s="2">
        <v>520291.20960533438</v>
      </c>
      <c r="AL300" s="27">
        <v>0.91276039378978724</v>
      </c>
      <c r="AM300" s="27">
        <v>0.91983563983787398</v>
      </c>
      <c r="AN300" s="27">
        <v>0.90138455636179704</v>
      </c>
      <c r="AO300" s="27">
        <v>0.87825730895540088</v>
      </c>
      <c r="AP300" s="27">
        <v>0.7590373781552231</v>
      </c>
      <c r="AQ300" s="27">
        <v>0.91276039378978724</v>
      </c>
      <c r="AR300" s="27">
        <v>0.91983563983787398</v>
      </c>
      <c r="AS300" s="27">
        <v>0.90138455636179704</v>
      </c>
      <c r="AT300" s="27">
        <v>0.87825730895540088</v>
      </c>
      <c r="AU300" s="27">
        <v>0.7590373781552231</v>
      </c>
      <c r="AW300" s="1">
        <v>13.573015226524745</v>
      </c>
      <c r="AX300" s="1">
        <v>15.401380415597767</v>
      </c>
      <c r="AY300" s="2">
        <v>2010672.0681686595</v>
      </c>
      <c r="AZ300" s="1">
        <v>15.398411453023115</v>
      </c>
      <c r="BA300" s="1">
        <v>17.243214996325321</v>
      </c>
      <c r="BB300" s="2">
        <v>1427845.8543818824</v>
      </c>
      <c r="BC300" s="2">
        <f t="shared" si="35"/>
        <v>-582826.21378677711</v>
      </c>
      <c r="BD300" s="292">
        <f t="shared" si="36"/>
        <v>1.8253962264983699</v>
      </c>
      <c r="BF300" s="170">
        <f t="shared" si="31"/>
        <v>161010.36807529978</v>
      </c>
      <c r="BG300" s="2">
        <f t="shared" si="32"/>
        <v>1035899.9781018163</v>
      </c>
      <c r="BI300">
        <f t="shared" si="33"/>
        <v>0</v>
      </c>
      <c r="BJ300" s="95">
        <f t="shared" si="34"/>
        <v>1</v>
      </c>
      <c r="BP300" s="217">
        <f t="shared" si="37"/>
        <v>1035899.9781018163</v>
      </c>
    </row>
    <row r="301" spans="1:68">
      <c r="A301" s="11">
        <v>295</v>
      </c>
      <c r="C301" s="27">
        <v>0.92328826387531571</v>
      </c>
      <c r="D301" s="27">
        <v>7.6711736124684335E-2</v>
      </c>
      <c r="E301" s="27">
        <v>0</v>
      </c>
      <c r="F301" s="27">
        <v>0.85838840631536972</v>
      </c>
      <c r="G301" s="27">
        <v>0.14161159368463022</v>
      </c>
      <c r="H301" s="27">
        <v>0</v>
      </c>
      <c r="I301" s="27">
        <v>0.74780694406982284</v>
      </c>
      <c r="J301" s="27">
        <v>0.25219305593017716</v>
      </c>
      <c r="K301" s="27">
        <v>0</v>
      </c>
      <c r="L301" s="27">
        <v>0.13574708118297274</v>
      </c>
      <c r="M301" s="27">
        <v>0.47839749981003865</v>
      </c>
      <c r="N301" s="27">
        <v>0.38585541900698861</v>
      </c>
      <c r="O301" s="27">
        <v>-11.009655072148037</v>
      </c>
      <c r="P301" s="27">
        <v>3.3199918170562323E-2</v>
      </c>
      <c r="Q301" s="27">
        <v>6.6703141381059774E-5</v>
      </c>
      <c r="R301" s="27">
        <v>1.0612514081349369</v>
      </c>
      <c r="S301" s="154"/>
      <c r="T301">
        <v>1.1631681643165117</v>
      </c>
      <c r="U301">
        <v>2.2828405204296796</v>
      </c>
      <c r="V301">
        <v>3.171403117114048</v>
      </c>
      <c r="W301">
        <v>1</v>
      </c>
      <c r="Y301" s="2">
        <v>111.22640360079018</v>
      </c>
      <c r="Z301" s="2">
        <v>1739.0236986421062</v>
      </c>
      <c r="AA301" s="2">
        <v>126.95408945596533</v>
      </c>
      <c r="AB301" s="2">
        <v>6677.8572477848766</v>
      </c>
      <c r="AC301" s="2">
        <v>671.86800155544324</v>
      </c>
      <c r="AD301" s="2">
        <v>358.80954343507074</v>
      </c>
      <c r="AE301" s="2">
        <v>566.88256751581378</v>
      </c>
      <c r="AF301" s="2">
        <v>953.31575043211569</v>
      </c>
      <c r="AG301" s="2">
        <v>103.99199349052466</v>
      </c>
      <c r="AH301" s="2">
        <v>392.66040690114068</v>
      </c>
      <c r="AI301" s="2">
        <v>408431.43401771731</v>
      </c>
      <c r="AJ301" s="2">
        <v>375563.70247296884</v>
      </c>
      <c r="AL301" s="27">
        <v>0.91942657193283384</v>
      </c>
      <c r="AM301" s="27">
        <v>0.91190696740911004</v>
      </c>
      <c r="AN301" s="27">
        <v>0.91418830263430895</v>
      </c>
      <c r="AO301" s="27">
        <v>0.84777894410899657</v>
      </c>
      <c r="AP301" s="27">
        <v>0.67108480311519703</v>
      </c>
      <c r="AQ301" s="27">
        <v>0.91942657193283384</v>
      </c>
      <c r="AR301" s="27">
        <v>0.91190696740911004</v>
      </c>
      <c r="AS301" s="27">
        <v>0.91418830263430895</v>
      </c>
      <c r="AT301" s="27">
        <v>0.84777894410899657</v>
      </c>
      <c r="AU301" s="27">
        <v>0.67108480311519703</v>
      </c>
      <c r="AW301" s="1">
        <v>12.922844383835191</v>
      </c>
      <c r="AX301" s="1">
        <v>15.041636140515575</v>
      </c>
      <c r="AY301" s="2">
        <v>1599815.8469216505</v>
      </c>
      <c r="AZ301" s="1">
        <v>15.299667073003587</v>
      </c>
      <c r="BA301" s="1">
        <v>17.318571325550668</v>
      </c>
      <c r="BB301" s="2">
        <v>1153727.5438069147</v>
      </c>
      <c r="BC301" s="2">
        <f t="shared" si="35"/>
        <v>-446088.30311473575</v>
      </c>
      <c r="BD301" s="292">
        <f t="shared" si="36"/>
        <v>2.3768226891683959</v>
      </c>
      <c r="BF301" s="170">
        <f t="shared" si="31"/>
        <v>467839.25449197995</v>
      </c>
      <c r="BG301" s="2">
        <f t="shared" si="32"/>
        <v>1294219.1878736592</v>
      </c>
      <c r="BI301">
        <f t="shared" si="33"/>
        <v>0</v>
      </c>
      <c r="BJ301" s="95">
        <f t="shared" si="34"/>
        <v>1</v>
      </c>
      <c r="BP301" s="217">
        <f t="shared" si="37"/>
        <v>1294219.1878736592</v>
      </c>
    </row>
    <row r="302" spans="1:68">
      <c r="A302" s="11">
        <v>296</v>
      </c>
      <c r="C302" s="27">
        <v>0.92449134510692632</v>
      </c>
      <c r="D302" s="27">
        <v>7.5508654893073679E-2</v>
      </c>
      <c r="E302" s="27">
        <v>0</v>
      </c>
      <c r="F302" s="27">
        <v>0.85270152290660928</v>
      </c>
      <c r="G302" s="27">
        <v>0.14729847709339072</v>
      </c>
      <c r="H302" s="27">
        <v>0</v>
      </c>
      <c r="I302" s="27">
        <v>0.75520279258407685</v>
      </c>
      <c r="J302" s="27">
        <v>0.24479720741592317</v>
      </c>
      <c r="K302" s="27">
        <v>0</v>
      </c>
      <c r="L302" s="27">
        <v>6.0346041274334739E-2</v>
      </c>
      <c r="M302" s="27">
        <v>0.50782636505882484</v>
      </c>
      <c r="N302" s="27">
        <v>0.43182759366684043</v>
      </c>
      <c r="O302" s="27">
        <v>-11.053765897352301</v>
      </c>
      <c r="P302" s="27">
        <v>3.5564032682649065E-2</v>
      </c>
      <c r="Q302" s="27">
        <v>7.0487404429583211E-5</v>
      </c>
      <c r="R302" s="27">
        <v>1.0578610843104337</v>
      </c>
      <c r="S302" s="154"/>
      <c r="T302">
        <v>1.0727899575018591</v>
      </c>
      <c r="U302">
        <v>2.2862306526017959</v>
      </c>
      <c r="V302">
        <v>3.0203031467213823</v>
      </c>
      <c r="W302">
        <v>1</v>
      </c>
      <c r="Y302" s="2">
        <v>846.44544095591004</v>
      </c>
      <c r="Z302" s="2">
        <v>1090.0507186342363</v>
      </c>
      <c r="AA302" s="2">
        <v>5819.5783766001732</v>
      </c>
      <c r="AB302" s="2">
        <v>1997.3462799452032</v>
      </c>
      <c r="AC302" s="2">
        <v>372.6424154911324</v>
      </c>
      <c r="AD302" s="2">
        <v>1119.425262185023</v>
      </c>
      <c r="AE302" s="2">
        <v>516.6646374225113</v>
      </c>
      <c r="AF302" s="2">
        <v>1471.4656157316879</v>
      </c>
      <c r="AG302" s="2">
        <v>116.66029242353841</v>
      </c>
      <c r="AH302" s="2">
        <v>352.42833682325249</v>
      </c>
      <c r="AI302" s="2">
        <v>452015.75287399982</v>
      </c>
      <c r="AJ302" s="2">
        <v>431793.48826998717</v>
      </c>
      <c r="AL302" s="27">
        <v>0.91585896417168622</v>
      </c>
      <c r="AM302" s="27">
        <v>0.9098410690191141</v>
      </c>
      <c r="AN302" s="27">
        <v>0.90649103741073234</v>
      </c>
      <c r="AO302" s="27">
        <v>0.83538273796927442</v>
      </c>
      <c r="AP302" s="27">
        <v>0.61380870092441842</v>
      </c>
      <c r="AQ302" s="27">
        <v>0.91585896417168622</v>
      </c>
      <c r="AR302" s="27">
        <v>0.9098410690191141</v>
      </c>
      <c r="AS302" s="27">
        <v>0.90649103741073234</v>
      </c>
      <c r="AT302" s="27">
        <v>0.83538273796927442</v>
      </c>
      <c r="AU302" s="27">
        <v>0.61380870092441842</v>
      </c>
      <c r="AW302" s="1">
        <v>12.879954419685379</v>
      </c>
      <c r="AX302" s="1">
        <v>15.176215459067024</v>
      </c>
      <c r="AY302" s="2">
        <v>1706284.0818184915</v>
      </c>
      <c r="AZ302" s="1">
        <v>15.052623546317301</v>
      </c>
      <c r="BA302" s="1">
        <v>17.229935078394867</v>
      </c>
      <c r="BB302" s="2">
        <v>1309695.548682475</v>
      </c>
      <c r="BC302" s="2">
        <f t="shared" si="35"/>
        <v>-396588.53313601646</v>
      </c>
      <c r="BD302" s="292">
        <f t="shared" si="36"/>
        <v>2.1726691266319218</v>
      </c>
      <c r="BF302" s="170">
        <f t="shared" si="31"/>
        <v>354508.62533116923</v>
      </c>
      <c r="BG302" s="2">
        <f t="shared" si="32"/>
        <v>1098724.2187282932</v>
      </c>
      <c r="BI302">
        <f t="shared" si="33"/>
        <v>0</v>
      </c>
      <c r="BJ302" s="95">
        <f t="shared" si="34"/>
        <v>1</v>
      </c>
      <c r="BP302" s="217">
        <f t="shared" si="37"/>
        <v>1098724.2187282932</v>
      </c>
    </row>
    <row r="303" spans="1:68">
      <c r="A303" s="11">
        <v>297</v>
      </c>
      <c r="C303" s="27">
        <v>0.91943154134558192</v>
      </c>
      <c r="D303" s="27">
        <v>8.0568458654418085E-2</v>
      </c>
      <c r="E303" s="27">
        <v>0</v>
      </c>
      <c r="F303" s="27">
        <v>0.85405262813167648</v>
      </c>
      <c r="G303" s="27">
        <v>0.14594737186832352</v>
      </c>
      <c r="H303" s="27">
        <v>0</v>
      </c>
      <c r="I303" s="27">
        <v>0.75583114155712683</v>
      </c>
      <c r="J303" s="27">
        <v>0.24416885844287312</v>
      </c>
      <c r="K303" s="27">
        <v>0</v>
      </c>
      <c r="L303" s="27">
        <v>0.20659171254308339</v>
      </c>
      <c r="M303" s="27">
        <v>0.41550134228394026</v>
      </c>
      <c r="N303" s="27">
        <v>0.37790694517297641</v>
      </c>
      <c r="O303" s="27">
        <v>-11.267035804521543</v>
      </c>
      <c r="P303" s="27">
        <v>3.3032003454939944E-2</v>
      </c>
      <c r="Q303" s="27">
        <v>5.120406372630284E-5</v>
      </c>
      <c r="R303" s="27">
        <v>1.1097486325592425</v>
      </c>
      <c r="S303" s="154"/>
      <c r="T303">
        <v>0.93304944879051255</v>
      </c>
      <c r="U303">
        <v>2.2620760978033672</v>
      </c>
      <c r="V303">
        <v>3.0227563319034578</v>
      </c>
      <c r="W303">
        <v>1</v>
      </c>
      <c r="Y303" s="2">
        <v>343.97713552997607</v>
      </c>
      <c r="Z303" s="2">
        <v>638.14727109691364</v>
      </c>
      <c r="AA303" s="2">
        <v>1939.9162473830149</v>
      </c>
      <c r="AB303" s="2">
        <v>11717.606891476915</v>
      </c>
      <c r="AC303" s="2">
        <v>3554.970360355775</v>
      </c>
      <c r="AD303" s="2">
        <v>1757.6666660668279</v>
      </c>
      <c r="AE303" s="2">
        <v>577.43280164116732</v>
      </c>
      <c r="AF303" s="2">
        <v>938.8785983213063</v>
      </c>
      <c r="AG303" s="2">
        <v>179.84429749630127</v>
      </c>
      <c r="AH303" s="2">
        <v>373.26493794354332</v>
      </c>
      <c r="AI303" s="2">
        <v>553552.05050578411</v>
      </c>
      <c r="AJ303" s="2">
        <v>523047.32206773898</v>
      </c>
      <c r="AL303" s="27">
        <v>0.91582649954027995</v>
      </c>
      <c r="AM303" s="27">
        <v>0.9144637098243027</v>
      </c>
      <c r="AN303" s="27">
        <v>0.91032555214650912</v>
      </c>
      <c r="AO303" s="27">
        <v>0.86433051995384058</v>
      </c>
      <c r="AP303" s="27">
        <v>0.75144271947558394</v>
      </c>
      <c r="AQ303" s="27">
        <v>0.91582649954027995</v>
      </c>
      <c r="AR303" s="27">
        <v>0.9144637098243027</v>
      </c>
      <c r="AS303" s="27">
        <v>0.91032555214650912</v>
      </c>
      <c r="AT303" s="27">
        <v>0.86433051995384058</v>
      </c>
      <c r="AU303" s="27">
        <v>0.75144271947558394</v>
      </c>
      <c r="AW303" s="1">
        <v>13.432363448628692</v>
      </c>
      <c r="AX303" s="1">
        <v>15.199752465607471</v>
      </c>
      <c r="AY303" s="2">
        <v>1795464.4434138988</v>
      </c>
      <c r="AZ303" s="1">
        <v>15.160918462431988</v>
      </c>
      <c r="BA303" s="1">
        <v>16.959123695826481</v>
      </c>
      <c r="BB303" s="2">
        <v>1528587.1768644399</v>
      </c>
      <c r="BC303" s="2">
        <f t="shared" si="35"/>
        <v>-266877.26654945896</v>
      </c>
      <c r="BD303" s="292">
        <f t="shared" si="36"/>
        <v>1.7285550138032963</v>
      </c>
      <c r="BF303" s="170">
        <f t="shared" si="31"/>
        <v>353713.70836669207</v>
      </c>
      <c r="BG303" s="2">
        <f t="shared" si="32"/>
        <v>897159.77712467848</v>
      </c>
      <c r="BI303">
        <f t="shared" si="33"/>
        <v>0</v>
      </c>
      <c r="BJ303" s="95">
        <f t="shared" si="34"/>
        <v>1</v>
      </c>
      <c r="BP303" s="217">
        <f t="shared" si="37"/>
        <v>897159.77712467848</v>
      </c>
    </row>
    <row r="304" spans="1:68">
      <c r="A304" s="11">
        <v>298</v>
      </c>
      <c r="C304" s="27">
        <v>0.92304764088254121</v>
      </c>
      <c r="D304" s="27">
        <v>7.6952359117458791E-2</v>
      </c>
      <c r="E304" s="27">
        <v>0</v>
      </c>
      <c r="F304" s="27">
        <v>0.8533090330998675</v>
      </c>
      <c r="G304" s="27">
        <v>0.1466909669001325</v>
      </c>
      <c r="H304" s="27">
        <v>0</v>
      </c>
      <c r="I304" s="27">
        <v>0.75191747158112954</v>
      </c>
      <c r="J304" s="27">
        <v>0.24808252841887046</v>
      </c>
      <c r="K304" s="27">
        <v>0</v>
      </c>
      <c r="L304" s="27">
        <v>0.13719386246858711</v>
      </c>
      <c r="M304" s="27">
        <v>0.5095738271847865</v>
      </c>
      <c r="N304" s="27">
        <v>0.35323231034662639</v>
      </c>
      <c r="O304" s="27">
        <v>-11.211513463270268</v>
      </c>
      <c r="P304" s="27">
        <v>3.7512435722759641E-2</v>
      </c>
      <c r="Q304" s="27">
        <v>6.533444560931813E-5</v>
      </c>
      <c r="R304" s="27">
        <v>1.0600878086183101</v>
      </c>
      <c r="S304" s="154"/>
      <c r="T304">
        <v>0.95026845381709557</v>
      </c>
      <c r="U304">
        <v>2.2442348157335053</v>
      </c>
      <c r="V304">
        <v>2.9139115046707125</v>
      </c>
      <c r="W304">
        <v>1</v>
      </c>
      <c r="Y304" s="2">
        <v>596.59058350268583</v>
      </c>
      <c r="Z304" s="2">
        <v>4742.1995725480856</v>
      </c>
      <c r="AA304" s="2">
        <v>3096.8120172068357</v>
      </c>
      <c r="AB304" s="2">
        <v>6417.0904035540025</v>
      </c>
      <c r="AC304" s="2">
        <v>353.77177134295169</v>
      </c>
      <c r="AD304" s="2">
        <v>1134.2936359194753</v>
      </c>
      <c r="AE304" s="2">
        <v>467.54206306633483</v>
      </c>
      <c r="AF304" s="2">
        <v>1000.4086871076969</v>
      </c>
      <c r="AG304" s="2">
        <v>126.06875790153879</v>
      </c>
      <c r="AH304" s="2">
        <v>259.42245483840895</v>
      </c>
      <c r="AI304" s="2">
        <v>632854.08753937681</v>
      </c>
      <c r="AJ304" s="2">
        <v>605499.427215148</v>
      </c>
      <c r="AL304" s="27">
        <v>0.91625319346701817</v>
      </c>
      <c r="AM304" s="27">
        <v>0.90846427874110103</v>
      </c>
      <c r="AN304" s="27">
        <v>0.91539615219615267</v>
      </c>
      <c r="AO304" s="27">
        <v>0.80228178793287608</v>
      </c>
      <c r="AP304" s="27">
        <v>0.79646154946870151</v>
      </c>
      <c r="AQ304" s="27">
        <v>0.91625319346701817</v>
      </c>
      <c r="AR304" s="27">
        <v>0.90846427874110103</v>
      </c>
      <c r="AS304" s="27">
        <v>0.91539615219615267</v>
      </c>
      <c r="AT304" s="27">
        <v>0.80228178793287608</v>
      </c>
      <c r="AU304" s="27">
        <v>0.79646154946870151</v>
      </c>
      <c r="AW304" s="1">
        <v>14.070168687012266</v>
      </c>
      <c r="AX304" s="1">
        <v>15.883879320222661</v>
      </c>
      <c r="AY304" s="2">
        <v>2543632.6110326024</v>
      </c>
      <c r="AZ304" s="1">
        <v>15.61503738153192</v>
      </c>
      <c r="BA304" s="1">
        <v>17.453200726146619</v>
      </c>
      <c r="BB304" s="2">
        <v>1974723.9332689813</v>
      </c>
      <c r="BC304" s="2">
        <f t="shared" si="35"/>
        <v>-568908.67776362109</v>
      </c>
      <c r="BD304" s="292">
        <f t="shared" si="36"/>
        <v>1.5448686945196535</v>
      </c>
      <c r="BF304" s="170">
        <f t="shared" si="31"/>
        <v>-292405.62111063953</v>
      </c>
      <c r="BG304" s="2">
        <f t="shared" si="32"/>
        <v>523682.04777612607</v>
      </c>
      <c r="BI304">
        <f t="shared" si="33"/>
        <v>0</v>
      </c>
      <c r="BJ304" s="95">
        <f t="shared" si="34"/>
        <v>1</v>
      </c>
      <c r="BP304" s="217">
        <f t="shared" si="37"/>
        <v>523682.04777612607</v>
      </c>
    </row>
    <row r="305" spans="1:68">
      <c r="A305" s="11">
        <v>299</v>
      </c>
      <c r="C305" s="27">
        <v>0.92276134479248573</v>
      </c>
      <c r="D305" s="27">
        <v>7.7238655207514273E-2</v>
      </c>
      <c r="E305" s="27">
        <v>0</v>
      </c>
      <c r="F305" s="27">
        <v>0.85143801104040429</v>
      </c>
      <c r="G305" s="27">
        <v>0.14856198895959571</v>
      </c>
      <c r="H305" s="27">
        <v>0</v>
      </c>
      <c r="I305" s="27">
        <v>0.73820553100137287</v>
      </c>
      <c r="J305" s="27">
        <v>0.26179446899862713</v>
      </c>
      <c r="K305" s="27">
        <v>0</v>
      </c>
      <c r="L305" s="27">
        <v>0.18292184092497199</v>
      </c>
      <c r="M305" s="27">
        <v>0.48835238707761541</v>
      </c>
      <c r="N305" s="27">
        <v>0.3287257719974126</v>
      </c>
      <c r="O305" s="27">
        <v>-11.491676489594624</v>
      </c>
      <c r="P305" s="27">
        <v>3.6133185997591126E-2</v>
      </c>
      <c r="Q305" s="27">
        <v>4.6591954698352798E-5</v>
      </c>
      <c r="R305" s="27">
        <v>1.1137277103642256</v>
      </c>
      <c r="S305" s="154"/>
      <c r="T305">
        <v>0.99192002584818662</v>
      </c>
      <c r="U305">
        <v>2.2544303127503955</v>
      </c>
      <c r="V305">
        <v>3.2204704554583152</v>
      </c>
      <c r="W305">
        <v>1</v>
      </c>
      <c r="Y305" s="2">
        <v>314.62290713201048</v>
      </c>
      <c r="Z305" s="2">
        <v>1619.3471981918053</v>
      </c>
      <c r="AA305" s="2">
        <v>1352.3899987823386</v>
      </c>
      <c r="AB305" s="2">
        <v>1368.2687061390136</v>
      </c>
      <c r="AC305" s="2">
        <v>104.80295814589753</v>
      </c>
      <c r="AD305" s="2">
        <v>2455.8691126780595</v>
      </c>
      <c r="AE305" s="2">
        <v>507.02924133138276</v>
      </c>
      <c r="AF305" s="2">
        <v>1107.7093817460252</v>
      </c>
      <c r="AG305" s="2">
        <v>143.22751994280293</v>
      </c>
      <c r="AH305" s="2">
        <v>422.48998601695831</v>
      </c>
      <c r="AI305" s="2">
        <v>710240.73747164465</v>
      </c>
      <c r="AJ305" s="2">
        <v>673267.80809985974</v>
      </c>
      <c r="AL305" s="27">
        <v>0.91487135264181507</v>
      </c>
      <c r="AM305" s="27">
        <v>0.9111013320695045</v>
      </c>
      <c r="AN305" s="27">
        <v>0.9150274502810789</v>
      </c>
      <c r="AO305" s="27">
        <v>0.88749929387759163</v>
      </c>
      <c r="AP305" s="27">
        <v>0.51397083650075481</v>
      </c>
      <c r="AQ305" s="27">
        <v>0.91487135264181507</v>
      </c>
      <c r="AR305" s="27">
        <v>0.9111013320695045</v>
      </c>
      <c r="AS305" s="27">
        <v>0.9150274502810789</v>
      </c>
      <c r="AT305" s="27">
        <v>0.88749929387759163</v>
      </c>
      <c r="AU305" s="27">
        <v>0.51397083650075481</v>
      </c>
      <c r="AW305" s="1">
        <v>12.868664863556267</v>
      </c>
      <c r="AX305" s="1">
        <v>15.510856734770137</v>
      </c>
      <c r="AY305" s="2">
        <v>2691242.3210084322</v>
      </c>
      <c r="AZ305" s="1">
        <v>14.84329455922488</v>
      </c>
      <c r="BA305" s="1">
        <v>17.271864849383103</v>
      </c>
      <c r="BB305" s="2">
        <v>1998486.7292119139</v>
      </c>
      <c r="BC305" s="2">
        <f t="shared" si="35"/>
        <v>-692755.5917965183</v>
      </c>
      <c r="BD305" s="292">
        <f t="shared" si="36"/>
        <v>1.9746296956686127</v>
      </c>
      <c r="BF305" s="170">
        <f t="shared" si="31"/>
        <v>-632255.94283942948</v>
      </c>
      <c r="BG305" s="2">
        <f t="shared" si="32"/>
        <v>376440.40026406711</v>
      </c>
      <c r="BI305">
        <f t="shared" si="33"/>
        <v>0</v>
      </c>
      <c r="BJ305" s="95">
        <f t="shared" si="34"/>
        <v>1</v>
      </c>
      <c r="BP305" s="217">
        <f t="shared" si="37"/>
        <v>376440.40026406711</v>
      </c>
    </row>
    <row r="306" spans="1:68">
      <c r="A306" s="11">
        <v>300</v>
      </c>
      <c r="C306" s="27">
        <v>0.92196868123821962</v>
      </c>
      <c r="D306" s="27">
        <v>7.8031318761780377E-2</v>
      </c>
      <c r="E306" s="27">
        <v>0</v>
      </c>
      <c r="F306" s="27">
        <v>0.85700904263014277</v>
      </c>
      <c r="G306" s="27">
        <v>0.14299095736985723</v>
      </c>
      <c r="H306" s="27">
        <v>0</v>
      </c>
      <c r="I306" s="27">
        <v>0.74686769553336341</v>
      </c>
      <c r="J306" s="27">
        <v>0.25313230446663659</v>
      </c>
      <c r="K306" s="27">
        <v>0</v>
      </c>
      <c r="L306" s="27">
        <v>0.12522145358832387</v>
      </c>
      <c r="M306" s="27">
        <v>0.51020928102407515</v>
      </c>
      <c r="N306" s="27">
        <v>0.36456926538760098</v>
      </c>
      <c r="O306" s="27">
        <v>-10.744154018837875</v>
      </c>
      <c r="P306" s="27">
        <v>3.6093632575599333E-2</v>
      </c>
      <c r="Q306" s="27">
        <v>9.8227783918359012E-5</v>
      </c>
      <c r="R306" s="27">
        <v>1.0079112000434562</v>
      </c>
      <c r="S306" s="154"/>
      <c r="T306">
        <v>1.1723775066597133</v>
      </c>
      <c r="U306">
        <v>2.2567070820493043</v>
      </c>
      <c r="V306">
        <v>2.7995216117837067</v>
      </c>
      <c r="W306">
        <v>1</v>
      </c>
      <c r="Y306" s="2">
        <v>388.56941139161353</v>
      </c>
      <c r="Z306" s="2">
        <v>299.3226419007583</v>
      </c>
      <c r="AA306" s="2">
        <v>2369.1500456835706</v>
      </c>
      <c r="AB306" s="2">
        <v>3140.3608048430624</v>
      </c>
      <c r="AC306" s="2">
        <v>3435.2015364021836</v>
      </c>
      <c r="AD306" s="2">
        <v>1856.0283794350162</v>
      </c>
      <c r="AE306" s="2">
        <v>546.14158454501546</v>
      </c>
      <c r="AF306" s="2">
        <v>666.50171147445303</v>
      </c>
      <c r="AG306" s="2">
        <v>190.4058941220483</v>
      </c>
      <c r="AH306" s="2">
        <v>526.90924108189631</v>
      </c>
      <c r="AI306" s="2">
        <v>426915.94971910887</v>
      </c>
      <c r="AJ306" s="2">
        <v>394012.9708865048</v>
      </c>
      <c r="AL306" s="27">
        <v>0.91644529482803327</v>
      </c>
      <c r="AM306" s="27">
        <v>0.91295598867705863</v>
      </c>
      <c r="AN306" s="27">
        <v>0.91184109332905872</v>
      </c>
      <c r="AO306" s="27">
        <v>0.88482817055867113</v>
      </c>
      <c r="AP306" s="27">
        <v>0.81690948948691555</v>
      </c>
      <c r="AQ306" s="27">
        <v>0.91644529482803327</v>
      </c>
      <c r="AR306" s="27">
        <v>0.91295598867705863</v>
      </c>
      <c r="AS306" s="27">
        <v>0.91184109332905872</v>
      </c>
      <c r="AT306" s="27">
        <v>0.88482817055867113</v>
      </c>
      <c r="AU306" s="27">
        <v>0.81690948948691555</v>
      </c>
      <c r="AW306" s="1">
        <v>13.68591804788195</v>
      </c>
      <c r="AX306" s="1">
        <v>15.37444506233517</v>
      </c>
      <c r="AY306" s="2">
        <v>1877026.0284522555</v>
      </c>
      <c r="AZ306" s="1">
        <v>15.743865961304174</v>
      </c>
      <c r="BA306" s="1">
        <v>17.488279448345409</v>
      </c>
      <c r="BB306" s="2">
        <v>1332263.9730117861</v>
      </c>
      <c r="BC306" s="2">
        <f t="shared" si="35"/>
        <v>-544762.05544046941</v>
      </c>
      <c r="BD306" s="292">
        <f t="shared" si="36"/>
        <v>2.0579479134222236</v>
      </c>
      <c r="BF306" s="170">
        <f t="shared" si="31"/>
        <v>312720.85920885648</v>
      </c>
      <c r="BG306" s="2">
        <f t="shared" si="32"/>
        <v>1186754.5807968816</v>
      </c>
      <c r="BI306">
        <f t="shared" si="33"/>
        <v>0</v>
      </c>
      <c r="BJ306" s="95">
        <f t="shared" si="34"/>
        <v>1</v>
      </c>
      <c r="BP306" s="217">
        <f t="shared" si="37"/>
        <v>1186754.5807968816</v>
      </c>
    </row>
    <row r="307" spans="1:68">
      <c r="A307" s="11">
        <v>301</v>
      </c>
      <c r="C307" s="27">
        <v>0.92630346252594664</v>
      </c>
      <c r="D307" s="27">
        <v>7.3696537474053359E-2</v>
      </c>
      <c r="E307" s="27">
        <v>0</v>
      </c>
      <c r="F307" s="27">
        <v>0.85299625911052646</v>
      </c>
      <c r="G307" s="27">
        <v>0.14700374088947354</v>
      </c>
      <c r="H307" s="27">
        <v>0</v>
      </c>
      <c r="I307" s="27">
        <v>0.75818267165285413</v>
      </c>
      <c r="J307" s="27">
        <v>0.24181732834714589</v>
      </c>
      <c r="K307" s="27">
        <v>0</v>
      </c>
      <c r="L307" s="27">
        <v>0.16027296364992483</v>
      </c>
      <c r="M307" s="27">
        <v>0.45200810686798604</v>
      </c>
      <c r="N307" s="27">
        <v>0.38771892948208919</v>
      </c>
      <c r="O307" s="27">
        <v>-11.204926111541926</v>
      </c>
      <c r="P307" s="27">
        <v>3.5494445465621832E-2</v>
      </c>
      <c r="Q307" s="27">
        <v>6.0421871841799448E-5</v>
      </c>
      <c r="R307" s="27">
        <v>1.0764881666358999</v>
      </c>
      <c r="S307" s="154"/>
      <c r="T307">
        <v>1.0303613285477486</v>
      </c>
      <c r="U307">
        <v>2.2385857895419603</v>
      </c>
      <c r="V307">
        <v>3.3023164853045852</v>
      </c>
      <c r="W307">
        <v>1</v>
      </c>
      <c r="Y307" s="2">
        <v>401.80631340715308</v>
      </c>
      <c r="Z307" s="2">
        <v>1878.6641336962293</v>
      </c>
      <c r="AA307" s="2">
        <v>466.79917756720079</v>
      </c>
      <c r="AB307" s="2">
        <v>4708.5237144635767</v>
      </c>
      <c r="AC307" s="2">
        <v>1537.5775120923679</v>
      </c>
      <c r="AD307" s="2">
        <v>54.400423530129522</v>
      </c>
      <c r="AE307" s="2">
        <v>555.33788492744702</v>
      </c>
      <c r="AF307" s="2">
        <v>848.08574478516744</v>
      </c>
      <c r="AG307" s="2">
        <v>173.75871974583001</v>
      </c>
      <c r="AH307" s="2">
        <v>187.23113613754686</v>
      </c>
      <c r="AI307" s="2">
        <v>513721.29808681156</v>
      </c>
      <c r="AJ307" s="2">
        <v>486571.0297046327</v>
      </c>
      <c r="AL307" s="27">
        <v>0.91627101463560168</v>
      </c>
      <c r="AM307" s="27">
        <v>0.91980003167696545</v>
      </c>
      <c r="AN307" s="27">
        <v>0.9059233689648043</v>
      </c>
      <c r="AO307" s="27">
        <v>0.86540813128423622</v>
      </c>
      <c r="AP307" s="27">
        <v>0.78317152040937965</v>
      </c>
      <c r="AQ307" s="27">
        <v>0.91627101463560168</v>
      </c>
      <c r="AR307" s="27">
        <v>0.91980003167696545</v>
      </c>
      <c r="AS307" s="27">
        <v>0.9059233689648043</v>
      </c>
      <c r="AT307" s="27">
        <v>0.86540813128423622</v>
      </c>
      <c r="AU307" s="27">
        <v>0.78317152040937965</v>
      </c>
      <c r="AW307" s="1">
        <v>13.639155839046259</v>
      </c>
      <c r="AX307" s="1">
        <v>15.359006927825753</v>
      </c>
      <c r="AY307" s="2">
        <v>1848041.1511722917</v>
      </c>
      <c r="AZ307" s="1">
        <v>15.543618548753424</v>
      </c>
      <c r="BA307" s="1">
        <v>17.300553076120394</v>
      </c>
      <c r="BB307" s="2">
        <v>1330437.6144104325</v>
      </c>
      <c r="BC307" s="2">
        <f t="shared" si="35"/>
        <v>-517603.5367618592</v>
      </c>
      <c r="BD307" s="292">
        <f t="shared" si="36"/>
        <v>1.9044627097071647</v>
      </c>
      <c r="BF307" s="170">
        <f t="shared" si="31"/>
        <v>334223.78307510982</v>
      </c>
      <c r="BG307" s="2">
        <f t="shared" si="32"/>
        <v>1156541.3533901153</v>
      </c>
      <c r="BI307">
        <f t="shared" si="33"/>
        <v>0</v>
      </c>
      <c r="BJ307" s="95">
        <f t="shared" si="34"/>
        <v>1</v>
      </c>
      <c r="BP307" s="217">
        <f t="shared" si="37"/>
        <v>1156541.3533901153</v>
      </c>
    </row>
    <row r="308" spans="1:68">
      <c r="A308" s="11">
        <v>302</v>
      </c>
      <c r="C308" s="27">
        <v>0.92505037372777343</v>
      </c>
      <c r="D308" s="27">
        <v>7.4949626272226608E-2</v>
      </c>
      <c r="E308" s="27">
        <v>0</v>
      </c>
      <c r="F308" s="27">
        <v>0.86256473700553005</v>
      </c>
      <c r="G308" s="27">
        <v>0.13743526299447001</v>
      </c>
      <c r="H308" s="27">
        <v>0</v>
      </c>
      <c r="I308" s="27">
        <v>0.75871613173618591</v>
      </c>
      <c r="J308" s="27">
        <v>0.24128386826381412</v>
      </c>
      <c r="K308" s="27">
        <v>0</v>
      </c>
      <c r="L308" s="27">
        <v>0.13365584408208009</v>
      </c>
      <c r="M308" s="27">
        <v>0.46823481717209464</v>
      </c>
      <c r="N308" s="27">
        <v>0.39810933874582521</v>
      </c>
      <c r="O308" s="27">
        <v>-11.224192799214473</v>
      </c>
      <c r="P308" s="27">
        <v>3.4165470008126246E-2</v>
      </c>
      <c r="Q308" s="27">
        <v>5.6051308758842423E-5</v>
      </c>
      <c r="R308" s="27">
        <v>1.0848970003397791</v>
      </c>
      <c r="S308" s="154"/>
      <c r="T308">
        <v>1.0335931008880297</v>
      </c>
      <c r="U308">
        <v>2.3559188085042431</v>
      </c>
      <c r="V308">
        <v>2.9712414712757997</v>
      </c>
      <c r="W308">
        <v>1</v>
      </c>
      <c r="Y308" s="2">
        <v>626.39976243638455</v>
      </c>
      <c r="Z308" s="2">
        <v>898.36035898831165</v>
      </c>
      <c r="AA308" s="2">
        <v>1539.754239816539</v>
      </c>
      <c r="AB308" s="2">
        <v>8052.5889930327958</v>
      </c>
      <c r="AC308" s="2">
        <v>482.54480841200802</v>
      </c>
      <c r="AD308" s="2">
        <v>1004.4562957606372</v>
      </c>
      <c r="AE308" s="2">
        <v>610.04869907052171</v>
      </c>
      <c r="AF308" s="2">
        <v>1140.340875490748</v>
      </c>
      <c r="AG308" s="2">
        <v>131.35173522252865</v>
      </c>
      <c r="AH308" s="2">
        <v>416.25873725830229</v>
      </c>
      <c r="AI308" s="2">
        <v>693766.15621550963</v>
      </c>
      <c r="AJ308" s="2">
        <v>657262.12717760424</v>
      </c>
      <c r="AL308" s="27">
        <v>0.91521386859496412</v>
      </c>
      <c r="AM308" s="27">
        <v>0.91068055637348377</v>
      </c>
      <c r="AN308" s="27">
        <v>0.91225987176471224</v>
      </c>
      <c r="AO308" s="27">
        <v>0.86941238079137673</v>
      </c>
      <c r="AP308" s="27">
        <v>0.70742089802643049</v>
      </c>
      <c r="AQ308" s="27">
        <v>0.91521386859496412</v>
      </c>
      <c r="AR308" s="27">
        <v>0.91068055637348377</v>
      </c>
      <c r="AS308" s="27">
        <v>0.91225987176471224</v>
      </c>
      <c r="AT308" s="27">
        <v>0.86941238079137673</v>
      </c>
      <c r="AU308" s="27">
        <v>0.70742089802643049</v>
      </c>
      <c r="AW308" s="1">
        <v>13.393372201200977</v>
      </c>
      <c r="AX308" s="1">
        <v>15.361322884379121</v>
      </c>
      <c r="AY308" s="2">
        <v>2456784.2483549095</v>
      </c>
      <c r="AZ308" s="1">
        <v>15.413741058278948</v>
      </c>
      <c r="BA308" s="1">
        <v>17.356737632508949</v>
      </c>
      <c r="BB308" s="2">
        <v>1840105.7573220469</v>
      </c>
      <c r="BC308" s="2">
        <f t="shared" si="35"/>
        <v>-616678.49103286257</v>
      </c>
      <c r="BD308" s="292">
        <f t="shared" si="36"/>
        <v>2.0203688570779708</v>
      </c>
      <c r="BF308" s="170">
        <f t="shared" si="31"/>
        <v>-313844.69616275327</v>
      </c>
      <c r="BG308" s="2">
        <f t="shared" si="32"/>
        <v>626092.8120025848</v>
      </c>
      <c r="BI308">
        <f t="shared" si="33"/>
        <v>0</v>
      </c>
      <c r="BJ308" s="95">
        <f t="shared" si="34"/>
        <v>1</v>
      </c>
      <c r="BP308" s="217">
        <f t="shared" si="37"/>
        <v>626092.8120025848</v>
      </c>
    </row>
    <row r="309" spans="1:68">
      <c r="A309" s="11">
        <v>303</v>
      </c>
      <c r="C309" s="27">
        <v>0.92610449184770316</v>
      </c>
      <c r="D309" s="27">
        <v>7.3895508152296868E-2</v>
      </c>
      <c r="E309" s="27">
        <v>0</v>
      </c>
      <c r="F309" s="27">
        <v>0.86025747877903125</v>
      </c>
      <c r="G309" s="27">
        <v>0.13974252122096875</v>
      </c>
      <c r="H309" s="27">
        <v>0</v>
      </c>
      <c r="I309" s="27">
        <v>0.74272603524617853</v>
      </c>
      <c r="J309" s="27">
        <v>0.25727396475382147</v>
      </c>
      <c r="K309" s="27">
        <v>0</v>
      </c>
      <c r="L309" s="27">
        <v>0.11953642511291407</v>
      </c>
      <c r="M309" s="27">
        <v>0.52049245330457206</v>
      </c>
      <c r="N309" s="27">
        <v>0.35997112158251388</v>
      </c>
      <c r="O309" s="27">
        <v>-11.127599943813124</v>
      </c>
      <c r="P309" s="27">
        <v>3.2944154146955146E-2</v>
      </c>
      <c r="Q309" s="27">
        <v>5.8648681165403072E-5</v>
      </c>
      <c r="R309" s="27">
        <v>1.0774902025342723</v>
      </c>
      <c r="S309" s="154"/>
      <c r="T309">
        <v>1.0753847126904408</v>
      </c>
      <c r="U309">
        <v>2.1821558445697655</v>
      </c>
      <c r="V309">
        <v>2.8790802560374176</v>
      </c>
      <c r="W309">
        <v>1</v>
      </c>
      <c r="Y309" s="2">
        <v>299.31748865568289</v>
      </c>
      <c r="Z309" s="2">
        <v>4287.742333048931</v>
      </c>
      <c r="AA309" s="2">
        <v>2816.636151872312</v>
      </c>
      <c r="AB309" s="2">
        <v>6183.2763299108155</v>
      </c>
      <c r="AC309" s="2">
        <v>388.79543775622329</v>
      </c>
      <c r="AD309" s="2">
        <v>130.21299343529864</v>
      </c>
      <c r="AE309" s="2">
        <v>537.68891426125504</v>
      </c>
      <c r="AF309" s="2">
        <v>1103.3237307934435</v>
      </c>
      <c r="AG309" s="2">
        <v>85.858881628072709</v>
      </c>
      <c r="AH309" s="2">
        <v>312.41713509495059</v>
      </c>
      <c r="AI309" s="2">
        <v>517220.3658740159</v>
      </c>
      <c r="AJ309" s="2">
        <v>477035.21947715484</v>
      </c>
      <c r="AL309" s="27">
        <v>0.91870491742530824</v>
      </c>
      <c r="AM309" s="27">
        <v>0.91306346663571314</v>
      </c>
      <c r="AN309" s="27">
        <v>0.91361589693171519</v>
      </c>
      <c r="AO309" s="27">
        <v>0.88703678066257585</v>
      </c>
      <c r="AP309" s="27">
        <v>0.79976119648081267</v>
      </c>
      <c r="AQ309" s="27">
        <v>0.91870491742530824</v>
      </c>
      <c r="AR309" s="27">
        <v>0.91306346663571314</v>
      </c>
      <c r="AS309" s="27">
        <v>0.91361589693171519</v>
      </c>
      <c r="AT309" s="27">
        <v>0.88703678066257585</v>
      </c>
      <c r="AU309" s="27">
        <v>0.79976119648081267</v>
      </c>
      <c r="AW309" s="1">
        <v>13.939412029082625</v>
      </c>
      <c r="AX309" s="1">
        <v>15.64429361526491</v>
      </c>
      <c r="AY309" s="2">
        <v>2030043.6834882689</v>
      </c>
      <c r="AZ309" s="1">
        <v>15.770616336816641</v>
      </c>
      <c r="BA309" s="1">
        <v>17.512911252744132</v>
      </c>
      <c r="BB309" s="2">
        <v>1508702.7796208428</v>
      </c>
      <c r="BC309" s="2">
        <f t="shared" si="35"/>
        <v>-521340.9038674261</v>
      </c>
      <c r="BD309" s="292">
        <f t="shared" si="36"/>
        <v>1.8312043077340157</v>
      </c>
      <c r="BF309" s="170">
        <f t="shared" si="31"/>
        <v>200262.24116495112</v>
      </c>
      <c r="BG309" s="2">
        <f t="shared" si="32"/>
        <v>1014595.8342698195</v>
      </c>
      <c r="BI309">
        <f t="shared" si="33"/>
        <v>0</v>
      </c>
      <c r="BJ309" s="95">
        <f t="shared" si="34"/>
        <v>1</v>
      </c>
      <c r="BP309" s="217">
        <f t="shared" si="37"/>
        <v>1014595.8342698195</v>
      </c>
    </row>
    <row r="310" spans="1:68">
      <c r="A310" s="11">
        <v>304</v>
      </c>
      <c r="C310" s="27">
        <v>0.91973762934113246</v>
      </c>
      <c r="D310" s="27">
        <v>8.0262370658867543E-2</v>
      </c>
      <c r="E310" s="27">
        <v>0</v>
      </c>
      <c r="F310" s="27">
        <v>0.85351401572155938</v>
      </c>
      <c r="G310" s="27">
        <v>0.14648598427844062</v>
      </c>
      <c r="H310" s="27">
        <v>0</v>
      </c>
      <c r="I310" s="27">
        <v>0.75401391302186593</v>
      </c>
      <c r="J310" s="27">
        <v>0.24598608697813401</v>
      </c>
      <c r="K310" s="27">
        <v>0</v>
      </c>
      <c r="L310" s="27">
        <v>0.12738940182232872</v>
      </c>
      <c r="M310" s="27">
        <v>0.47789832398559084</v>
      </c>
      <c r="N310" s="27">
        <v>0.39471227419208044</v>
      </c>
      <c r="O310" s="27">
        <v>-10.931055345312778</v>
      </c>
      <c r="P310" s="27">
        <v>3.2312973570374798E-2</v>
      </c>
      <c r="Q310" s="27">
        <v>6.9519000424301121E-5</v>
      </c>
      <c r="R310" s="27">
        <v>1.0550057113106701</v>
      </c>
      <c r="S310" s="154"/>
      <c r="T310">
        <v>0.8891540683741177</v>
      </c>
      <c r="U310">
        <v>2.2033566753939935</v>
      </c>
      <c r="V310">
        <v>3.0396384579829001</v>
      </c>
      <c r="W310">
        <v>1</v>
      </c>
      <c r="Y310" s="2">
        <v>266.15379277051517</v>
      </c>
      <c r="Z310" s="2">
        <v>8350.7603403814173</v>
      </c>
      <c r="AA310" s="2">
        <v>1030.0771096444143</v>
      </c>
      <c r="AB310" s="2">
        <v>823.99139220871314</v>
      </c>
      <c r="AC310" s="2">
        <v>40.367284416840342</v>
      </c>
      <c r="AD310" s="2">
        <v>9194.5220756598083</v>
      </c>
      <c r="AE310" s="2">
        <v>523.73577013942224</v>
      </c>
      <c r="AF310" s="2">
        <v>1100.2160329321675</v>
      </c>
      <c r="AG310" s="2">
        <v>90.085787505484873</v>
      </c>
      <c r="AH310" s="2">
        <v>310.6448020030802</v>
      </c>
      <c r="AI310" s="2">
        <v>732585.88935484202</v>
      </c>
      <c r="AJ310" s="2">
        <v>709407.61560737423</v>
      </c>
      <c r="AL310" s="27">
        <v>0.91914087876005213</v>
      </c>
      <c r="AM310" s="27">
        <v>0.91722311501813159</v>
      </c>
      <c r="AN310" s="27">
        <v>0.91028491383698495</v>
      </c>
      <c r="AO310" s="27">
        <v>0.85791420296793997</v>
      </c>
      <c r="AP310" s="27">
        <v>0.7322661014070555</v>
      </c>
      <c r="AQ310" s="27">
        <v>0.91914087876005213</v>
      </c>
      <c r="AR310" s="27">
        <v>0.91722311501813159</v>
      </c>
      <c r="AS310" s="27">
        <v>0.91028491383698495</v>
      </c>
      <c r="AT310" s="27">
        <v>0.85791420296793997</v>
      </c>
      <c r="AU310" s="27">
        <v>0.7322661014070555</v>
      </c>
      <c r="AW310" s="1">
        <v>13.817772390160226</v>
      </c>
      <c r="AX310" s="1">
        <v>15.698979691020465</v>
      </c>
      <c r="AY310" s="2">
        <v>2751951.102008827</v>
      </c>
      <c r="AZ310" s="1">
        <v>15.320400556454311</v>
      </c>
      <c r="BA310" s="1">
        <v>17.189928201368698</v>
      </c>
      <c r="BB310" s="2">
        <v>2166080.315933506</v>
      </c>
      <c r="BC310" s="2">
        <f t="shared" si="35"/>
        <v>-585870.78607532103</v>
      </c>
      <c r="BD310" s="292">
        <f t="shared" si="36"/>
        <v>1.5026281662940857</v>
      </c>
      <c r="BF310" s="170">
        <f t="shared" si="31"/>
        <v>-541107.51958319079</v>
      </c>
      <c r="BG310" s="2">
        <f t="shared" si="32"/>
        <v>285183.77309918404</v>
      </c>
      <c r="BI310">
        <f t="shared" si="33"/>
        <v>0</v>
      </c>
      <c r="BJ310" s="95">
        <f t="shared" si="34"/>
        <v>1</v>
      </c>
      <c r="BP310" s="217">
        <f t="shared" si="37"/>
        <v>285183.77309918404</v>
      </c>
    </row>
    <row r="311" spans="1:68">
      <c r="A311" s="11">
        <v>305</v>
      </c>
      <c r="C311" s="27">
        <v>0.9210078019285316</v>
      </c>
      <c r="D311" s="27">
        <v>7.89921980714684E-2</v>
      </c>
      <c r="E311" s="27">
        <v>0</v>
      </c>
      <c r="F311" s="27">
        <v>0.8632645142910238</v>
      </c>
      <c r="G311" s="27">
        <v>0.1367354857089762</v>
      </c>
      <c r="H311" s="27">
        <v>0</v>
      </c>
      <c r="I311" s="27">
        <v>0.75197113313370789</v>
      </c>
      <c r="J311" s="27">
        <v>0.24802886686629214</v>
      </c>
      <c r="K311" s="27">
        <v>0</v>
      </c>
      <c r="L311" s="27">
        <v>6.7900379302767599E-2</v>
      </c>
      <c r="M311" s="27">
        <v>0.53550286050838325</v>
      </c>
      <c r="N311" s="27">
        <v>0.39659676018884915</v>
      </c>
      <c r="O311" s="27">
        <v>-10.96879785502785</v>
      </c>
      <c r="P311" s="27">
        <v>3.2912122340383487E-2</v>
      </c>
      <c r="Q311" s="27">
        <v>6.8650048674140756E-5</v>
      </c>
      <c r="R311" s="27">
        <v>1.0632505494187152</v>
      </c>
      <c r="S311" s="154"/>
      <c r="T311">
        <v>0.96996605170626393</v>
      </c>
      <c r="U311">
        <v>2.2998055962106707</v>
      </c>
      <c r="V311">
        <v>3.0858274239080759</v>
      </c>
      <c r="W311">
        <v>1</v>
      </c>
      <c r="Y311" s="2">
        <v>170.08289699258299</v>
      </c>
      <c r="Z311" s="2">
        <v>1404.867958516403</v>
      </c>
      <c r="AA311" s="2">
        <v>671.54568933255246</v>
      </c>
      <c r="AB311" s="2">
        <v>704.46113459745686</v>
      </c>
      <c r="AC311" s="2">
        <v>169.95150874819831</v>
      </c>
      <c r="AD311" s="2">
        <v>847.24622117197589</v>
      </c>
      <c r="AE311" s="2">
        <v>564.51767968520244</v>
      </c>
      <c r="AF311" s="2">
        <v>1052.0968514393949</v>
      </c>
      <c r="AG311" s="2">
        <v>132.25133752607445</v>
      </c>
      <c r="AH311" s="2">
        <v>504.08617826213526</v>
      </c>
      <c r="AI311" s="2">
        <v>481121.46731362847</v>
      </c>
      <c r="AJ311" s="2">
        <v>456051.72690054512</v>
      </c>
      <c r="AL311" s="27">
        <v>0.92387781287484083</v>
      </c>
      <c r="AM311" s="27">
        <v>0.92033489627120191</v>
      </c>
      <c r="AN311" s="27">
        <v>0.9054441738746879</v>
      </c>
      <c r="AO311" s="27">
        <v>0.8712462775811155</v>
      </c>
      <c r="AP311" s="27">
        <v>0.59421477416598867</v>
      </c>
      <c r="AQ311" s="27">
        <v>0.92387781287484083</v>
      </c>
      <c r="AR311" s="27">
        <v>0.92033489627120191</v>
      </c>
      <c r="AS311" s="27">
        <v>0.9054441738746879</v>
      </c>
      <c r="AT311" s="27">
        <v>0.8712462775811155</v>
      </c>
      <c r="AU311" s="27">
        <v>0.59421477416598867</v>
      </c>
      <c r="AW311" s="1">
        <v>13.266663220965198</v>
      </c>
      <c r="AX311" s="1">
        <v>15.559221573088955</v>
      </c>
      <c r="AY311" s="2">
        <v>1821382.2174668531</v>
      </c>
      <c r="AZ311" s="1">
        <v>15.208882507076289</v>
      </c>
      <c r="BA311" s="1">
        <v>17.350311978821612</v>
      </c>
      <c r="BB311" s="2">
        <v>1319758.8611854762</v>
      </c>
      <c r="BC311" s="2">
        <f t="shared" si="35"/>
        <v>-501623.35628137691</v>
      </c>
      <c r="BD311" s="292">
        <f t="shared" si="36"/>
        <v>1.9422192861110918</v>
      </c>
      <c r="BF311" s="170">
        <f t="shared" si="31"/>
        <v>301283.8978875787</v>
      </c>
      <c r="BG311" s="2">
        <f t="shared" si="32"/>
        <v>1113662.3399467301</v>
      </c>
      <c r="BI311">
        <f t="shared" si="33"/>
        <v>0</v>
      </c>
      <c r="BJ311" s="95">
        <f t="shared" si="34"/>
        <v>1</v>
      </c>
      <c r="BP311" s="217">
        <f t="shared" si="37"/>
        <v>1113662.3399467301</v>
      </c>
    </row>
    <row r="312" spans="1:68">
      <c r="A312" s="11">
        <v>306</v>
      </c>
      <c r="C312" s="27">
        <v>0.92249153755091073</v>
      </c>
      <c r="D312" s="27">
        <v>7.7508462449089266E-2</v>
      </c>
      <c r="E312" s="27">
        <v>0</v>
      </c>
      <c r="F312" s="27">
        <v>0.86209801274502817</v>
      </c>
      <c r="G312" s="27">
        <v>0.1379019872549718</v>
      </c>
      <c r="H312" s="27">
        <v>0</v>
      </c>
      <c r="I312" s="27">
        <v>0.76087787109856775</v>
      </c>
      <c r="J312" s="27">
        <v>0.23912212890143225</v>
      </c>
      <c r="K312" s="27">
        <v>0</v>
      </c>
      <c r="L312" s="27">
        <v>0.17048414925545941</v>
      </c>
      <c r="M312" s="27">
        <v>0.46022987963938422</v>
      </c>
      <c r="N312" s="27">
        <v>0.36928597110515637</v>
      </c>
      <c r="O312" s="27">
        <v>-10.76021398132564</v>
      </c>
      <c r="P312" s="27">
        <v>3.2733703460778731E-2</v>
      </c>
      <c r="Q312" s="27">
        <v>8.3940827995453857E-5</v>
      </c>
      <c r="R312" s="27">
        <v>1.0376406951639796</v>
      </c>
      <c r="S312" s="154"/>
      <c r="T312">
        <v>0.94763652649450336</v>
      </c>
      <c r="U312">
        <v>2.2731939004266981</v>
      </c>
      <c r="V312">
        <v>3.0311689811977511</v>
      </c>
      <c r="W312">
        <v>1</v>
      </c>
      <c r="Y312" s="2">
        <v>1096.3489371526612</v>
      </c>
      <c r="Z312" s="2">
        <v>1114.4444096138157</v>
      </c>
      <c r="AA312" s="2">
        <v>7429.4285899226197</v>
      </c>
      <c r="AB312" s="2">
        <v>3822.3346015082548</v>
      </c>
      <c r="AC312" s="2">
        <v>1639.9740815589316</v>
      </c>
      <c r="AD312" s="2">
        <v>1027.9490139216202</v>
      </c>
      <c r="AE312" s="2">
        <v>575.81167346843961</v>
      </c>
      <c r="AF312" s="2">
        <v>1141.4076733008362</v>
      </c>
      <c r="AG312" s="2">
        <v>91.843273622560247</v>
      </c>
      <c r="AH312" s="2">
        <v>481.74383006012357</v>
      </c>
      <c r="AI312" s="2">
        <v>511135.95991122484</v>
      </c>
      <c r="AJ312" s="2">
        <v>493266.63483661594</v>
      </c>
      <c r="AL312" s="27">
        <v>0.92130439180315182</v>
      </c>
      <c r="AM312" s="27">
        <v>0.91641938116030897</v>
      </c>
      <c r="AN312" s="27">
        <v>0.91209462038968359</v>
      </c>
      <c r="AO312" s="27">
        <v>0.84608472344734764</v>
      </c>
      <c r="AP312" s="27">
        <v>0.82999387028198068</v>
      </c>
      <c r="AQ312" s="27">
        <v>0.92130439180315182</v>
      </c>
      <c r="AR312" s="27">
        <v>0.91641938116030897</v>
      </c>
      <c r="AS312" s="27">
        <v>0.91209462038968359</v>
      </c>
      <c r="AT312" s="27">
        <v>0.84608472344734764</v>
      </c>
      <c r="AU312" s="27">
        <v>0.82999387028198068</v>
      </c>
      <c r="AW312" s="1">
        <v>14.120444074543149</v>
      </c>
      <c r="AX312" s="1">
        <v>15.70022857170849</v>
      </c>
      <c r="AY312" s="2">
        <v>1903656.7512767268</v>
      </c>
      <c r="AZ312" s="1">
        <v>15.762478757681544</v>
      </c>
      <c r="BA312" s="1">
        <v>17.405920587617501</v>
      </c>
      <c r="BB312" s="2">
        <v>1538984.3534420447</v>
      </c>
      <c r="BC312" s="2">
        <f t="shared" si="35"/>
        <v>-364672.39783468214</v>
      </c>
      <c r="BD312" s="292">
        <f t="shared" si="36"/>
        <v>1.6420346831383945</v>
      </c>
      <c r="BF312" s="170">
        <f t="shared" si="31"/>
        <v>355614.30065017706</v>
      </c>
      <c r="BG312" s="2">
        <f t="shared" si="32"/>
        <v>983012.24778700224</v>
      </c>
      <c r="BI312">
        <f t="shared" si="33"/>
        <v>0</v>
      </c>
      <c r="BJ312" s="95">
        <f t="shared" si="34"/>
        <v>1</v>
      </c>
      <c r="BP312" s="217">
        <f t="shared" si="37"/>
        <v>983012.24778700224</v>
      </c>
    </row>
    <row r="313" spans="1:68">
      <c r="A313" s="11">
        <v>307</v>
      </c>
      <c r="C313" s="27">
        <v>0.92511042197168392</v>
      </c>
      <c r="D313" s="27">
        <v>7.4889578028316126E-2</v>
      </c>
      <c r="E313" s="27">
        <v>0</v>
      </c>
      <c r="F313" s="27">
        <v>0.85683023808682579</v>
      </c>
      <c r="G313" s="27">
        <v>0.14316976191317421</v>
      </c>
      <c r="H313" s="27">
        <v>0</v>
      </c>
      <c r="I313" s="27">
        <v>0.7569087070611159</v>
      </c>
      <c r="J313" s="27">
        <v>0.24309129293888407</v>
      </c>
      <c r="K313" s="27">
        <v>0</v>
      </c>
      <c r="L313" s="27">
        <v>0.13800568211737102</v>
      </c>
      <c r="M313" s="27">
        <v>0.52991225336663628</v>
      </c>
      <c r="N313" s="27">
        <v>0.3320820645159927</v>
      </c>
      <c r="O313" s="27">
        <v>-11.038685747207264</v>
      </c>
      <c r="P313" s="27">
        <v>3.3732621732506587E-2</v>
      </c>
      <c r="Q313" s="27">
        <v>6.6260564978273318E-5</v>
      </c>
      <c r="R313" s="27">
        <v>1.0646595540619996</v>
      </c>
      <c r="S313" s="154"/>
      <c r="T313">
        <v>1.0210105435206416</v>
      </c>
      <c r="U313">
        <v>2.2267490971999178</v>
      </c>
      <c r="V313">
        <v>3.1457173429237293</v>
      </c>
      <c r="W313">
        <v>1</v>
      </c>
      <c r="Y313" s="2">
        <v>690.32603171445339</v>
      </c>
      <c r="Z313" s="2">
        <v>2074.4035970899731</v>
      </c>
      <c r="AA313" s="2">
        <v>25.027363069248167</v>
      </c>
      <c r="AB313" s="2">
        <v>1212.3749931113675</v>
      </c>
      <c r="AC313" s="2">
        <v>1171.362489953515</v>
      </c>
      <c r="AD313" s="2">
        <v>590.50861587124143</v>
      </c>
      <c r="AE313" s="2">
        <v>568.8732014230543</v>
      </c>
      <c r="AF313" s="2">
        <v>596.00515235406397</v>
      </c>
      <c r="AG313" s="2">
        <v>133.2756357708374</v>
      </c>
      <c r="AH313" s="2">
        <v>531.76844258092785</v>
      </c>
      <c r="AI313" s="2">
        <v>469734.75609868905</v>
      </c>
      <c r="AJ313" s="2">
        <v>447034.26760463079</v>
      </c>
      <c r="AL313" s="27">
        <v>0.91760103882856603</v>
      </c>
      <c r="AM313" s="27">
        <v>0.91582905996370567</v>
      </c>
      <c r="AN313" s="27">
        <v>0.90277037687720485</v>
      </c>
      <c r="AO313" s="27">
        <v>0.83675324676953955</v>
      </c>
      <c r="AP313" s="27">
        <v>0.78640261517745302</v>
      </c>
      <c r="AQ313" s="27">
        <v>0.91760103882856603</v>
      </c>
      <c r="AR313" s="27">
        <v>0.91582905996370567</v>
      </c>
      <c r="AS313" s="27">
        <v>0.90277037687720485</v>
      </c>
      <c r="AT313" s="27">
        <v>0.83675324676953955</v>
      </c>
      <c r="AU313" s="27">
        <v>0.78640261517745302</v>
      </c>
      <c r="AW313" s="1">
        <v>14.010068443275426</v>
      </c>
      <c r="AX313" s="1">
        <v>15.833308865941719</v>
      </c>
      <c r="AY313" s="2">
        <v>1948219.6537224557</v>
      </c>
      <c r="AZ313" s="1">
        <v>15.767371738018618</v>
      </c>
      <c r="BA313" s="1">
        <v>17.606191377611928</v>
      </c>
      <c r="BB313" s="2">
        <v>1350009.868705017</v>
      </c>
      <c r="BC313" s="2">
        <f t="shared" si="35"/>
        <v>-598209.7850174387</v>
      </c>
      <c r="BD313" s="292">
        <f t="shared" si="36"/>
        <v>1.7573032947431919</v>
      </c>
      <c r="BF313" s="170">
        <f t="shared" si="31"/>
        <v>293391.2972016125</v>
      </c>
      <c r="BG313" s="2">
        <f t="shared" si="32"/>
        <v>1172769.6093779616</v>
      </c>
      <c r="BI313">
        <f t="shared" si="33"/>
        <v>0</v>
      </c>
      <c r="BJ313" s="95">
        <f t="shared" si="34"/>
        <v>1</v>
      </c>
      <c r="BP313" s="217">
        <f t="shared" si="37"/>
        <v>1172769.6093779616</v>
      </c>
    </row>
    <row r="314" spans="1:68">
      <c r="A314" s="11">
        <v>308</v>
      </c>
      <c r="C314" s="27">
        <v>0.92499592971919631</v>
      </c>
      <c r="D314" s="27">
        <v>7.5004070280803706E-2</v>
      </c>
      <c r="E314" s="27">
        <v>0</v>
      </c>
      <c r="F314" s="27">
        <v>0.86176637628002839</v>
      </c>
      <c r="G314" s="27">
        <v>0.13823362371997158</v>
      </c>
      <c r="H314" s="27">
        <v>0</v>
      </c>
      <c r="I314" s="27">
        <v>0.75407030118800811</v>
      </c>
      <c r="J314" s="27">
        <v>0.24592969881199184</v>
      </c>
      <c r="K314" s="27">
        <v>0</v>
      </c>
      <c r="L314" s="27">
        <v>0.20884883692700107</v>
      </c>
      <c r="M314" s="27">
        <v>0.44086943642531801</v>
      </c>
      <c r="N314" s="27">
        <v>0.35028172664768087</v>
      </c>
      <c r="O314" s="27">
        <v>-11.065229008883021</v>
      </c>
      <c r="P314" s="27">
        <v>3.6456792101313862E-2</v>
      </c>
      <c r="Q314" s="27">
        <v>7.2346481289702728E-5</v>
      </c>
      <c r="R314" s="27">
        <v>1.0503888059754518</v>
      </c>
      <c r="S314" s="154"/>
      <c r="T314">
        <v>0.97252287733020659</v>
      </c>
      <c r="U314">
        <v>2.1744114874731451</v>
      </c>
      <c r="V314">
        <v>3.0412011010222573</v>
      </c>
      <c r="W314">
        <v>1</v>
      </c>
      <c r="Y314" s="2">
        <v>528.83708710662461</v>
      </c>
      <c r="Z314" s="2">
        <v>1782.7590794183834</v>
      </c>
      <c r="AA314" s="2">
        <v>1435.6331747364175</v>
      </c>
      <c r="AB314" s="2">
        <v>4031.406937636265</v>
      </c>
      <c r="AC314" s="2">
        <v>289.72919684592455</v>
      </c>
      <c r="AD314" s="2">
        <v>4364.3895734346124</v>
      </c>
      <c r="AE314" s="2">
        <v>590.53328513667498</v>
      </c>
      <c r="AF314" s="2">
        <v>862.86724183840772</v>
      </c>
      <c r="AG314" s="2">
        <v>190.86030355284669</v>
      </c>
      <c r="AH314" s="2">
        <v>438.68870183464122</v>
      </c>
      <c r="AI314" s="2">
        <v>621795.07404095074</v>
      </c>
      <c r="AJ314" s="2">
        <v>569938.02363653434</v>
      </c>
      <c r="AL314" s="27">
        <v>0.91658527212607077</v>
      </c>
      <c r="AM314" s="27">
        <v>0.91785212575457831</v>
      </c>
      <c r="AN314" s="27">
        <v>0.90398649164145728</v>
      </c>
      <c r="AO314" s="27">
        <v>0.89895019869664461</v>
      </c>
      <c r="AP314" s="27">
        <v>0.64888234356397867</v>
      </c>
      <c r="AQ314" s="27">
        <v>0.91658527212607077</v>
      </c>
      <c r="AR314" s="27">
        <v>0.91785212575457831</v>
      </c>
      <c r="AS314" s="27">
        <v>0.90398649164145728</v>
      </c>
      <c r="AT314" s="27">
        <v>0.89895019869664461</v>
      </c>
      <c r="AU314" s="27">
        <v>0.64888234356397867</v>
      </c>
      <c r="AW314" s="1">
        <v>13.654231688491924</v>
      </c>
      <c r="AX314" s="1">
        <v>15.808619830215372</v>
      </c>
      <c r="AY314" s="2">
        <v>2182568.5668938882</v>
      </c>
      <c r="AZ314" s="1">
        <v>15.413716648384383</v>
      </c>
      <c r="BA314" s="1">
        <v>17.481687925808121</v>
      </c>
      <c r="BB314" s="2">
        <v>1697257.9283459145</v>
      </c>
      <c r="BC314" s="2">
        <f t="shared" si="35"/>
        <v>-485310.63854797371</v>
      </c>
      <c r="BD314" s="292">
        <f t="shared" si="36"/>
        <v>1.7594849598924593</v>
      </c>
      <c r="BF314" s="170">
        <f t="shared" si="31"/>
        <v>2108.5032648197375</v>
      </c>
      <c r="BG314" s="2">
        <f t="shared" si="32"/>
        <v>768936.73539558705</v>
      </c>
      <c r="BI314">
        <f t="shared" si="33"/>
        <v>0</v>
      </c>
      <c r="BJ314" s="95">
        <f t="shared" si="34"/>
        <v>1</v>
      </c>
      <c r="BP314" s="217">
        <f t="shared" si="37"/>
        <v>768936.73539558705</v>
      </c>
    </row>
    <row r="315" spans="1:68">
      <c r="A315" s="11">
        <v>309</v>
      </c>
      <c r="C315" s="27">
        <v>0.9215857968395289</v>
      </c>
      <c r="D315" s="27">
        <v>7.8414203160471097E-2</v>
      </c>
      <c r="E315" s="27">
        <v>0</v>
      </c>
      <c r="F315" s="27">
        <v>0.85476464647170691</v>
      </c>
      <c r="G315" s="27">
        <v>0.14523535352829309</v>
      </c>
      <c r="H315" s="27">
        <v>0</v>
      </c>
      <c r="I315" s="27">
        <v>0.75937173607547903</v>
      </c>
      <c r="J315" s="27">
        <v>0.240628263924521</v>
      </c>
      <c r="K315" s="27">
        <v>0</v>
      </c>
      <c r="L315" s="27">
        <v>0.14670396406427166</v>
      </c>
      <c r="M315" s="27">
        <v>0.54467843185631204</v>
      </c>
      <c r="N315" s="27">
        <v>0.3086176040794163</v>
      </c>
      <c r="O315" s="27">
        <v>-11.113285166924909</v>
      </c>
      <c r="P315" s="27">
        <v>3.421570330385245E-2</v>
      </c>
      <c r="Q315" s="27">
        <v>6.2757929075692894E-5</v>
      </c>
      <c r="R315" s="27">
        <v>1.0692289878795882</v>
      </c>
      <c r="S315" s="154"/>
      <c r="T315">
        <v>0.91826877303159715</v>
      </c>
      <c r="U315">
        <v>2.2470050436804403</v>
      </c>
      <c r="V315">
        <v>2.8664910266969748</v>
      </c>
      <c r="W315">
        <v>1</v>
      </c>
      <c r="Y315" s="2">
        <v>57.144167447498148</v>
      </c>
      <c r="Z315" s="2">
        <v>1544.2520941969576</v>
      </c>
      <c r="AA315" s="2">
        <v>3722.2778258508788</v>
      </c>
      <c r="AB315" s="2">
        <v>1309.1334712122759</v>
      </c>
      <c r="AC315" s="2">
        <v>120.62844758774212</v>
      </c>
      <c r="AD315" s="2">
        <v>49.0884464676272</v>
      </c>
      <c r="AE315" s="2">
        <v>586.26503415272089</v>
      </c>
      <c r="AF315" s="2">
        <v>1034.7302004877927</v>
      </c>
      <c r="AG315" s="2">
        <v>89.072765291657248</v>
      </c>
      <c r="AH315" s="2">
        <v>247.51483652747558</v>
      </c>
      <c r="AI315" s="2">
        <v>832276.29441844672</v>
      </c>
      <c r="AJ315" s="2">
        <v>797319.0269524015</v>
      </c>
      <c r="AL315" s="27">
        <v>0.91576143479762828</v>
      </c>
      <c r="AM315" s="27">
        <v>0.91598098487036395</v>
      </c>
      <c r="AN315" s="27">
        <v>0.91385727291519947</v>
      </c>
      <c r="AO315" s="27">
        <v>0.91538143421379559</v>
      </c>
      <c r="AP315" s="27">
        <v>0.67175098527784116</v>
      </c>
      <c r="AQ315" s="27">
        <v>0.91576143479762828</v>
      </c>
      <c r="AR315" s="27">
        <v>0.91598098487036395</v>
      </c>
      <c r="AS315" s="27">
        <v>0.91385727291519947</v>
      </c>
      <c r="AT315" s="27">
        <v>0.91538143421379559</v>
      </c>
      <c r="AU315" s="27">
        <v>0.67175098527784116</v>
      </c>
      <c r="AW315" s="1">
        <v>13.95640530262515</v>
      </c>
      <c r="AX315" s="1">
        <v>16.165092328724345</v>
      </c>
      <c r="AY315" s="2">
        <v>3417647.9740683394</v>
      </c>
      <c r="AZ315" s="1">
        <v>15.502831151674352</v>
      </c>
      <c r="BA315" s="1">
        <v>17.614486901443478</v>
      </c>
      <c r="BB315" s="2">
        <v>2585825.1555073345</v>
      </c>
      <c r="BC315" s="2">
        <f t="shared" si="35"/>
        <v>-831822.81856100494</v>
      </c>
      <c r="BD315" s="292">
        <f t="shared" si="36"/>
        <v>1.5464258490492018</v>
      </c>
      <c r="BF315" s="170">
        <f t="shared" si="31"/>
        <v>-1184623.1256483155</v>
      </c>
      <c r="BG315" s="2">
        <f t="shared" si="32"/>
        <v>-105372.171239438</v>
      </c>
      <c r="BI315">
        <f t="shared" si="33"/>
        <v>0</v>
      </c>
      <c r="BJ315" s="95">
        <f t="shared" si="34"/>
        <v>1</v>
      </c>
      <c r="BP315" s="217">
        <f t="shared" si="37"/>
        <v>-105372.171239438</v>
      </c>
    </row>
    <row r="316" spans="1:68">
      <c r="A316" s="11">
        <v>310</v>
      </c>
      <c r="C316" s="27">
        <v>0.92353938504816568</v>
      </c>
      <c r="D316" s="27">
        <v>7.6460614951834274E-2</v>
      </c>
      <c r="E316" s="27">
        <v>0</v>
      </c>
      <c r="F316" s="27">
        <v>0.85640150879402333</v>
      </c>
      <c r="G316" s="27">
        <v>0.14359849120597667</v>
      </c>
      <c r="H316" s="27">
        <v>0</v>
      </c>
      <c r="I316" s="27">
        <v>0.75242900424405246</v>
      </c>
      <c r="J316" s="27">
        <v>0.2475709957559476</v>
      </c>
      <c r="K316" s="27">
        <v>0</v>
      </c>
      <c r="L316" s="27">
        <v>5.1821886174377219E-2</v>
      </c>
      <c r="M316" s="27">
        <v>0.57353996487488756</v>
      </c>
      <c r="N316" s="27">
        <v>0.37463814895073522</v>
      </c>
      <c r="O316" s="27">
        <v>-11.4196580017973</v>
      </c>
      <c r="P316" s="27">
        <v>3.4107128182220087E-2</v>
      </c>
      <c r="Q316" s="27">
        <v>4.5986686920104501E-5</v>
      </c>
      <c r="R316" s="27">
        <v>1.1088581801151829</v>
      </c>
      <c r="S316" s="154"/>
      <c r="T316">
        <v>0.98148396706862417</v>
      </c>
      <c r="U316">
        <v>2.2085766193642451</v>
      </c>
      <c r="V316">
        <v>2.9922887200465085</v>
      </c>
      <c r="W316">
        <v>1</v>
      </c>
      <c r="Y316" s="2">
        <v>970.13616520026551</v>
      </c>
      <c r="Z316" s="2">
        <v>4101.0795416595465</v>
      </c>
      <c r="AA316" s="2">
        <v>930.89035839700546</v>
      </c>
      <c r="AB316" s="2">
        <v>1594.9519153807075</v>
      </c>
      <c r="AC316" s="2">
        <v>2035.7069397396613</v>
      </c>
      <c r="AD316" s="2">
        <v>471.62415413266768</v>
      </c>
      <c r="AE316" s="2">
        <v>520.694455832519</v>
      </c>
      <c r="AF316" s="2">
        <v>1096.1163447642159</v>
      </c>
      <c r="AG316" s="2">
        <v>119.38131260991636</v>
      </c>
      <c r="AH316" s="2">
        <v>399.67245281704288</v>
      </c>
      <c r="AI316" s="2">
        <v>447383.11689075053</v>
      </c>
      <c r="AJ316" s="2">
        <v>415227.39062819362</v>
      </c>
      <c r="AL316" s="27">
        <v>0.91752730530248772</v>
      </c>
      <c r="AM316" s="27">
        <v>0.91707414570318102</v>
      </c>
      <c r="AN316" s="27">
        <v>0.90901432246575875</v>
      </c>
      <c r="AO316" s="27">
        <v>0.88783925049487089</v>
      </c>
      <c r="AP316" s="27">
        <v>0.64185759461326852</v>
      </c>
      <c r="AQ316" s="27">
        <v>0.91752730530248772</v>
      </c>
      <c r="AR316" s="27">
        <v>0.91707414570318102</v>
      </c>
      <c r="AS316" s="27">
        <v>0.90901432246575875</v>
      </c>
      <c r="AT316" s="27">
        <v>0.88783925049487089</v>
      </c>
      <c r="AU316" s="27">
        <v>0.64185759461326852</v>
      </c>
      <c r="AW316" s="1">
        <v>13.507116368291085</v>
      </c>
      <c r="AX316" s="1">
        <v>15.736155913511523</v>
      </c>
      <c r="AY316" s="2">
        <v>1775996.9838958536</v>
      </c>
      <c r="AZ316" s="1">
        <v>15.306739364494147</v>
      </c>
      <c r="BA316" s="1">
        <v>17.423871159095118</v>
      </c>
      <c r="BB316" s="2">
        <v>1260234.2189519564</v>
      </c>
      <c r="BC316" s="2">
        <f t="shared" si="35"/>
        <v>-515762.76494389726</v>
      </c>
      <c r="BD316" s="292">
        <f t="shared" si="36"/>
        <v>1.7996229962030625</v>
      </c>
      <c r="BF316" s="170">
        <f t="shared" si="31"/>
        <v>385141.63503071992</v>
      </c>
      <c r="BG316" s="2">
        <f t="shared" si="32"/>
        <v>1188844.0793671072</v>
      </c>
      <c r="BI316">
        <f t="shared" si="33"/>
        <v>0</v>
      </c>
      <c r="BJ316" s="95">
        <f t="shared" si="34"/>
        <v>1</v>
      </c>
      <c r="BP316" s="217">
        <f t="shared" si="37"/>
        <v>1188844.0793671072</v>
      </c>
    </row>
    <row r="317" spans="1:68">
      <c r="A317" s="11">
        <v>311</v>
      </c>
      <c r="C317" s="27">
        <v>0.92386031046735473</v>
      </c>
      <c r="D317" s="27">
        <v>7.6139689532645258E-2</v>
      </c>
      <c r="E317" s="27">
        <v>0</v>
      </c>
      <c r="F317" s="27">
        <v>0.85813565736338404</v>
      </c>
      <c r="G317" s="27">
        <v>0.14186434263661599</v>
      </c>
      <c r="H317" s="27">
        <v>0</v>
      </c>
      <c r="I317" s="27">
        <v>0.74581687322493972</v>
      </c>
      <c r="J317" s="27">
        <v>0.25418312677506028</v>
      </c>
      <c r="K317" s="27">
        <v>0</v>
      </c>
      <c r="L317" s="27">
        <v>0.13121880640972738</v>
      </c>
      <c r="M317" s="27">
        <v>0.46160262856979428</v>
      </c>
      <c r="N317" s="27">
        <v>0.40717856502047833</v>
      </c>
      <c r="O317" s="27">
        <v>-11.274730817541762</v>
      </c>
      <c r="P317" s="27">
        <v>3.4220250512909015E-2</v>
      </c>
      <c r="Q317" s="27">
        <v>5.3411723441016478E-5</v>
      </c>
      <c r="R317" s="27">
        <v>1.094094074261621</v>
      </c>
      <c r="S317" s="154"/>
      <c r="T317">
        <v>1.0363537631012352</v>
      </c>
      <c r="U317">
        <v>2.2645344159023257</v>
      </c>
      <c r="V317">
        <v>3.131742740055111</v>
      </c>
      <c r="W317">
        <v>1</v>
      </c>
      <c r="Y317" s="2">
        <v>389.50150171336247</v>
      </c>
      <c r="Z317" s="2">
        <v>17731.286861962344</v>
      </c>
      <c r="AA317" s="2">
        <v>944.02571413949761</v>
      </c>
      <c r="AB317" s="2">
        <v>84.805343418428947</v>
      </c>
      <c r="AC317" s="2">
        <v>718.98671344543698</v>
      </c>
      <c r="AD317" s="2">
        <v>162.7014843740908</v>
      </c>
      <c r="AE317" s="2">
        <v>541.41331185267506</v>
      </c>
      <c r="AF317" s="2">
        <v>893.16105633574739</v>
      </c>
      <c r="AG317" s="2">
        <v>144.58230981160614</v>
      </c>
      <c r="AH317" s="2">
        <v>575.37608392664993</v>
      </c>
      <c r="AI317" s="2">
        <v>440961.49806683592</v>
      </c>
      <c r="AJ317" s="2">
        <v>405604.09574074601</v>
      </c>
      <c r="AL317" s="27">
        <v>0.91663778372876858</v>
      </c>
      <c r="AM317" s="27">
        <v>0.91251496072643135</v>
      </c>
      <c r="AN317" s="27">
        <v>0.91506579905172247</v>
      </c>
      <c r="AO317" s="27">
        <v>0.8620289307607667</v>
      </c>
      <c r="AP317" s="27">
        <v>0.75815970266995958</v>
      </c>
      <c r="AQ317" s="27">
        <v>0.91663778372876858</v>
      </c>
      <c r="AR317" s="27">
        <v>0.91251496072643135</v>
      </c>
      <c r="AS317" s="27">
        <v>0.91506579905172247</v>
      </c>
      <c r="AT317" s="27">
        <v>0.8620289307607667</v>
      </c>
      <c r="AU317" s="27">
        <v>0.75815970266995958</v>
      </c>
      <c r="AW317" s="1">
        <v>13.388575931408768</v>
      </c>
      <c r="AX317" s="1">
        <v>15.16612433745979</v>
      </c>
      <c r="AY317" s="2">
        <v>1729608.2853404034</v>
      </c>
      <c r="AZ317" s="1">
        <v>15.361023218517305</v>
      </c>
      <c r="BA317" s="1">
        <v>17.162247376590823</v>
      </c>
      <c r="BB317" s="2">
        <v>1053173.9566982868</v>
      </c>
      <c r="BC317" s="2">
        <f t="shared" si="35"/>
        <v>-676434.32864211663</v>
      </c>
      <c r="BD317" s="292">
        <f t="shared" si="36"/>
        <v>1.9724472871085368</v>
      </c>
      <c r="BF317" s="170">
        <f t="shared" si="31"/>
        <v>412563.86368499952</v>
      </c>
      <c r="BG317" s="2">
        <f t="shared" si="32"/>
        <v>1404589.758264482</v>
      </c>
      <c r="BI317">
        <f t="shared" si="33"/>
        <v>0</v>
      </c>
      <c r="BJ317" s="95">
        <f t="shared" si="34"/>
        <v>1</v>
      </c>
      <c r="BP317" s="217">
        <f t="shared" si="37"/>
        <v>1404589.758264482</v>
      </c>
    </row>
    <row r="318" spans="1:68">
      <c r="A318" s="11">
        <v>312</v>
      </c>
      <c r="C318" s="27">
        <v>0.92312274343864809</v>
      </c>
      <c r="D318" s="27">
        <v>7.6877256561351942E-2</v>
      </c>
      <c r="E318" s="27">
        <v>0</v>
      </c>
      <c r="F318" s="27">
        <v>0.85661663407695798</v>
      </c>
      <c r="G318" s="27">
        <v>0.14338336592304202</v>
      </c>
      <c r="H318" s="27">
        <v>0</v>
      </c>
      <c r="I318" s="27">
        <v>0.73306811695204988</v>
      </c>
      <c r="J318" s="27">
        <v>0.26693188304795012</v>
      </c>
      <c r="K318" s="27">
        <v>0</v>
      </c>
      <c r="L318" s="27">
        <v>0.14085135015199018</v>
      </c>
      <c r="M318" s="27">
        <v>0.54547169004250762</v>
      </c>
      <c r="N318" s="27">
        <v>0.3136769598055022</v>
      </c>
      <c r="O318" s="27">
        <v>-11.329338677027625</v>
      </c>
      <c r="P318" s="27">
        <v>3.4827188193256059E-2</v>
      </c>
      <c r="Q318" s="27">
        <v>5.1878984490334734E-5</v>
      </c>
      <c r="R318" s="27">
        <v>1.0991542178627975</v>
      </c>
      <c r="S318" s="154"/>
      <c r="T318">
        <v>0.9154358961333624</v>
      </c>
      <c r="U318">
        <v>2.2716062567077047</v>
      </c>
      <c r="V318">
        <v>3.1307496464878719</v>
      </c>
      <c r="W318">
        <v>1</v>
      </c>
      <c r="Y318" s="2">
        <v>1286.4662635219865</v>
      </c>
      <c r="Z318" s="2">
        <v>1200.681439895995</v>
      </c>
      <c r="AA318" s="2">
        <v>2553.2924456932915</v>
      </c>
      <c r="AB318" s="2">
        <v>5607.8958648197413</v>
      </c>
      <c r="AC318" s="2">
        <v>1153.0543688353903</v>
      </c>
      <c r="AD318" s="2">
        <v>4787.3643755914482</v>
      </c>
      <c r="AE318" s="2">
        <v>536.80489179255642</v>
      </c>
      <c r="AF318" s="2">
        <v>1218.6458473427854</v>
      </c>
      <c r="AG318" s="2">
        <v>145.9404765772486</v>
      </c>
      <c r="AH318" s="2">
        <v>342.77386886223081</v>
      </c>
      <c r="AI318" s="2">
        <v>358547.4764835508</v>
      </c>
      <c r="AJ318" s="2">
        <v>338813.20467998384</v>
      </c>
      <c r="AL318" s="27">
        <v>0.91641910946813154</v>
      </c>
      <c r="AM318" s="27">
        <v>0.91335897301867941</v>
      </c>
      <c r="AN318" s="27">
        <v>0.91265276195671241</v>
      </c>
      <c r="AO318" s="27">
        <v>0.85759083074566766</v>
      </c>
      <c r="AP318" s="27">
        <v>0.66913669320222402</v>
      </c>
      <c r="AQ318" s="27">
        <v>0.91641910946813154</v>
      </c>
      <c r="AR318" s="27">
        <v>0.91335897301867941</v>
      </c>
      <c r="AS318" s="27">
        <v>0.91265276195671241</v>
      </c>
      <c r="AT318" s="27">
        <v>0.85759083074566766</v>
      </c>
      <c r="AU318" s="27">
        <v>0.66913669320222402</v>
      </c>
      <c r="AW318" s="1">
        <v>13.793380644505945</v>
      </c>
      <c r="AX318" s="1">
        <v>15.999599907929442</v>
      </c>
      <c r="AY318" s="2">
        <v>1437813.999484556</v>
      </c>
      <c r="AZ318" s="1">
        <v>15.351158181458453</v>
      </c>
      <c r="BA318" s="1">
        <v>17.472473869254713</v>
      </c>
      <c r="BB318" s="2">
        <v>1256576.6871254132</v>
      </c>
      <c r="BC318" s="2">
        <f t="shared" si="35"/>
        <v>-181237.31235914282</v>
      </c>
      <c r="BD318" s="292">
        <f t="shared" si="36"/>
        <v>1.5577775369525089</v>
      </c>
      <c r="BF318" s="170">
        <f t="shared" si="31"/>
        <v>769126.90363639523</v>
      </c>
      <c r="BG318" s="2">
        <f t="shared" si="32"/>
        <v>1199608.6219079392</v>
      </c>
      <c r="BI318">
        <f t="shared" si="33"/>
        <v>0</v>
      </c>
      <c r="BJ318" s="95">
        <f t="shared" si="34"/>
        <v>1</v>
      </c>
      <c r="BP318" s="217">
        <f t="shared" si="37"/>
        <v>1199608.6219079392</v>
      </c>
    </row>
    <row r="319" spans="1:68">
      <c r="A319" s="11">
        <v>313</v>
      </c>
      <c r="C319" s="27">
        <v>0.92522471848817145</v>
      </c>
      <c r="D319" s="27">
        <v>7.4775281511828495E-2</v>
      </c>
      <c r="E319" s="27">
        <v>0</v>
      </c>
      <c r="F319" s="27">
        <v>0.85742841629456801</v>
      </c>
      <c r="G319" s="27">
        <v>0.14257158370543196</v>
      </c>
      <c r="H319" s="27">
        <v>0</v>
      </c>
      <c r="I319" s="27">
        <v>0.75512347881346886</v>
      </c>
      <c r="J319" s="27">
        <v>0.24487652118653117</v>
      </c>
      <c r="K319" s="27">
        <v>0</v>
      </c>
      <c r="L319" s="27">
        <v>0.12336712754790347</v>
      </c>
      <c r="M319" s="27">
        <v>0.45604258874872061</v>
      </c>
      <c r="N319" s="27">
        <v>0.42059028370337592</v>
      </c>
      <c r="O319" s="27">
        <v>-11.396175502213557</v>
      </c>
      <c r="P319" s="27">
        <v>3.8007290191202164E-2</v>
      </c>
      <c r="Q319" s="27">
        <v>5.5458846643292586E-5</v>
      </c>
      <c r="R319" s="27">
        <v>1.0766806223044416</v>
      </c>
      <c r="S319" s="154"/>
      <c r="T319">
        <v>0.94983987556561567</v>
      </c>
      <c r="U319">
        <v>2.2355463385662278</v>
      </c>
      <c r="V319">
        <v>3.0269241359650469</v>
      </c>
      <c r="W319">
        <v>1</v>
      </c>
      <c r="Y319" s="2">
        <v>1174.9067547535492</v>
      </c>
      <c r="Z319" s="2">
        <v>5362.3633161738635</v>
      </c>
      <c r="AA319" s="2">
        <v>1024.7138912063349</v>
      </c>
      <c r="AB319" s="2">
        <v>15251.456962334354</v>
      </c>
      <c r="AC319" s="2">
        <v>63.044987977900448</v>
      </c>
      <c r="AD319" s="2">
        <v>5255.4377821615954</v>
      </c>
      <c r="AE319" s="2">
        <v>525.5021079836439</v>
      </c>
      <c r="AF319" s="2">
        <v>1125.6733577162165</v>
      </c>
      <c r="AG319" s="2">
        <v>112.29491746521603</v>
      </c>
      <c r="AH319" s="2">
        <v>572.60393126583449</v>
      </c>
      <c r="AI319" s="2">
        <v>341549.25390688441</v>
      </c>
      <c r="AJ319" s="2">
        <v>321898.77498238097</v>
      </c>
      <c r="AL319" s="27">
        <v>0.90899099054452126</v>
      </c>
      <c r="AM319" s="27">
        <v>0.9171662245880321</v>
      </c>
      <c r="AN319" s="27">
        <v>0.92173651177151372</v>
      </c>
      <c r="AO319" s="27">
        <v>0.85946241786446731</v>
      </c>
      <c r="AP319" s="27">
        <v>0.76798241508144682</v>
      </c>
      <c r="AQ319" s="27">
        <v>0.90899099054452126</v>
      </c>
      <c r="AR319" s="27">
        <v>0.9171662245880321</v>
      </c>
      <c r="AS319" s="27">
        <v>0.92173651177151372</v>
      </c>
      <c r="AT319" s="27">
        <v>0.85946241786446731</v>
      </c>
      <c r="AU319" s="27">
        <v>0.76798241508144682</v>
      </c>
      <c r="AW319" s="1">
        <v>13.76413090905201</v>
      </c>
      <c r="AX319" s="1">
        <v>15.592776997408164</v>
      </c>
      <c r="AY319" s="2">
        <v>1233935.730006923</v>
      </c>
      <c r="AZ319" s="1">
        <v>15.440123741028943</v>
      </c>
      <c r="BA319" s="1">
        <v>17.274259812341327</v>
      </c>
      <c r="BB319" s="2">
        <v>1199465.056717386</v>
      </c>
      <c r="BC319" s="2">
        <f t="shared" si="35"/>
        <v>-34470.673289536964</v>
      </c>
      <c r="BD319" s="292">
        <f t="shared" si="36"/>
        <v>1.6759928319769326</v>
      </c>
      <c r="BF319" s="170">
        <f t="shared" si="31"/>
        <v>968325.21544139879</v>
      </c>
      <c r="BG319" s="2">
        <f t="shared" si="32"/>
        <v>1270954.741847245</v>
      </c>
      <c r="BI319">
        <f t="shared" si="33"/>
        <v>0</v>
      </c>
      <c r="BJ319" s="95">
        <f t="shared" si="34"/>
        <v>1</v>
      </c>
      <c r="BP319" s="217">
        <f t="shared" si="37"/>
        <v>1270954.741847245</v>
      </c>
    </row>
    <row r="320" spans="1:68">
      <c r="A320" s="11">
        <v>314</v>
      </c>
      <c r="C320" s="27">
        <v>0.92211787273512069</v>
      </c>
      <c r="D320" s="27">
        <v>7.7882127264879308E-2</v>
      </c>
      <c r="E320" s="27">
        <v>0</v>
      </c>
      <c r="F320" s="27">
        <v>0.86074756840055922</v>
      </c>
      <c r="G320" s="27">
        <v>0.13925243159944073</v>
      </c>
      <c r="H320" s="27">
        <v>0</v>
      </c>
      <c r="I320" s="27">
        <v>0.74895272441060723</v>
      </c>
      <c r="J320" s="27">
        <v>0.25104727558939277</v>
      </c>
      <c r="K320" s="27">
        <v>0</v>
      </c>
      <c r="L320" s="27">
        <v>0.16645141064043933</v>
      </c>
      <c r="M320" s="27">
        <v>0.53716819056149268</v>
      </c>
      <c r="N320" s="27">
        <v>0.29638039879806799</v>
      </c>
      <c r="O320" s="27">
        <v>-10.956702642062078</v>
      </c>
      <c r="P320" s="27">
        <v>3.2354621472330494E-2</v>
      </c>
      <c r="Q320" s="27">
        <v>6.7877324044897578E-5</v>
      </c>
      <c r="R320" s="27">
        <v>1.0674519987550941</v>
      </c>
      <c r="S320" s="154"/>
      <c r="T320">
        <v>0.97925452788028811</v>
      </c>
      <c r="U320">
        <v>2.3410272644172827</v>
      </c>
      <c r="V320">
        <v>2.930645847442944</v>
      </c>
      <c r="W320">
        <v>1</v>
      </c>
      <c r="Y320" s="2">
        <v>66.089226395481589</v>
      </c>
      <c r="Z320" s="2">
        <v>1867.9651372583471</v>
      </c>
      <c r="AA320" s="2">
        <v>1096.6271956931048</v>
      </c>
      <c r="AB320" s="2">
        <v>11145.969408124258</v>
      </c>
      <c r="AC320" s="2">
        <v>246.04132575997667</v>
      </c>
      <c r="AD320" s="2">
        <v>338.2807669603439</v>
      </c>
      <c r="AE320" s="2">
        <v>526.61764374369091</v>
      </c>
      <c r="AF320" s="2">
        <v>1109.9034323238736</v>
      </c>
      <c r="AG320" s="2">
        <v>165.02083133661304</v>
      </c>
      <c r="AH320" s="2">
        <v>360.98302984008029</v>
      </c>
      <c r="AI320" s="2">
        <v>379924.38085695048</v>
      </c>
      <c r="AJ320" s="2">
        <v>357628.76025031373</v>
      </c>
      <c r="AL320" s="27">
        <v>0.91435858799694336</v>
      </c>
      <c r="AM320" s="27">
        <v>0.91698033555380154</v>
      </c>
      <c r="AN320" s="27">
        <v>0.91926308222230457</v>
      </c>
      <c r="AO320" s="27">
        <v>0.88577920688497336</v>
      </c>
      <c r="AP320" s="27">
        <v>0.63790970801624092</v>
      </c>
      <c r="AQ320" s="27">
        <v>0.91435858799694336</v>
      </c>
      <c r="AR320" s="27">
        <v>0.91698033555380154</v>
      </c>
      <c r="AS320" s="27">
        <v>0.91926308222230457</v>
      </c>
      <c r="AT320" s="27">
        <v>0.88577920688497336</v>
      </c>
      <c r="AU320" s="27">
        <v>0.63790970801624092</v>
      </c>
      <c r="AW320" s="1">
        <v>13.596162669677394</v>
      </c>
      <c r="AX320" s="1">
        <v>15.948245850948583</v>
      </c>
      <c r="AY320" s="2">
        <v>1583708.2710106331</v>
      </c>
      <c r="AZ320" s="1">
        <v>15.425833702082778</v>
      </c>
      <c r="BA320" s="1">
        <v>17.623892186754933</v>
      </c>
      <c r="BB320" s="2">
        <v>1320623.0869811864</v>
      </c>
      <c r="BC320" s="2">
        <f t="shared" si="35"/>
        <v>-263085.18402944668</v>
      </c>
      <c r="BD320" s="292">
        <f t="shared" si="36"/>
        <v>1.8296710324053844</v>
      </c>
      <c r="BF320" s="170">
        <f t="shared" si="31"/>
        <v>591677.75613775011</v>
      </c>
      <c r="BG320" s="2">
        <f t="shared" si="32"/>
        <v>1147510.305352058</v>
      </c>
      <c r="BI320">
        <f t="shared" si="33"/>
        <v>0</v>
      </c>
      <c r="BJ320" s="95">
        <f t="shared" si="34"/>
        <v>1</v>
      </c>
      <c r="BP320" s="217">
        <f t="shared" si="37"/>
        <v>1147510.305352058</v>
      </c>
    </row>
    <row r="321" spans="1:68">
      <c r="A321" s="11">
        <v>315</v>
      </c>
      <c r="C321" s="27">
        <v>0.91751283548096063</v>
      </c>
      <c r="D321" s="27">
        <v>8.2487164519039369E-2</v>
      </c>
      <c r="E321" s="27">
        <v>0</v>
      </c>
      <c r="F321" s="27">
        <v>0.85474463829889114</v>
      </c>
      <c r="G321" s="27">
        <v>0.14525536170110886</v>
      </c>
      <c r="H321" s="27">
        <v>0</v>
      </c>
      <c r="I321" s="27">
        <v>0.74231753607757878</v>
      </c>
      <c r="J321" s="27">
        <v>0.25768246392242122</v>
      </c>
      <c r="K321" s="27">
        <v>0</v>
      </c>
      <c r="L321" s="27">
        <v>0.15373260365751096</v>
      </c>
      <c r="M321" s="27">
        <v>0.50319707916047596</v>
      </c>
      <c r="N321" s="27">
        <v>0.34307031718201308</v>
      </c>
      <c r="O321" s="27">
        <v>-10.87104757177933</v>
      </c>
      <c r="P321" s="27">
        <v>3.4333118365050971E-2</v>
      </c>
      <c r="Q321" s="27">
        <v>8.0354971033317485E-5</v>
      </c>
      <c r="R321" s="27">
        <v>1.0394233640784021</v>
      </c>
      <c r="S321" s="154"/>
      <c r="T321">
        <v>0.94326597409011248</v>
      </c>
      <c r="U321">
        <v>2.2779540034703682</v>
      </c>
      <c r="V321">
        <v>2.9652524675170309</v>
      </c>
      <c r="W321">
        <v>1</v>
      </c>
      <c r="Y321" s="2">
        <v>22.698046023443609</v>
      </c>
      <c r="Z321" s="2">
        <v>4217.0213610051924</v>
      </c>
      <c r="AA321" s="2">
        <v>1063.4811243675465</v>
      </c>
      <c r="AB321" s="2">
        <v>2080.2563395219745</v>
      </c>
      <c r="AC321" s="2">
        <v>73.870721725650952</v>
      </c>
      <c r="AD321" s="2">
        <v>844.46969123030226</v>
      </c>
      <c r="AE321" s="2">
        <v>545.00377816915716</v>
      </c>
      <c r="AF321" s="2">
        <v>867.94234744396761</v>
      </c>
      <c r="AG321" s="2">
        <v>63.926402339987405</v>
      </c>
      <c r="AH321" s="2">
        <v>435.96084963572457</v>
      </c>
      <c r="AI321" s="2">
        <v>539793.40922340052</v>
      </c>
      <c r="AJ321" s="2">
        <v>515530.37580760819</v>
      </c>
      <c r="AL321" s="27">
        <v>0.91945796831910087</v>
      </c>
      <c r="AM321" s="27">
        <v>0.91079331162269461</v>
      </c>
      <c r="AN321" s="27">
        <v>0.90569302931415485</v>
      </c>
      <c r="AO321" s="27">
        <v>0.93052261392007041</v>
      </c>
      <c r="AP321" s="27">
        <v>0.68582300255964013</v>
      </c>
      <c r="AQ321" s="27">
        <v>0.91945796831910087</v>
      </c>
      <c r="AR321" s="27">
        <v>0.91079331162269461</v>
      </c>
      <c r="AS321" s="27">
        <v>0.90569302931415485</v>
      </c>
      <c r="AT321" s="27">
        <v>0.93052261392007041</v>
      </c>
      <c r="AU321" s="27">
        <v>0.68582300255964013</v>
      </c>
      <c r="AW321" s="1">
        <v>13.618919916580305</v>
      </c>
      <c r="AX321" s="1">
        <v>15.70594071139511</v>
      </c>
      <c r="AY321" s="2">
        <v>2240739.7851047013</v>
      </c>
      <c r="AZ321" s="1">
        <v>15.280653379792749</v>
      </c>
      <c r="BA321" s="1">
        <v>17.3168189950356</v>
      </c>
      <c r="BB321" s="2">
        <v>1669338.3035750056</v>
      </c>
      <c r="BC321" s="2">
        <f t="shared" si="35"/>
        <v>-571401.48152969568</v>
      </c>
      <c r="BD321" s="292">
        <f t="shared" si="36"/>
        <v>1.6617334632124443</v>
      </c>
      <c r="BF321" s="170">
        <f t="shared" si="31"/>
        <v>-61712.598451852333</v>
      </c>
      <c r="BG321" s="2">
        <f t="shared" si="32"/>
        <v>775566.23719183425</v>
      </c>
      <c r="BI321">
        <f t="shared" si="33"/>
        <v>0</v>
      </c>
      <c r="BJ321" s="95">
        <f t="shared" si="34"/>
        <v>1</v>
      </c>
      <c r="BP321" s="217">
        <f t="shared" si="37"/>
        <v>775566.23719183425</v>
      </c>
    </row>
    <row r="322" spans="1:68">
      <c r="A322" s="11">
        <v>316</v>
      </c>
      <c r="C322" s="27">
        <v>0.92290778199873968</v>
      </c>
      <c r="D322" s="27">
        <v>7.7092218001260315E-2</v>
      </c>
      <c r="E322" s="27">
        <v>0</v>
      </c>
      <c r="F322" s="27">
        <v>0.8592444421417692</v>
      </c>
      <c r="G322" s="27">
        <v>0.14075555785823077</v>
      </c>
      <c r="H322" s="27">
        <v>0</v>
      </c>
      <c r="I322" s="27">
        <v>0.74749781331523935</v>
      </c>
      <c r="J322" s="27">
        <v>0.25250218668476065</v>
      </c>
      <c r="K322" s="27">
        <v>0</v>
      </c>
      <c r="L322" s="27">
        <v>0.11787086039384209</v>
      </c>
      <c r="M322" s="27">
        <v>0.49510668465975227</v>
      </c>
      <c r="N322" s="27">
        <v>0.38702245494640564</v>
      </c>
      <c r="O322" s="27">
        <v>-11.573589329693821</v>
      </c>
      <c r="P322" s="27">
        <v>3.3852651255975481E-2</v>
      </c>
      <c r="Q322" s="27">
        <v>3.9006667030577127E-5</v>
      </c>
      <c r="R322" s="27">
        <v>1.1295427600850509</v>
      </c>
      <c r="S322" s="154"/>
      <c r="T322">
        <v>1.0924453038649262</v>
      </c>
      <c r="U322">
        <v>2.1977623446838659</v>
      </c>
      <c r="V322">
        <v>2.7377746185378182</v>
      </c>
      <c r="W322">
        <v>1</v>
      </c>
      <c r="Y322" s="2">
        <v>801.43903079705467</v>
      </c>
      <c r="Z322" s="2">
        <v>573.7448235723258</v>
      </c>
      <c r="AA322" s="2">
        <v>234.59239478186717</v>
      </c>
      <c r="AB322" s="2">
        <v>3057.8310342518635</v>
      </c>
      <c r="AC322" s="2">
        <v>1199.9559653713527</v>
      </c>
      <c r="AD322" s="2">
        <v>2466.6988771150523</v>
      </c>
      <c r="AE322" s="2">
        <v>618.72332824003081</v>
      </c>
      <c r="AF322" s="2">
        <v>750.06414214046299</v>
      </c>
      <c r="AG322" s="2">
        <v>178.46686820161941</v>
      </c>
      <c r="AH322" s="2">
        <v>691.17663848742825</v>
      </c>
      <c r="AI322" s="2">
        <v>552611.85993823851</v>
      </c>
      <c r="AJ322" s="2">
        <v>511336.22503940872</v>
      </c>
      <c r="AL322" s="27">
        <v>0.91535416654327029</v>
      </c>
      <c r="AM322" s="27">
        <v>0.91972032563967532</v>
      </c>
      <c r="AN322" s="27">
        <v>0.9063345792568791</v>
      </c>
      <c r="AO322" s="27">
        <v>0.86528399791718669</v>
      </c>
      <c r="AP322" s="27">
        <v>0.64217257684227702</v>
      </c>
      <c r="AQ322" s="27">
        <v>0.91535416654327029</v>
      </c>
      <c r="AR322" s="27">
        <v>0.91972032563967532</v>
      </c>
      <c r="AS322" s="27">
        <v>0.9063345792568791</v>
      </c>
      <c r="AT322" s="27">
        <v>0.86528399791718669</v>
      </c>
      <c r="AU322" s="27">
        <v>0.64217257684227702</v>
      </c>
      <c r="AW322" s="1">
        <v>13.040743883551563</v>
      </c>
      <c r="AX322" s="1">
        <v>15.216737045448737</v>
      </c>
      <c r="AY322" s="2">
        <v>2004178.9100468145</v>
      </c>
      <c r="AZ322" s="1">
        <v>15.1691831954089</v>
      </c>
      <c r="BA322" s="1">
        <v>17.239704028867934</v>
      </c>
      <c r="BB322" s="2">
        <v>1449774.6681094447</v>
      </c>
      <c r="BC322" s="2">
        <f t="shared" si="35"/>
        <v>-554404.24193736981</v>
      </c>
      <c r="BD322" s="292">
        <f t="shared" si="36"/>
        <v>2.1284393118573366</v>
      </c>
      <c r="BF322" s="170">
        <f t="shared" si="31"/>
        <v>82340.111321435776</v>
      </c>
      <c r="BG322" s="2">
        <f t="shared" si="32"/>
        <v>977294.64315597923</v>
      </c>
      <c r="BI322">
        <f t="shared" si="33"/>
        <v>0</v>
      </c>
      <c r="BJ322" s="95">
        <f t="shared" si="34"/>
        <v>1</v>
      </c>
      <c r="BP322" s="217">
        <f t="shared" si="37"/>
        <v>977294.64315597923</v>
      </c>
    </row>
    <row r="323" spans="1:68">
      <c r="A323" s="11">
        <v>317</v>
      </c>
      <c r="C323" s="27">
        <v>0.92414418926832165</v>
      </c>
      <c r="D323" s="27">
        <v>7.5855810731678311E-2</v>
      </c>
      <c r="E323" s="27">
        <v>0</v>
      </c>
      <c r="F323" s="27">
        <v>0.8573787709390025</v>
      </c>
      <c r="G323" s="27">
        <v>0.14262122906099753</v>
      </c>
      <c r="H323" s="27">
        <v>0</v>
      </c>
      <c r="I323" s="27">
        <v>0.76708398015934742</v>
      </c>
      <c r="J323" s="27">
        <v>0.23291601984065263</v>
      </c>
      <c r="K323" s="27">
        <v>0</v>
      </c>
      <c r="L323" s="27">
        <v>0.11479871901847999</v>
      </c>
      <c r="M323" s="27">
        <v>0.56587760023753975</v>
      </c>
      <c r="N323" s="27">
        <v>0.31932368074398026</v>
      </c>
      <c r="O323" s="27">
        <v>-11.221430878662055</v>
      </c>
      <c r="P323" s="27">
        <v>3.4713100958972024E-2</v>
      </c>
      <c r="Q323" s="27">
        <v>5.7514087602567045E-5</v>
      </c>
      <c r="R323" s="27">
        <v>1.0758838717750754</v>
      </c>
      <c r="S323" s="154"/>
      <c r="T323">
        <v>0.98248758421092275</v>
      </c>
      <c r="U323">
        <v>2.2419564779063323</v>
      </c>
      <c r="V323">
        <v>2.9458746937899565</v>
      </c>
      <c r="W323">
        <v>1</v>
      </c>
      <c r="Y323" s="2">
        <v>369.87012815941978</v>
      </c>
      <c r="Z323" s="2">
        <v>4632.3224176263611</v>
      </c>
      <c r="AA323" s="2">
        <v>3948.6808047987956</v>
      </c>
      <c r="AB323" s="2">
        <v>2214.4774412249644</v>
      </c>
      <c r="AC323" s="2">
        <v>966.37132720544173</v>
      </c>
      <c r="AD323" s="2">
        <v>5552.7089999325817</v>
      </c>
      <c r="AE323" s="2">
        <v>521.10596935340607</v>
      </c>
      <c r="AF323" s="2">
        <v>1424.6963228112725</v>
      </c>
      <c r="AG323" s="2">
        <v>124.52478178741983</v>
      </c>
      <c r="AH323" s="2">
        <v>658.47434994306536</v>
      </c>
      <c r="AI323" s="2">
        <v>591597.36434787023</v>
      </c>
      <c r="AJ323" s="2">
        <v>554061.46596636891</v>
      </c>
      <c r="AL323" s="27">
        <v>0.92134990883402668</v>
      </c>
      <c r="AM323" s="27">
        <v>0.91660694961069478</v>
      </c>
      <c r="AN323" s="27">
        <v>0.91163634806330196</v>
      </c>
      <c r="AO323" s="27">
        <v>0.86517890179920243</v>
      </c>
      <c r="AP323" s="27">
        <v>0.5680795236788807</v>
      </c>
      <c r="AQ323" s="27">
        <v>0.92134990883402668</v>
      </c>
      <c r="AR323" s="27">
        <v>0.91660694961069478</v>
      </c>
      <c r="AS323" s="27">
        <v>0.91163634806330196</v>
      </c>
      <c r="AT323" s="27">
        <v>0.86517890179920243</v>
      </c>
      <c r="AU323" s="27">
        <v>0.5680795236788807</v>
      </c>
      <c r="AW323" s="1">
        <v>13.540847741279181</v>
      </c>
      <c r="AX323" s="1">
        <v>16.116010546631511</v>
      </c>
      <c r="AY323" s="2">
        <v>2507654.1031114156</v>
      </c>
      <c r="AZ323" s="1">
        <v>15.393682424038973</v>
      </c>
      <c r="BA323" s="1">
        <v>17.738924263088148</v>
      </c>
      <c r="BB323" s="2">
        <v>1922642.4933848928</v>
      </c>
      <c r="BC323" s="2">
        <f t="shared" si="35"/>
        <v>-585011.60972652282</v>
      </c>
      <c r="BD323" s="292">
        <f t="shared" si="36"/>
        <v>1.8528346827597915</v>
      </c>
      <c r="BF323" s="170">
        <f t="shared" si="31"/>
        <v>-341118.46450674674</v>
      </c>
      <c r="BG323" s="2">
        <f t="shared" si="32"/>
        <v>540346.69446134265</v>
      </c>
      <c r="BI323">
        <f t="shared" si="33"/>
        <v>0</v>
      </c>
      <c r="BJ323" s="95">
        <f t="shared" si="34"/>
        <v>1</v>
      </c>
      <c r="BP323" s="217">
        <f t="shared" si="37"/>
        <v>540346.69446134265</v>
      </c>
    </row>
    <row r="324" spans="1:68">
      <c r="A324" s="11">
        <v>318</v>
      </c>
      <c r="C324" s="27">
        <v>0.92422200499656126</v>
      </c>
      <c r="D324" s="27">
        <v>7.5777995003438695E-2</v>
      </c>
      <c r="E324" s="27">
        <v>0</v>
      </c>
      <c r="F324" s="27">
        <v>0.85653658117755693</v>
      </c>
      <c r="G324" s="27">
        <v>0.14346341882244307</v>
      </c>
      <c r="H324" s="27">
        <v>0</v>
      </c>
      <c r="I324" s="27">
        <v>0.73832120060633633</v>
      </c>
      <c r="J324" s="27">
        <v>0.26167879939366367</v>
      </c>
      <c r="K324" s="27">
        <v>0</v>
      </c>
      <c r="L324" s="27">
        <v>0.10719356132387314</v>
      </c>
      <c r="M324" s="27">
        <v>0.48961239759244485</v>
      </c>
      <c r="N324" s="27">
        <v>0.40319404108368195</v>
      </c>
      <c r="O324" s="27">
        <v>-10.945267195046712</v>
      </c>
      <c r="P324" s="27">
        <v>3.3421974098749752E-2</v>
      </c>
      <c r="Q324" s="27">
        <v>7.1805873409196957E-5</v>
      </c>
      <c r="R324" s="27">
        <v>1.057510256620888</v>
      </c>
      <c r="S324" s="154"/>
      <c r="T324">
        <v>1.072762776795154</v>
      </c>
      <c r="U324">
        <v>2.2551138170124272</v>
      </c>
      <c r="V324">
        <v>3.3366773774023359</v>
      </c>
      <c r="W324">
        <v>1</v>
      </c>
      <c r="Y324" s="2">
        <v>1245.6669616018632</v>
      </c>
      <c r="Z324" s="2">
        <v>4099.2934701278555</v>
      </c>
      <c r="AA324" s="2">
        <v>279.50171533127974</v>
      </c>
      <c r="AB324" s="2">
        <v>18337.865256613113</v>
      </c>
      <c r="AC324" s="2">
        <v>1903.7721437174537</v>
      </c>
      <c r="AD324" s="2">
        <v>290.60923402853308</v>
      </c>
      <c r="AE324" s="2">
        <v>571.68695787484012</v>
      </c>
      <c r="AF324" s="2">
        <v>1207.3091958686623</v>
      </c>
      <c r="AG324" s="2">
        <v>115.93921806940803</v>
      </c>
      <c r="AH324" s="2">
        <v>462.43470577232375</v>
      </c>
      <c r="AI324" s="2">
        <v>656991.71073035384</v>
      </c>
      <c r="AJ324" s="2">
        <v>610947.47831696493</v>
      </c>
      <c r="AL324" s="27">
        <v>0.90832085945958485</v>
      </c>
      <c r="AM324" s="27">
        <v>0.91525593482531264</v>
      </c>
      <c r="AN324" s="27">
        <v>0.90053867535563903</v>
      </c>
      <c r="AO324" s="27">
        <v>0.85156991703177842</v>
      </c>
      <c r="AP324" s="27">
        <v>0.65544834453628553</v>
      </c>
      <c r="AQ324" s="27">
        <v>0.90832085945958485</v>
      </c>
      <c r="AR324" s="27">
        <v>0.91525593482531264</v>
      </c>
      <c r="AS324" s="27">
        <v>0.90053867535563903</v>
      </c>
      <c r="AT324" s="27">
        <v>0.85156991703177842</v>
      </c>
      <c r="AU324" s="27">
        <v>0.65544834453628553</v>
      </c>
      <c r="AW324" s="1">
        <v>12.95337791575527</v>
      </c>
      <c r="AX324" s="1">
        <v>15.179995635279289</v>
      </c>
      <c r="AY324" s="2">
        <v>2494692.2224273919</v>
      </c>
      <c r="AZ324" s="1">
        <v>15.085339525482283</v>
      </c>
      <c r="BA324" s="1">
        <v>17.233295324836817</v>
      </c>
      <c r="BB324" s="2">
        <v>1963815.959003384</v>
      </c>
      <c r="BC324" s="2">
        <f t="shared" si="35"/>
        <v>-530876.26342400792</v>
      </c>
      <c r="BD324" s="292">
        <f t="shared" si="36"/>
        <v>2.1319616097270124</v>
      </c>
      <c r="BF324" s="170">
        <f t="shared" si="31"/>
        <v>-422151.75590654858</v>
      </c>
      <c r="BG324" s="2">
        <f t="shared" si="32"/>
        <v>449838.36507378123</v>
      </c>
      <c r="BI324">
        <f t="shared" si="33"/>
        <v>0</v>
      </c>
      <c r="BJ324" s="95">
        <f t="shared" si="34"/>
        <v>1</v>
      </c>
      <c r="BP324" s="217">
        <f t="shared" si="37"/>
        <v>449838.36507378123</v>
      </c>
    </row>
    <row r="325" spans="1:68">
      <c r="A325" s="11">
        <v>319</v>
      </c>
      <c r="C325" s="27">
        <v>0.92288292115029291</v>
      </c>
      <c r="D325" s="27">
        <v>7.7117078849707088E-2</v>
      </c>
      <c r="E325" s="27">
        <v>0</v>
      </c>
      <c r="F325" s="27">
        <v>0.8507322601510704</v>
      </c>
      <c r="G325" s="27">
        <v>0.1492677398489296</v>
      </c>
      <c r="H325" s="27">
        <v>0</v>
      </c>
      <c r="I325" s="27">
        <v>0.74804915245409553</v>
      </c>
      <c r="J325" s="27">
        <v>0.25195084754590447</v>
      </c>
      <c r="K325" s="27">
        <v>0</v>
      </c>
      <c r="L325" s="27">
        <v>9.9103180996829465E-2</v>
      </c>
      <c r="M325" s="27">
        <v>0.56270027296629022</v>
      </c>
      <c r="N325" s="27">
        <v>0.33819654603688032</v>
      </c>
      <c r="O325" s="27">
        <v>-10.987301205178685</v>
      </c>
      <c r="P325" s="27">
        <v>3.3315785032034535E-2</v>
      </c>
      <c r="Q325" s="27">
        <v>6.8543756621645814E-5</v>
      </c>
      <c r="R325" s="27">
        <v>1.0577493822880384</v>
      </c>
      <c r="S325" s="154"/>
      <c r="T325">
        <v>0.90126283372579508</v>
      </c>
      <c r="U325">
        <v>2.2445062388402426</v>
      </c>
      <c r="V325">
        <v>2.8207397471180973</v>
      </c>
      <c r="W325">
        <v>1</v>
      </c>
      <c r="Y325" s="2">
        <v>908.28451096611241</v>
      </c>
      <c r="Z325" s="2">
        <v>3716.3332916126401</v>
      </c>
      <c r="AA325" s="2">
        <v>7.5771212234443102</v>
      </c>
      <c r="AB325" s="2">
        <v>1498.2619891617119</v>
      </c>
      <c r="AC325" s="2">
        <v>2705.1984048930381</v>
      </c>
      <c r="AD325" s="2">
        <v>2044.4788839909872</v>
      </c>
      <c r="AE325" s="2">
        <v>583.62126501353271</v>
      </c>
      <c r="AF325" s="2">
        <v>895.60327644743745</v>
      </c>
      <c r="AG325" s="2">
        <v>79.211200360278212</v>
      </c>
      <c r="AH325" s="2">
        <v>464.87611828431062</v>
      </c>
      <c r="AI325" s="2">
        <v>540786.61956071376</v>
      </c>
      <c r="AJ325" s="2">
        <v>487533.05521223933</v>
      </c>
      <c r="AL325" s="27">
        <v>0.92297954012855199</v>
      </c>
      <c r="AM325" s="27">
        <v>0.91915999449918329</v>
      </c>
      <c r="AN325" s="27">
        <v>0.89995529203912572</v>
      </c>
      <c r="AO325" s="27">
        <v>0.86050069375922933</v>
      </c>
      <c r="AP325" s="27">
        <v>0.71642282578183392</v>
      </c>
      <c r="AQ325" s="27">
        <v>0.92297954012855199</v>
      </c>
      <c r="AR325" s="27">
        <v>0.91915999449918329</v>
      </c>
      <c r="AS325" s="27">
        <v>0.89995529203912572</v>
      </c>
      <c r="AT325" s="27">
        <v>0.86050069375922933</v>
      </c>
      <c r="AU325" s="27">
        <v>0.71642282578183392</v>
      </c>
      <c r="AW325" s="1">
        <v>14.147666121297101</v>
      </c>
      <c r="AX325" s="1">
        <v>16.154828975898649</v>
      </c>
      <c r="AY325" s="2">
        <v>2142921.2041042778</v>
      </c>
      <c r="AZ325" s="1">
        <v>15.553161136526422</v>
      </c>
      <c r="BA325" s="1">
        <v>17.518595980789549</v>
      </c>
      <c r="BB325" s="2">
        <v>1604605.4037939308</v>
      </c>
      <c r="BC325" s="2">
        <f t="shared" si="35"/>
        <v>-538315.800310347</v>
      </c>
      <c r="BD325" s="292">
        <f t="shared" si="36"/>
        <v>1.4054950152293202</v>
      </c>
      <c r="BF325" s="170">
        <f t="shared" si="31"/>
        <v>120705.37530325865</v>
      </c>
      <c r="BG325" s="2">
        <f t="shared" si="32"/>
        <v>883900.3780502968</v>
      </c>
      <c r="BI325">
        <f t="shared" si="33"/>
        <v>0</v>
      </c>
      <c r="BJ325" s="95">
        <f t="shared" si="34"/>
        <v>1</v>
      </c>
      <c r="BP325" s="217">
        <f t="shared" si="37"/>
        <v>883900.3780502968</v>
      </c>
    </row>
    <row r="326" spans="1:68">
      <c r="A326" s="11">
        <v>320</v>
      </c>
      <c r="C326" s="27">
        <v>0.92136712224583495</v>
      </c>
      <c r="D326" s="27">
        <v>7.8632877754165054E-2</v>
      </c>
      <c r="E326" s="27">
        <v>0</v>
      </c>
      <c r="F326" s="27">
        <v>0.85211100953625984</v>
      </c>
      <c r="G326" s="27">
        <v>0.14788899046374016</v>
      </c>
      <c r="H326" s="27">
        <v>0</v>
      </c>
      <c r="I326" s="27">
        <v>0.75155184191203495</v>
      </c>
      <c r="J326" s="27">
        <v>0.24844815808796505</v>
      </c>
      <c r="K326" s="27">
        <v>0</v>
      </c>
      <c r="L326" s="27">
        <v>0.18281032961192867</v>
      </c>
      <c r="M326" s="27">
        <v>0.4474827359199347</v>
      </c>
      <c r="N326" s="27">
        <v>0.36970693446813663</v>
      </c>
      <c r="O326" s="27">
        <v>-11.538266954079774</v>
      </c>
      <c r="P326" s="27">
        <v>3.8999300537129578E-2</v>
      </c>
      <c r="Q326" s="27">
        <v>5.0159815919120792E-5</v>
      </c>
      <c r="R326" s="27">
        <v>1.0851724204556581</v>
      </c>
      <c r="S326" s="154"/>
      <c r="T326">
        <v>1.1496609875056643</v>
      </c>
      <c r="U326">
        <v>2.2663453890847678</v>
      </c>
      <c r="V326">
        <v>3.1245370010314533</v>
      </c>
      <c r="W326">
        <v>1</v>
      </c>
      <c r="Y326" s="2">
        <v>74.749309889547789</v>
      </c>
      <c r="Z326" s="2">
        <v>6532.0689228684614</v>
      </c>
      <c r="AA326" s="2">
        <v>1438.0207856295083</v>
      </c>
      <c r="AB326" s="2">
        <v>5508.7371027155677</v>
      </c>
      <c r="AC326" s="2">
        <v>35.688577788003023</v>
      </c>
      <c r="AD326" s="2">
        <v>727.34974928651491</v>
      </c>
      <c r="AE326" s="2">
        <v>543.68227885958856</v>
      </c>
      <c r="AF326" s="2">
        <v>918.13472348824541</v>
      </c>
      <c r="AG326" s="2">
        <v>119.06987932231962</v>
      </c>
      <c r="AH326" s="2">
        <v>525.44268280194512</v>
      </c>
      <c r="AI326" s="2">
        <v>513983.86001329828</v>
      </c>
      <c r="AJ326" s="2">
        <v>485717.67607265798</v>
      </c>
      <c r="AL326" s="27">
        <v>0.92116768629805346</v>
      </c>
      <c r="AM326" s="27">
        <v>0.91287970594569012</v>
      </c>
      <c r="AN326" s="27">
        <v>0.91001461761523794</v>
      </c>
      <c r="AO326" s="27">
        <v>0.91747812909056115</v>
      </c>
      <c r="AP326" s="27">
        <v>0.71160995536428251</v>
      </c>
      <c r="AQ326" s="27">
        <v>0.92116768629805346</v>
      </c>
      <c r="AR326" s="27">
        <v>0.91287970594569012</v>
      </c>
      <c r="AS326" s="27">
        <v>0.91001461761523794</v>
      </c>
      <c r="AT326" s="27">
        <v>0.91747812909056115</v>
      </c>
      <c r="AU326" s="27">
        <v>0.71160995536428251</v>
      </c>
      <c r="AW326" s="1">
        <v>13.103333702915439</v>
      </c>
      <c r="AX326" s="1">
        <v>15.033653433525147</v>
      </c>
      <c r="AY326" s="2">
        <v>2139832.612824006</v>
      </c>
      <c r="AZ326" s="1">
        <v>15.361821448063401</v>
      </c>
      <c r="BA326" s="1">
        <v>17.251125361553299</v>
      </c>
      <c r="BB326" s="2">
        <v>1494953.1087609737</v>
      </c>
      <c r="BC326" s="2">
        <f t="shared" si="35"/>
        <v>-644879.50406303233</v>
      </c>
      <c r="BD326" s="292">
        <f t="shared" si="36"/>
        <v>2.2584877451479617</v>
      </c>
      <c r="BF326" s="170">
        <f t="shared" si="31"/>
        <v>-43299.220357535873</v>
      </c>
      <c r="BG326" s="2">
        <f t="shared" si="32"/>
        <v>962938.32292917022</v>
      </c>
      <c r="BI326">
        <f t="shared" si="33"/>
        <v>0</v>
      </c>
      <c r="BJ326" s="95">
        <f t="shared" si="34"/>
        <v>1</v>
      </c>
      <c r="BP326" s="217">
        <f t="shared" si="37"/>
        <v>962938.32292917022</v>
      </c>
    </row>
    <row r="327" spans="1:68">
      <c r="A327" s="11">
        <v>321</v>
      </c>
      <c r="C327" s="27">
        <v>0.92401511101302314</v>
      </c>
      <c r="D327" s="27">
        <v>7.598488898697682E-2</v>
      </c>
      <c r="E327" s="27">
        <v>0</v>
      </c>
      <c r="F327" s="27">
        <v>0.86111933056782508</v>
      </c>
      <c r="G327" s="27">
        <v>0.13888066943217489</v>
      </c>
      <c r="H327" s="27">
        <v>0</v>
      </c>
      <c r="I327" s="27">
        <v>0.75322227233580985</v>
      </c>
      <c r="J327" s="27">
        <v>0.24677772766419018</v>
      </c>
      <c r="K327" s="27">
        <v>0</v>
      </c>
      <c r="L327" s="27">
        <v>0.20822198116926205</v>
      </c>
      <c r="M327" s="27">
        <v>0.45323239215612093</v>
      </c>
      <c r="N327" s="27">
        <v>0.33854562667461696</v>
      </c>
      <c r="O327" s="27">
        <v>-10.833250184100425</v>
      </c>
      <c r="P327" s="27">
        <v>2.9500641022816597E-2</v>
      </c>
      <c r="Q327" s="27">
        <v>6.8121119972010835E-5</v>
      </c>
      <c r="R327" s="27">
        <v>1.0660144734897008</v>
      </c>
      <c r="S327" s="154"/>
      <c r="T327">
        <v>0.92944256480950727</v>
      </c>
      <c r="U327">
        <v>2.277396671045258</v>
      </c>
      <c r="V327">
        <v>2.8716523804953837</v>
      </c>
      <c r="W327">
        <v>1</v>
      </c>
      <c r="Y327" s="2">
        <v>369.1411866231586</v>
      </c>
      <c r="Z327" s="2">
        <v>790.60582254519727</v>
      </c>
      <c r="AA327" s="2">
        <v>102.86880738392976</v>
      </c>
      <c r="AB327" s="2">
        <v>4612.0736500564135</v>
      </c>
      <c r="AC327" s="2">
        <v>513.5769315751902</v>
      </c>
      <c r="AD327" s="2">
        <v>413.14625490948356</v>
      </c>
      <c r="AE327" s="2">
        <v>583.01994393932432</v>
      </c>
      <c r="AF327" s="2">
        <v>1080.8452753811191</v>
      </c>
      <c r="AG327" s="2">
        <v>270.84831166927444</v>
      </c>
      <c r="AH327" s="2">
        <v>693.57723749686033</v>
      </c>
      <c r="AI327" s="2">
        <v>519930.55049486132</v>
      </c>
      <c r="AJ327" s="2">
        <v>494156.28704011725</v>
      </c>
      <c r="AL327" s="27">
        <v>0.91996228036683902</v>
      </c>
      <c r="AM327" s="27">
        <v>0.91086666482599521</v>
      </c>
      <c r="AN327" s="27">
        <v>0.91514741988370896</v>
      </c>
      <c r="AO327" s="27">
        <v>0.89974353432034759</v>
      </c>
      <c r="AP327" s="27">
        <v>0.74627656907662709</v>
      </c>
      <c r="AQ327" s="27">
        <v>0.91996228036683902</v>
      </c>
      <c r="AR327" s="27">
        <v>0.91086666482599521</v>
      </c>
      <c r="AS327" s="27">
        <v>0.91514741988370896</v>
      </c>
      <c r="AT327" s="27">
        <v>0.89974353432034759</v>
      </c>
      <c r="AU327" s="27">
        <v>0.74627656907662709</v>
      </c>
      <c r="AW327" s="1">
        <v>14.030340266021421</v>
      </c>
      <c r="AX327" s="1">
        <v>15.854472673387848</v>
      </c>
      <c r="AY327" s="2">
        <v>1845947.311420033</v>
      </c>
      <c r="AZ327" s="1">
        <v>15.607504847457191</v>
      </c>
      <c r="BA327" s="1">
        <v>17.437262699400652</v>
      </c>
      <c r="BB327" s="2">
        <v>1425712.8643343078</v>
      </c>
      <c r="BC327" s="2">
        <f t="shared" si="35"/>
        <v>-420234.44708572514</v>
      </c>
      <c r="BD327" s="292">
        <f t="shared" si="36"/>
        <v>1.5771645814357704</v>
      </c>
      <c r="BF327" s="170">
        <f t="shared" ref="BF327:BF390" si="38">AW327*Threshold-AY327</f>
        <v>398907.13114339416</v>
      </c>
      <c r="BG327" s="2">
        <f t="shared" ref="BG327:BG390" si="39">AZ327*Threshold-BB327</f>
        <v>1071487.9112588426</v>
      </c>
      <c r="BI327">
        <f t="shared" ref="BI327:BI390" si="40">IF(MAX($BF327:$BG327)=$BF327,1,0)</f>
        <v>0</v>
      </c>
      <c r="BJ327" s="95">
        <f t="shared" ref="BJ327:BJ390" si="41">IF(MAX($BF327:$BG327)=$BF327,0,1)</f>
        <v>1</v>
      </c>
      <c r="BP327" s="217">
        <f t="shared" si="37"/>
        <v>1071487.9112588426</v>
      </c>
    </row>
    <row r="328" spans="1:68">
      <c r="A328" s="11">
        <v>322</v>
      </c>
      <c r="C328" s="27">
        <v>0.92379845028186858</v>
      </c>
      <c r="D328" s="27">
        <v>7.6201549718131423E-2</v>
      </c>
      <c r="E328" s="27">
        <v>0</v>
      </c>
      <c r="F328" s="27">
        <v>0.8530956930619632</v>
      </c>
      <c r="G328" s="27">
        <v>0.1469043069380368</v>
      </c>
      <c r="H328" s="27">
        <v>0</v>
      </c>
      <c r="I328" s="27">
        <v>0.7493286301524883</v>
      </c>
      <c r="J328" s="27">
        <v>0.2506713698475117</v>
      </c>
      <c r="K328" s="27">
        <v>0</v>
      </c>
      <c r="L328" s="27">
        <v>0.14816863488603271</v>
      </c>
      <c r="M328" s="27">
        <v>0.47691712784538232</v>
      </c>
      <c r="N328" s="27">
        <v>0.37491423726858497</v>
      </c>
      <c r="O328" s="27">
        <v>-11.306160770845027</v>
      </c>
      <c r="P328" s="27">
        <v>3.3409241573696007E-2</v>
      </c>
      <c r="Q328" s="27">
        <v>5.0025753019220197E-5</v>
      </c>
      <c r="R328" s="27">
        <v>1.0998188797715545</v>
      </c>
      <c r="S328" s="154"/>
      <c r="T328">
        <v>1.0277417229527943</v>
      </c>
      <c r="U328">
        <v>2.2644191544607306</v>
      </c>
      <c r="V328">
        <v>2.8611539043722072</v>
      </c>
      <c r="W328">
        <v>1</v>
      </c>
      <c r="Y328" s="2">
        <v>459.22563864628802</v>
      </c>
      <c r="Z328" s="2">
        <v>504.12148229691167</v>
      </c>
      <c r="AA328" s="2">
        <v>1864.3980890278631</v>
      </c>
      <c r="AB328" s="2">
        <v>9576.841246379212</v>
      </c>
      <c r="AC328" s="2">
        <v>2781.155776172036</v>
      </c>
      <c r="AD328" s="2">
        <v>458.95239832045172</v>
      </c>
      <c r="AE328" s="2">
        <v>561.3931206517434</v>
      </c>
      <c r="AF328" s="2">
        <v>938.26501037915762</v>
      </c>
      <c r="AG328" s="2">
        <v>106.22543666503311</v>
      </c>
      <c r="AH328" s="2">
        <v>458.59544161364812</v>
      </c>
      <c r="AI328" s="2">
        <v>873473.30176491931</v>
      </c>
      <c r="AJ328" s="2">
        <v>853809.8809766419</v>
      </c>
      <c r="AL328" s="27">
        <v>0.91493408736425519</v>
      </c>
      <c r="AM328" s="27">
        <v>0.91122014919853278</v>
      </c>
      <c r="AN328" s="27">
        <v>0.90272494253772828</v>
      </c>
      <c r="AO328" s="27">
        <v>0.80989130309256718</v>
      </c>
      <c r="AP328" s="27">
        <v>0.77804200909463228</v>
      </c>
      <c r="AQ328" s="27">
        <v>0.91493408736425519</v>
      </c>
      <c r="AR328" s="27">
        <v>0.91122014919853278</v>
      </c>
      <c r="AS328" s="27">
        <v>0.90272494253772828</v>
      </c>
      <c r="AT328" s="27">
        <v>0.80989130309256718</v>
      </c>
      <c r="AU328" s="27">
        <v>0.77804200909463228</v>
      </c>
      <c r="AW328" s="1">
        <v>13.561539061101488</v>
      </c>
      <c r="AX328" s="1">
        <v>15.381719542203721</v>
      </c>
      <c r="AY328" s="2">
        <v>3299191.0057796794</v>
      </c>
      <c r="AZ328" s="1">
        <v>15.391806160833042</v>
      </c>
      <c r="BA328" s="1">
        <v>17.247561145976817</v>
      </c>
      <c r="BB328" s="2">
        <v>2480832.8014359963</v>
      </c>
      <c r="BC328" s="2">
        <f t="shared" ref="BC328:BC391" si="42">BB328-AY328</f>
        <v>-818358.20434368309</v>
      </c>
      <c r="BD328" s="292">
        <f t="shared" ref="BD328:BD391" si="43">AZ328-AW328</f>
        <v>1.8302670997315538</v>
      </c>
      <c r="BF328" s="170">
        <f t="shared" si="38"/>
        <v>-1129344.7560034413</v>
      </c>
      <c r="BG328" s="2">
        <f t="shared" si="39"/>
        <v>-18143.815702709835</v>
      </c>
      <c r="BI328">
        <f t="shared" si="40"/>
        <v>0</v>
      </c>
      <c r="BJ328" s="95">
        <f t="shared" si="41"/>
        <v>1</v>
      </c>
      <c r="BP328" s="217">
        <f t="shared" ref="BP328:BP391" si="44">MAX(BF328,BG328)</f>
        <v>-18143.815702709835</v>
      </c>
    </row>
    <row r="329" spans="1:68">
      <c r="A329" s="11">
        <v>323</v>
      </c>
      <c r="C329" s="27">
        <v>0.92238918302048001</v>
      </c>
      <c r="D329" s="27">
        <v>7.7610816979519992E-2</v>
      </c>
      <c r="E329" s="27">
        <v>0</v>
      </c>
      <c r="F329" s="27">
        <v>0.86205584119733047</v>
      </c>
      <c r="G329" s="27">
        <v>0.13794415880266955</v>
      </c>
      <c r="H329" s="27">
        <v>0</v>
      </c>
      <c r="I329" s="27">
        <v>0.75529189033261701</v>
      </c>
      <c r="J329" s="27">
        <v>0.24470810966738299</v>
      </c>
      <c r="K329" s="27">
        <v>0</v>
      </c>
      <c r="L329" s="27">
        <v>0.18705649251642054</v>
      </c>
      <c r="M329" s="27">
        <v>0.43053718829099119</v>
      </c>
      <c r="N329" s="27">
        <v>0.38240631919258827</v>
      </c>
      <c r="O329" s="27">
        <v>-11.035310685428238</v>
      </c>
      <c r="P329" s="27">
        <v>3.4949874963469789E-2</v>
      </c>
      <c r="Q329" s="27">
        <v>6.9971962143321379E-5</v>
      </c>
      <c r="R329" s="27">
        <v>1.0522925872159743</v>
      </c>
      <c r="S329" s="154"/>
      <c r="T329">
        <v>1.0345231216811011</v>
      </c>
      <c r="U329">
        <v>2.1866177116286294</v>
      </c>
      <c r="V329">
        <v>3.1244329110236317</v>
      </c>
      <c r="W329">
        <v>1</v>
      </c>
      <c r="Y329" s="2">
        <v>1291.1543273166287</v>
      </c>
      <c r="Z329" s="2">
        <v>5983.3466699368801</v>
      </c>
      <c r="AA329" s="2">
        <v>1433.3182868093315</v>
      </c>
      <c r="AB329" s="2">
        <v>3633.3878343975189</v>
      </c>
      <c r="AC329" s="2">
        <v>400.18169717605832</v>
      </c>
      <c r="AD329" s="2">
        <v>1594.8135955005066</v>
      </c>
      <c r="AE329" s="2">
        <v>541.94270537148793</v>
      </c>
      <c r="AF329" s="2">
        <v>1076.3524972909902</v>
      </c>
      <c r="AG329" s="2">
        <v>107.26657842906344</v>
      </c>
      <c r="AH329" s="2">
        <v>276.41255267944513</v>
      </c>
      <c r="AI329" s="2">
        <v>505979.87548787676</v>
      </c>
      <c r="AJ329" s="2">
        <v>474248.2790231753</v>
      </c>
      <c r="AL329" s="27">
        <v>0.91803377712324752</v>
      </c>
      <c r="AM329" s="27">
        <v>0.91136941022511586</v>
      </c>
      <c r="AN329" s="27">
        <v>0.90499337817877501</v>
      </c>
      <c r="AO329" s="27">
        <v>0.89453457054399355</v>
      </c>
      <c r="AP329" s="27">
        <v>0.71581614814173689</v>
      </c>
      <c r="AQ329" s="27">
        <v>0.91803377712324752</v>
      </c>
      <c r="AR329" s="27">
        <v>0.91136941022511586</v>
      </c>
      <c r="AS329" s="27">
        <v>0.90499337817877501</v>
      </c>
      <c r="AT329" s="27">
        <v>0.89453457054399355</v>
      </c>
      <c r="AU329" s="27">
        <v>0.71581614814173689</v>
      </c>
      <c r="AW329" s="1">
        <v>13.451055369289625</v>
      </c>
      <c r="AX329" s="1">
        <v>15.370951423774834</v>
      </c>
      <c r="AY329" s="2">
        <v>1899259.9105759244</v>
      </c>
      <c r="AZ329" s="1">
        <v>15.404386857860525</v>
      </c>
      <c r="BA329" s="1">
        <v>17.313335170864402</v>
      </c>
      <c r="BB329" s="2">
        <v>1355547.949638281</v>
      </c>
      <c r="BC329" s="2">
        <f t="shared" si="42"/>
        <v>-543711.96093764342</v>
      </c>
      <c r="BD329" s="292">
        <f t="shared" si="43"/>
        <v>1.9533314885708997</v>
      </c>
      <c r="BF329" s="170">
        <f t="shared" si="38"/>
        <v>252908.94851041539</v>
      </c>
      <c r="BG329" s="2">
        <f t="shared" si="39"/>
        <v>1109153.9476194028</v>
      </c>
      <c r="BI329">
        <f t="shared" si="40"/>
        <v>0</v>
      </c>
      <c r="BJ329" s="95">
        <f t="shared" si="41"/>
        <v>1</v>
      </c>
      <c r="BP329" s="217">
        <f t="shared" si="44"/>
        <v>1109153.9476194028</v>
      </c>
    </row>
    <row r="330" spans="1:68">
      <c r="A330" s="11">
        <v>324</v>
      </c>
      <c r="C330" s="27">
        <v>0.92628840813270807</v>
      </c>
      <c r="D330" s="27">
        <v>7.371159186729187E-2</v>
      </c>
      <c r="E330" s="27">
        <v>0</v>
      </c>
      <c r="F330" s="27">
        <v>0.85574480193410696</v>
      </c>
      <c r="G330" s="27">
        <v>0.14425519806589304</v>
      </c>
      <c r="H330" s="27">
        <v>0</v>
      </c>
      <c r="I330" s="27">
        <v>0.75789910330264132</v>
      </c>
      <c r="J330" s="27">
        <v>0.24210089669735865</v>
      </c>
      <c r="K330" s="27">
        <v>0</v>
      </c>
      <c r="L330" s="27">
        <v>0.11677092020102642</v>
      </c>
      <c r="M330" s="27">
        <v>0.5205330399900534</v>
      </c>
      <c r="N330" s="27">
        <v>0.36269603980892018</v>
      </c>
      <c r="O330" s="27">
        <v>-11.224718696454932</v>
      </c>
      <c r="P330" s="27">
        <v>3.6576395896159943E-2</v>
      </c>
      <c r="Q330" s="27">
        <v>6.1991699010130699E-5</v>
      </c>
      <c r="R330" s="27">
        <v>1.0698127054691997</v>
      </c>
      <c r="S330" s="154"/>
      <c r="T330">
        <v>1.0221650617386864</v>
      </c>
      <c r="U330">
        <v>2.245599633425968</v>
      </c>
      <c r="V330">
        <v>2.9184306532236981</v>
      </c>
      <c r="W330">
        <v>1</v>
      </c>
      <c r="Y330" s="2">
        <v>1325.9071101421675</v>
      </c>
      <c r="Z330" s="2">
        <v>1471.0594537993559</v>
      </c>
      <c r="AA330" s="2">
        <v>460.92598965519932</v>
      </c>
      <c r="AB330" s="2">
        <v>8456.4528086763148</v>
      </c>
      <c r="AC330" s="2">
        <v>3741.2937070924158</v>
      </c>
      <c r="AD330" s="2">
        <v>2636.6163726545033</v>
      </c>
      <c r="AE330" s="2">
        <v>594.5709209963253</v>
      </c>
      <c r="AF330" s="2">
        <v>1189.6402001446122</v>
      </c>
      <c r="AG330" s="2">
        <v>115.3126233558976</v>
      </c>
      <c r="AH330" s="2">
        <v>547.48802469190764</v>
      </c>
      <c r="AI330" s="2">
        <v>519151.16631453222</v>
      </c>
      <c r="AJ330" s="2">
        <v>493663.71057470795</v>
      </c>
      <c r="AL330" s="27">
        <v>0.91477501563162633</v>
      </c>
      <c r="AM330" s="27">
        <v>0.91340000953933653</v>
      </c>
      <c r="AN330" s="27">
        <v>0.9071659557566355</v>
      </c>
      <c r="AO330" s="27">
        <v>0.8742181809622358</v>
      </c>
      <c r="AP330" s="27">
        <v>0.61236720456180382</v>
      </c>
      <c r="AQ330" s="27">
        <v>0.91477501563162633</v>
      </c>
      <c r="AR330" s="27">
        <v>0.91340000953933653</v>
      </c>
      <c r="AS330" s="27">
        <v>0.9071659557566355</v>
      </c>
      <c r="AT330" s="27">
        <v>0.8742181809622358</v>
      </c>
      <c r="AU330" s="27">
        <v>0.61236720456180382</v>
      </c>
      <c r="AW330" s="1">
        <v>13.390905595292436</v>
      </c>
      <c r="AX330" s="1">
        <v>15.763335267740906</v>
      </c>
      <c r="AY330" s="2">
        <v>2090243.0312936809</v>
      </c>
      <c r="AZ330" s="1">
        <v>15.308595216987086</v>
      </c>
      <c r="BA330" s="1">
        <v>17.53646982456743</v>
      </c>
      <c r="BB330" s="2">
        <v>1601063.5847495068</v>
      </c>
      <c r="BC330" s="2">
        <f t="shared" si="42"/>
        <v>-489179.4465441741</v>
      </c>
      <c r="BD330" s="292">
        <f t="shared" si="43"/>
        <v>1.9176896216946506</v>
      </c>
      <c r="BF330" s="170">
        <f t="shared" si="38"/>
        <v>52301.863953108899</v>
      </c>
      <c r="BG330" s="2">
        <f t="shared" si="39"/>
        <v>848311.64996842714</v>
      </c>
      <c r="BI330">
        <f t="shared" si="40"/>
        <v>0</v>
      </c>
      <c r="BJ330" s="95">
        <f t="shared" si="41"/>
        <v>1</v>
      </c>
      <c r="BP330" s="217">
        <f t="shared" si="44"/>
        <v>848311.64996842714</v>
      </c>
    </row>
    <row r="331" spans="1:68">
      <c r="A331" s="11">
        <v>325</v>
      </c>
      <c r="C331" s="27">
        <v>0.92438693117123261</v>
      </c>
      <c r="D331" s="27">
        <v>7.5613068828767421E-2</v>
      </c>
      <c r="E331" s="27">
        <v>0</v>
      </c>
      <c r="F331" s="27">
        <v>0.85871950617109949</v>
      </c>
      <c r="G331" s="27">
        <v>0.14128049382890051</v>
      </c>
      <c r="H331" s="27">
        <v>0</v>
      </c>
      <c r="I331" s="27">
        <v>0.74467307488348244</v>
      </c>
      <c r="J331" s="27">
        <v>0.25532692511651756</v>
      </c>
      <c r="K331" s="27">
        <v>0</v>
      </c>
      <c r="L331" s="27">
        <v>0.1276315402233732</v>
      </c>
      <c r="M331" s="27">
        <v>0.49389329624441997</v>
      </c>
      <c r="N331" s="27">
        <v>0.37847516353220678</v>
      </c>
      <c r="O331" s="27">
        <v>-11.038752547474301</v>
      </c>
      <c r="P331" s="27">
        <v>3.2693371377006196E-2</v>
      </c>
      <c r="Q331" s="27">
        <v>6.3426363832219491E-5</v>
      </c>
      <c r="R331" s="27">
        <v>1.0742867282953814</v>
      </c>
      <c r="S331" s="154"/>
      <c r="T331">
        <v>0.95927040737905001</v>
      </c>
      <c r="U331">
        <v>2.282151625148662</v>
      </c>
      <c r="V331">
        <v>3.1061943709536659</v>
      </c>
      <c r="W331">
        <v>1</v>
      </c>
      <c r="Y331" s="2">
        <v>742.20551600842737</v>
      </c>
      <c r="Z331" s="2">
        <v>6224.8718725413955</v>
      </c>
      <c r="AA331" s="2">
        <v>728.46027050473447</v>
      </c>
      <c r="AB331" s="2">
        <v>40519.390163299722</v>
      </c>
      <c r="AC331" s="2">
        <v>1381.8560709510195</v>
      </c>
      <c r="AD331" s="2">
        <v>136.83271581650234</v>
      </c>
      <c r="AE331" s="2">
        <v>554.8682349364052</v>
      </c>
      <c r="AF331" s="2">
        <v>1314.1175295107298</v>
      </c>
      <c r="AG331" s="2">
        <v>138.51564985536228</v>
      </c>
      <c r="AH331" s="2">
        <v>281.60993338567982</v>
      </c>
      <c r="AI331" s="2">
        <v>419533.46589268534</v>
      </c>
      <c r="AJ331" s="2">
        <v>395176.3748470688</v>
      </c>
      <c r="AL331" s="27">
        <v>0.9248917099855436</v>
      </c>
      <c r="AM331" s="27">
        <v>0.91649608631616797</v>
      </c>
      <c r="AN331" s="27">
        <v>0.90730571965035633</v>
      </c>
      <c r="AO331" s="27">
        <v>0.86685627447820712</v>
      </c>
      <c r="AP331" s="27">
        <v>0.66645473116044018</v>
      </c>
      <c r="AQ331" s="27">
        <v>0.9248917099855436</v>
      </c>
      <c r="AR331" s="27">
        <v>0.91649608631616797</v>
      </c>
      <c r="AS331" s="27">
        <v>0.90730571965035633</v>
      </c>
      <c r="AT331" s="27">
        <v>0.86685627447820712</v>
      </c>
      <c r="AU331" s="27">
        <v>0.66645473116044018</v>
      </c>
      <c r="AW331" s="1">
        <v>13.596805640634146</v>
      </c>
      <c r="AX331" s="1">
        <v>15.622867507375217</v>
      </c>
      <c r="AY331" s="2">
        <v>1598280.07522836</v>
      </c>
      <c r="AZ331" s="1">
        <v>15.368534846420133</v>
      </c>
      <c r="BA331" s="1">
        <v>17.328696827558446</v>
      </c>
      <c r="BB331" s="2">
        <v>1768066.9287059859</v>
      </c>
      <c r="BC331" s="2">
        <f t="shared" si="42"/>
        <v>169786.85347762587</v>
      </c>
      <c r="BD331" s="292">
        <f t="shared" si="43"/>
        <v>1.7717292057859861</v>
      </c>
      <c r="BF331" s="170">
        <f t="shared" si="38"/>
        <v>577208.82727310341</v>
      </c>
      <c r="BG331" s="2">
        <f t="shared" si="39"/>
        <v>690898.64672123524</v>
      </c>
      <c r="BI331">
        <f t="shared" si="40"/>
        <v>0</v>
      </c>
      <c r="BJ331" s="95">
        <f t="shared" si="41"/>
        <v>1</v>
      </c>
      <c r="BP331" s="217">
        <f t="shared" si="44"/>
        <v>690898.64672123524</v>
      </c>
    </row>
    <row r="332" spans="1:68">
      <c r="A332" s="11">
        <v>326</v>
      </c>
      <c r="C332" s="27">
        <v>0.92155802466892711</v>
      </c>
      <c r="D332" s="27">
        <v>7.8441975331072888E-2</v>
      </c>
      <c r="E332" s="27">
        <v>0</v>
      </c>
      <c r="F332" s="27">
        <v>0.85950808074358653</v>
      </c>
      <c r="G332" s="27">
        <v>0.14049191925641349</v>
      </c>
      <c r="H332" s="27">
        <v>0</v>
      </c>
      <c r="I332" s="27">
        <v>0.74969533992692994</v>
      </c>
      <c r="J332" s="27">
        <v>0.25030466007307006</v>
      </c>
      <c r="K332" s="27">
        <v>0</v>
      </c>
      <c r="L332" s="27">
        <v>0.16652915913047095</v>
      </c>
      <c r="M332" s="27">
        <v>0.49469055650516658</v>
      </c>
      <c r="N332" s="27">
        <v>0.33878028436436247</v>
      </c>
      <c r="O332" s="27">
        <v>-11.101190952364663</v>
      </c>
      <c r="P332" s="27">
        <v>3.4511743806110558E-2</v>
      </c>
      <c r="Q332" s="27">
        <v>6.4316283735425019E-5</v>
      </c>
      <c r="R332" s="27">
        <v>1.0680787361117599</v>
      </c>
      <c r="S332" s="154"/>
      <c r="T332">
        <v>1.0591352994256908</v>
      </c>
      <c r="U332">
        <v>2.2791428871563144</v>
      </c>
      <c r="V332">
        <v>2.8998198910126955</v>
      </c>
      <c r="W332">
        <v>1</v>
      </c>
      <c r="Y332" s="2">
        <v>98.313360153905407</v>
      </c>
      <c r="Z332" s="2">
        <v>8449.068490233456</v>
      </c>
      <c r="AA332" s="2">
        <v>1764.3346036216053</v>
      </c>
      <c r="AB332" s="2">
        <v>1072.9392718717556</v>
      </c>
      <c r="AC332" s="2">
        <v>112.87516724532476</v>
      </c>
      <c r="AD332" s="2">
        <v>602.06558991198472</v>
      </c>
      <c r="AE332" s="2">
        <v>517.84979325511563</v>
      </c>
      <c r="AF332" s="2">
        <v>1628.6454552543266</v>
      </c>
      <c r="AG332" s="2">
        <v>167.72468872791376</v>
      </c>
      <c r="AH332" s="2">
        <v>382.16484293972769</v>
      </c>
      <c r="AI332" s="2">
        <v>463820.14769634895</v>
      </c>
      <c r="AJ332" s="2">
        <v>436620.38802250486</v>
      </c>
      <c r="AL332" s="27">
        <v>0.91137463914014583</v>
      </c>
      <c r="AM332" s="27">
        <v>0.91329827551167264</v>
      </c>
      <c r="AN332" s="27">
        <v>0.90882340172821219</v>
      </c>
      <c r="AO332" s="27">
        <v>0.82783166917451889</v>
      </c>
      <c r="AP332" s="27">
        <v>0.764166915504081</v>
      </c>
      <c r="AQ332" s="27">
        <v>0.91137463914014583</v>
      </c>
      <c r="AR332" s="27">
        <v>0.91329827551167264</v>
      </c>
      <c r="AS332" s="27">
        <v>0.90882340172821219</v>
      </c>
      <c r="AT332" s="27">
        <v>0.82783166917451889</v>
      </c>
      <c r="AU332" s="27">
        <v>0.764166915504081</v>
      </c>
      <c r="AW332" s="1">
        <v>13.579590373932609</v>
      </c>
      <c r="AX332" s="1">
        <v>15.515800493533501</v>
      </c>
      <c r="AY332" s="2">
        <v>1961919.7650173884</v>
      </c>
      <c r="AZ332" s="1">
        <v>15.506390348389942</v>
      </c>
      <c r="BA332" s="1">
        <v>17.440191274057</v>
      </c>
      <c r="BB332" s="2">
        <v>1342601.8980670609</v>
      </c>
      <c r="BC332" s="2">
        <f t="shared" si="42"/>
        <v>-619317.86695032753</v>
      </c>
      <c r="BD332" s="292">
        <f t="shared" si="43"/>
        <v>1.9267999744573334</v>
      </c>
      <c r="BF332" s="170">
        <f t="shared" si="38"/>
        <v>210814.6948118289</v>
      </c>
      <c r="BG332" s="2">
        <f t="shared" si="39"/>
        <v>1138420.55767533</v>
      </c>
      <c r="BI332">
        <f t="shared" si="40"/>
        <v>0</v>
      </c>
      <c r="BJ332" s="95">
        <f t="shared" si="41"/>
        <v>1</v>
      </c>
      <c r="BP332" s="217">
        <f t="shared" si="44"/>
        <v>1138420.55767533</v>
      </c>
    </row>
    <row r="333" spans="1:68">
      <c r="A333" s="11">
        <v>327</v>
      </c>
      <c r="C333" s="27">
        <v>0.92537523051050186</v>
      </c>
      <c r="D333" s="27">
        <v>7.4624769489498158E-2</v>
      </c>
      <c r="E333" s="27">
        <v>0</v>
      </c>
      <c r="F333" s="27">
        <v>0.8552521288037469</v>
      </c>
      <c r="G333" s="27">
        <v>0.1447478711962531</v>
      </c>
      <c r="H333" s="27">
        <v>0</v>
      </c>
      <c r="I333" s="27">
        <v>0.7471084152108769</v>
      </c>
      <c r="J333" s="27">
        <v>0.2528915847891231</v>
      </c>
      <c r="K333" s="27">
        <v>0</v>
      </c>
      <c r="L333" s="27">
        <v>0.11418202330940447</v>
      </c>
      <c r="M333" s="27">
        <v>0.52615017768873606</v>
      </c>
      <c r="N333" s="27">
        <v>0.35966779900185947</v>
      </c>
      <c r="O333" s="27">
        <v>-11.0954789180325</v>
      </c>
      <c r="P333" s="27">
        <v>3.4638507546156438E-2</v>
      </c>
      <c r="Q333" s="27">
        <v>6.5030016581955243E-5</v>
      </c>
      <c r="R333" s="27">
        <v>1.0641333381669589</v>
      </c>
      <c r="S333" s="154"/>
      <c r="T333">
        <v>0.97072755959018364</v>
      </c>
      <c r="U333">
        <v>2.2770106551578246</v>
      </c>
      <c r="V333">
        <v>3.0266880332105806</v>
      </c>
      <c r="W333">
        <v>1</v>
      </c>
      <c r="Y333" s="2">
        <v>444.27991084015207</v>
      </c>
      <c r="Z333" s="2">
        <v>17212.582769844885</v>
      </c>
      <c r="AA333" s="2">
        <v>1618.1821100029963</v>
      </c>
      <c r="AB333" s="2">
        <v>1825.2052358703031</v>
      </c>
      <c r="AC333" s="2">
        <v>357.30630485948012</v>
      </c>
      <c r="AD333" s="2">
        <v>401.03410030947271</v>
      </c>
      <c r="AE333" s="2">
        <v>569.21710703592703</v>
      </c>
      <c r="AF333" s="2">
        <v>1034.3027202958599</v>
      </c>
      <c r="AG333" s="2">
        <v>195.22175732187191</v>
      </c>
      <c r="AH333" s="2">
        <v>328.90407471961504</v>
      </c>
      <c r="AI333" s="2">
        <v>500355.826292268</v>
      </c>
      <c r="AJ333" s="2">
        <v>475647.73219272919</v>
      </c>
      <c r="AL333" s="27">
        <v>0.9189315923676481</v>
      </c>
      <c r="AM333" s="27">
        <v>0.92163904762468529</v>
      </c>
      <c r="AN333" s="27">
        <v>0.90924425686937138</v>
      </c>
      <c r="AO333" s="27">
        <v>0.85138134289932954</v>
      </c>
      <c r="AP333" s="27">
        <v>0.69727545657019763</v>
      </c>
      <c r="AQ333" s="27">
        <v>0.9189315923676481</v>
      </c>
      <c r="AR333" s="27">
        <v>0.92163904762468529</v>
      </c>
      <c r="AS333" s="27">
        <v>0.90924425686937138</v>
      </c>
      <c r="AT333" s="27">
        <v>0.85138134289932954</v>
      </c>
      <c r="AU333" s="27">
        <v>0.69727545657019763</v>
      </c>
      <c r="AW333" s="1">
        <v>13.793049617171503</v>
      </c>
      <c r="AX333" s="1">
        <v>15.851204295500429</v>
      </c>
      <c r="AY333" s="2">
        <v>2177834.1784996861</v>
      </c>
      <c r="AZ333" s="1">
        <v>15.510212544485379</v>
      </c>
      <c r="BA333" s="1">
        <v>17.492225219990186</v>
      </c>
      <c r="BB333" s="2">
        <v>1453484.7339530531</v>
      </c>
      <c r="BC333" s="2">
        <f t="shared" si="42"/>
        <v>-724349.44454663293</v>
      </c>
      <c r="BD333" s="292">
        <f t="shared" si="43"/>
        <v>1.7171629273138755</v>
      </c>
      <c r="BF333" s="170">
        <f t="shared" si="38"/>
        <v>29053.760247754399</v>
      </c>
      <c r="BG333" s="2">
        <f t="shared" si="39"/>
        <v>1028149.2731646076</v>
      </c>
      <c r="BI333">
        <f t="shared" si="40"/>
        <v>0</v>
      </c>
      <c r="BJ333" s="95">
        <f t="shared" si="41"/>
        <v>1</v>
      </c>
      <c r="BP333" s="217">
        <f t="shared" si="44"/>
        <v>1028149.2731646076</v>
      </c>
    </row>
    <row r="334" spans="1:68">
      <c r="A334" s="11">
        <v>328</v>
      </c>
      <c r="C334" s="27">
        <v>0.92230168218156883</v>
      </c>
      <c r="D334" s="27">
        <v>7.7698317818431173E-2</v>
      </c>
      <c r="E334" s="27">
        <v>0</v>
      </c>
      <c r="F334" s="27">
        <v>0.85750743242335969</v>
      </c>
      <c r="G334" s="27">
        <v>0.14249256757664031</v>
      </c>
      <c r="H334" s="27">
        <v>0</v>
      </c>
      <c r="I334" s="27">
        <v>0.75054098550404647</v>
      </c>
      <c r="J334" s="27">
        <v>0.24945901449595353</v>
      </c>
      <c r="K334" s="27">
        <v>0</v>
      </c>
      <c r="L334" s="27">
        <v>0.11675058033241037</v>
      </c>
      <c r="M334" s="27">
        <v>0.55144709195179942</v>
      </c>
      <c r="N334" s="27">
        <v>0.33180232771579021</v>
      </c>
      <c r="O334" s="27">
        <v>-11.117240759008519</v>
      </c>
      <c r="P334" s="27">
        <v>3.6924386266851718E-2</v>
      </c>
      <c r="Q334" s="27">
        <v>7.0041927159313736E-5</v>
      </c>
      <c r="R334" s="27">
        <v>1.050950904861478</v>
      </c>
      <c r="S334" s="154"/>
      <c r="T334">
        <v>1.0534657570065225</v>
      </c>
      <c r="U334">
        <v>2.2203599878956806</v>
      </c>
      <c r="V334">
        <v>3.1426739786424887</v>
      </c>
      <c r="W334">
        <v>1</v>
      </c>
      <c r="Y334" s="2">
        <v>591.35774160918072</v>
      </c>
      <c r="Z334" s="2">
        <v>3886.8422099927311</v>
      </c>
      <c r="AA334" s="2">
        <v>453.72399118914302</v>
      </c>
      <c r="AB334" s="2">
        <v>4298.8186687563821</v>
      </c>
      <c r="AC334" s="2">
        <v>490.1193663528552</v>
      </c>
      <c r="AD334" s="2">
        <v>1177.1088200331594</v>
      </c>
      <c r="AE334" s="2">
        <v>613.1006232616395</v>
      </c>
      <c r="AF334" s="2">
        <v>1438.2945600876767</v>
      </c>
      <c r="AG334" s="2">
        <v>163.39703412418521</v>
      </c>
      <c r="AH334" s="2">
        <v>498.54719258953463</v>
      </c>
      <c r="AI334" s="2">
        <v>753411.44112993218</v>
      </c>
      <c r="AJ334" s="2">
        <v>716976.78261001536</v>
      </c>
      <c r="AL334" s="27">
        <v>0.92042235149043417</v>
      </c>
      <c r="AM334" s="27">
        <v>0.90684732708246862</v>
      </c>
      <c r="AN334" s="27">
        <v>0.9095656979912965</v>
      </c>
      <c r="AO334" s="27">
        <v>0.86118350679815669</v>
      </c>
      <c r="AP334" s="27">
        <v>0.69119960626369836</v>
      </c>
      <c r="AQ334" s="27">
        <v>0.92042235149043417</v>
      </c>
      <c r="AR334" s="27">
        <v>0.90684732708246862</v>
      </c>
      <c r="AS334" s="27">
        <v>0.9095656979912965</v>
      </c>
      <c r="AT334" s="27">
        <v>0.86118350679815669</v>
      </c>
      <c r="AU334" s="27">
        <v>0.69119960626369836</v>
      </c>
      <c r="AW334" s="1">
        <v>13.608658824037144</v>
      </c>
      <c r="AX334" s="1">
        <v>15.791088383655659</v>
      </c>
      <c r="AY334" s="2">
        <v>3352756.3845150904</v>
      </c>
      <c r="AZ334" s="1">
        <v>15.526802848163067</v>
      </c>
      <c r="BA334" s="1">
        <v>17.615747572205255</v>
      </c>
      <c r="BB334" s="2">
        <v>2366881.3425743016</v>
      </c>
      <c r="BC334" s="2">
        <f t="shared" si="42"/>
        <v>-985875.04194078874</v>
      </c>
      <c r="BD334" s="292">
        <f t="shared" si="43"/>
        <v>1.9181440241259224</v>
      </c>
      <c r="BF334" s="170">
        <f t="shared" si="38"/>
        <v>-1175370.9726691474</v>
      </c>
      <c r="BG334" s="2">
        <f t="shared" si="39"/>
        <v>117407.11313178902</v>
      </c>
      <c r="BI334">
        <f t="shared" si="40"/>
        <v>0</v>
      </c>
      <c r="BJ334" s="95">
        <f t="shared" si="41"/>
        <v>1</v>
      </c>
      <c r="BP334" s="217">
        <f t="shared" si="44"/>
        <v>117407.11313178902</v>
      </c>
    </row>
    <row r="335" spans="1:68">
      <c r="A335" s="11">
        <v>329</v>
      </c>
      <c r="C335" s="27">
        <v>0.92192667420664276</v>
      </c>
      <c r="D335" s="27">
        <v>7.807332579335724E-2</v>
      </c>
      <c r="E335" s="27">
        <v>0</v>
      </c>
      <c r="F335" s="27">
        <v>0.85571485149635607</v>
      </c>
      <c r="G335" s="27">
        <v>0.14428514850364393</v>
      </c>
      <c r="H335" s="27">
        <v>0</v>
      </c>
      <c r="I335" s="27">
        <v>0.74555171421307509</v>
      </c>
      <c r="J335" s="27">
        <v>0.25444828578692491</v>
      </c>
      <c r="K335" s="27">
        <v>0</v>
      </c>
      <c r="L335" s="27">
        <v>5.3659682584495216E-2</v>
      </c>
      <c r="M335" s="27">
        <v>0.57769568145907169</v>
      </c>
      <c r="N335" s="27">
        <v>0.3686446359564331</v>
      </c>
      <c r="O335" s="27">
        <v>-11.515161942286475</v>
      </c>
      <c r="P335" s="27">
        <v>3.4555496008609049E-2</v>
      </c>
      <c r="Q335" s="27">
        <v>4.2592553947772155E-5</v>
      </c>
      <c r="R335" s="27">
        <v>1.1212360867094597</v>
      </c>
      <c r="S335" s="154"/>
      <c r="T335">
        <v>1.0182093402226498</v>
      </c>
      <c r="U335">
        <v>2.2330711843307309</v>
      </c>
      <c r="V335">
        <v>3.2029414824713562</v>
      </c>
      <c r="W335">
        <v>1</v>
      </c>
      <c r="Y335" s="2">
        <v>1290.6310100016465</v>
      </c>
      <c r="Z335" s="2">
        <v>3117.6607648804584</v>
      </c>
      <c r="AA335" s="2">
        <v>2108.7704407081651</v>
      </c>
      <c r="AB335" s="2">
        <v>4077.9302714490605</v>
      </c>
      <c r="AC335" s="2">
        <v>1296.6167472552168</v>
      </c>
      <c r="AD335" s="2">
        <v>88.638300640057267</v>
      </c>
      <c r="AE335" s="2">
        <v>538.1307196492744</v>
      </c>
      <c r="AF335" s="2">
        <v>974.6689342034407</v>
      </c>
      <c r="AG335" s="2">
        <v>105.80105366419056</v>
      </c>
      <c r="AH335" s="2">
        <v>459.34885708122374</v>
      </c>
      <c r="AI335" s="2">
        <v>569132.73907406442</v>
      </c>
      <c r="AJ335" s="2">
        <v>541179.14100341417</v>
      </c>
      <c r="AL335" s="27">
        <v>0.91990771372779645</v>
      </c>
      <c r="AM335" s="27">
        <v>0.90741188188141031</v>
      </c>
      <c r="AN335" s="27">
        <v>0.91616528736330771</v>
      </c>
      <c r="AO335" s="27">
        <v>0.85741604874814326</v>
      </c>
      <c r="AP335" s="27">
        <v>0.69853446891726245</v>
      </c>
      <c r="AQ335" s="27">
        <v>0.91990771372779645</v>
      </c>
      <c r="AR335" s="27">
        <v>0.90741188188141031</v>
      </c>
      <c r="AS335" s="27">
        <v>0.91616528736330771</v>
      </c>
      <c r="AT335" s="27">
        <v>0.85741604874814326</v>
      </c>
      <c r="AU335" s="27">
        <v>0.69853446891726245</v>
      </c>
      <c r="AW335" s="1">
        <v>13.436882470397256</v>
      </c>
      <c r="AX335" s="1">
        <v>15.492027574731351</v>
      </c>
      <c r="AY335" s="2">
        <v>2322064.7329893759</v>
      </c>
      <c r="AZ335" s="1">
        <v>15.336773421911303</v>
      </c>
      <c r="BA335" s="1">
        <v>17.335310240380224</v>
      </c>
      <c r="BB335" s="2">
        <v>1686768.9781090722</v>
      </c>
      <c r="BC335" s="2">
        <f t="shared" si="42"/>
        <v>-635295.75488030375</v>
      </c>
      <c r="BD335" s="292">
        <f t="shared" si="43"/>
        <v>1.8998909515140472</v>
      </c>
      <c r="BF335" s="170">
        <f t="shared" si="38"/>
        <v>-172163.53772581508</v>
      </c>
      <c r="BG335" s="2">
        <f t="shared" si="39"/>
        <v>767114.76939673652</v>
      </c>
      <c r="BI335">
        <f t="shared" si="40"/>
        <v>0</v>
      </c>
      <c r="BJ335" s="95">
        <f t="shared" si="41"/>
        <v>1</v>
      </c>
      <c r="BP335" s="217">
        <f t="shared" si="44"/>
        <v>767114.76939673652</v>
      </c>
    </row>
    <row r="336" spans="1:68">
      <c r="A336" s="11">
        <v>330</v>
      </c>
      <c r="C336" s="27">
        <v>0.92504523746118572</v>
      </c>
      <c r="D336" s="27">
        <v>7.4954762538814251E-2</v>
      </c>
      <c r="E336" s="27">
        <v>0</v>
      </c>
      <c r="F336" s="27">
        <v>0.8610533906921124</v>
      </c>
      <c r="G336" s="27">
        <v>0.13894660930788758</v>
      </c>
      <c r="H336" s="27">
        <v>0</v>
      </c>
      <c r="I336" s="27">
        <v>0.74303360622140868</v>
      </c>
      <c r="J336" s="27">
        <v>0.25696639377859132</v>
      </c>
      <c r="K336" s="27">
        <v>0</v>
      </c>
      <c r="L336" s="27">
        <v>8.2486209586196901E-2</v>
      </c>
      <c r="M336" s="27">
        <v>0.51176485317649612</v>
      </c>
      <c r="N336" s="27">
        <v>0.40574893723730698</v>
      </c>
      <c r="O336" s="27">
        <v>-11.283093188566781</v>
      </c>
      <c r="P336" s="27">
        <v>3.6558720563658387E-2</v>
      </c>
      <c r="Q336" s="27">
        <v>5.8433165618925713E-5</v>
      </c>
      <c r="R336" s="27">
        <v>1.0748391127951868</v>
      </c>
      <c r="S336" s="154"/>
      <c r="T336">
        <v>1.1505926124752248</v>
      </c>
      <c r="U336">
        <v>2.3086854000663353</v>
      </c>
      <c r="V336">
        <v>3.0519817581534636</v>
      </c>
      <c r="W336">
        <v>1</v>
      </c>
      <c r="Y336" s="2">
        <v>375.84438282197721</v>
      </c>
      <c r="Z336" s="2">
        <v>752.36369045773858</v>
      </c>
      <c r="AA336" s="2">
        <v>746.15834914810819</v>
      </c>
      <c r="AB336" s="2">
        <v>918.37276581081278</v>
      </c>
      <c r="AC336" s="2">
        <v>449.52652037420808</v>
      </c>
      <c r="AD336" s="2">
        <v>338.74609713392664</v>
      </c>
      <c r="AE336" s="2">
        <v>539.78450716385123</v>
      </c>
      <c r="AF336" s="2">
        <v>1234.3492373710699</v>
      </c>
      <c r="AG336" s="2">
        <v>128.12725834198136</v>
      </c>
      <c r="AH336" s="2">
        <v>291.87744945491409</v>
      </c>
      <c r="AI336" s="2">
        <v>504607.06711110671</v>
      </c>
      <c r="AJ336" s="2">
        <v>472248.63148261473</v>
      </c>
      <c r="AL336" s="27">
        <v>0.91773800977210063</v>
      </c>
      <c r="AM336" s="27">
        <v>0.9121028747629002</v>
      </c>
      <c r="AN336" s="27">
        <v>0.90143263722439837</v>
      </c>
      <c r="AO336" s="27">
        <v>0.85902525986352085</v>
      </c>
      <c r="AP336" s="27">
        <v>0.72379221826577678</v>
      </c>
      <c r="AQ336" s="27">
        <v>0.91773800977210063</v>
      </c>
      <c r="AR336" s="27">
        <v>0.9121028747629002</v>
      </c>
      <c r="AS336" s="27">
        <v>0.90143263722439837</v>
      </c>
      <c r="AT336" s="27">
        <v>0.85902525986352085</v>
      </c>
      <c r="AU336" s="27">
        <v>0.72379221826577678</v>
      </c>
      <c r="AW336" s="1">
        <v>13.198045583708303</v>
      </c>
      <c r="AX336" s="1">
        <v>15.157420314425002</v>
      </c>
      <c r="AY336" s="2">
        <v>1976275.2641062324</v>
      </c>
      <c r="AZ336" s="1">
        <v>15.438528025051752</v>
      </c>
      <c r="BA336" s="1">
        <v>17.372877599146847</v>
      </c>
      <c r="BB336" s="2">
        <v>1326685.0104686194</v>
      </c>
      <c r="BC336" s="2">
        <f t="shared" si="42"/>
        <v>-649590.25363761303</v>
      </c>
      <c r="BD336" s="292">
        <f t="shared" si="43"/>
        <v>2.240482441343449</v>
      </c>
      <c r="BF336" s="170">
        <f t="shared" si="38"/>
        <v>135412.02928709635</v>
      </c>
      <c r="BG336" s="2">
        <f t="shared" si="39"/>
        <v>1143479.4735396612</v>
      </c>
      <c r="BI336">
        <f t="shared" si="40"/>
        <v>0</v>
      </c>
      <c r="BJ336" s="95">
        <f t="shared" si="41"/>
        <v>1</v>
      </c>
      <c r="BP336" s="217">
        <f t="shared" si="44"/>
        <v>1143479.4735396612</v>
      </c>
    </row>
    <row r="337" spans="1:68">
      <c r="A337" s="11">
        <v>331</v>
      </c>
      <c r="C337" s="27">
        <v>0.92088480932979566</v>
      </c>
      <c r="D337" s="27">
        <v>7.9115190670204338E-2</v>
      </c>
      <c r="E337" s="27">
        <v>0</v>
      </c>
      <c r="F337" s="27">
        <v>0.85951220890170965</v>
      </c>
      <c r="G337" s="27">
        <v>0.14048779109829032</v>
      </c>
      <c r="H337" s="27">
        <v>0</v>
      </c>
      <c r="I337" s="27">
        <v>0.75092549622867788</v>
      </c>
      <c r="J337" s="27">
        <v>0.24907450377132212</v>
      </c>
      <c r="K337" s="27">
        <v>0</v>
      </c>
      <c r="L337" s="27">
        <v>0.17787260278088074</v>
      </c>
      <c r="M337" s="27">
        <v>0.47325361647686803</v>
      </c>
      <c r="N337" s="27">
        <v>0.34887378074225123</v>
      </c>
      <c r="O337" s="27">
        <v>-11.241613495928441</v>
      </c>
      <c r="P337" s="27">
        <v>3.4836286836391527E-2</v>
      </c>
      <c r="Q337" s="27">
        <v>5.6657315216019712E-5</v>
      </c>
      <c r="R337" s="27">
        <v>1.0758475934051082</v>
      </c>
      <c r="S337" s="154"/>
      <c r="T337">
        <v>1.0709366978610952</v>
      </c>
      <c r="U337">
        <v>2.283330105643949</v>
      </c>
      <c r="V337">
        <v>3.0479331592176715</v>
      </c>
      <c r="W337">
        <v>1</v>
      </c>
      <c r="Y337" s="2">
        <v>585.324966779242</v>
      </c>
      <c r="Z337" s="2">
        <v>2849.3278200614964</v>
      </c>
      <c r="AA337" s="2">
        <v>2431.4248927164908</v>
      </c>
      <c r="AB337" s="2">
        <v>390.77383052127124</v>
      </c>
      <c r="AC337" s="2">
        <v>348.27083874885756</v>
      </c>
      <c r="AD337" s="2">
        <v>518.93568453544049</v>
      </c>
      <c r="AE337" s="2">
        <v>526.46679809527393</v>
      </c>
      <c r="AF337" s="2">
        <v>1263.441761686546</v>
      </c>
      <c r="AG337" s="2">
        <v>167.13495171980031</v>
      </c>
      <c r="AH337" s="2">
        <v>489.00924047378817</v>
      </c>
      <c r="AI337" s="2">
        <v>556941.67332900572</v>
      </c>
      <c r="AJ337" s="2">
        <v>531334.71176193072</v>
      </c>
      <c r="AL337" s="27">
        <v>0.9156436216772903</v>
      </c>
      <c r="AM337" s="27">
        <v>0.91421690100511799</v>
      </c>
      <c r="AN337" s="27">
        <v>0.91238434192620554</v>
      </c>
      <c r="AO337" s="27">
        <v>0.89815631280315955</v>
      </c>
      <c r="AP337" s="27">
        <v>0.7269019552119016</v>
      </c>
      <c r="AQ337" s="27">
        <v>0.9156436216772903</v>
      </c>
      <c r="AR337" s="27">
        <v>0.91421690100511799</v>
      </c>
      <c r="AS337" s="27">
        <v>0.91238434192620554</v>
      </c>
      <c r="AT337" s="27">
        <v>0.89815631280315955</v>
      </c>
      <c r="AU337" s="27">
        <v>0.7269019552119016</v>
      </c>
      <c r="AW337" s="1">
        <v>13.437875864100919</v>
      </c>
      <c r="AX337" s="1">
        <v>15.402390399785844</v>
      </c>
      <c r="AY337" s="2">
        <v>2297903.9308130317</v>
      </c>
      <c r="AZ337" s="1">
        <v>15.470709134599284</v>
      </c>
      <c r="BA337" s="1">
        <v>17.399481192099508</v>
      </c>
      <c r="BB337" s="2">
        <v>1592546.103564667</v>
      </c>
      <c r="BC337" s="2">
        <f t="shared" si="42"/>
        <v>-705357.82724836469</v>
      </c>
      <c r="BD337" s="292">
        <f t="shared" si="43"/>
        <v>2.0328332704983652</v>
      </c>
      <c r="BF337" s="170">
        <f t="shared" si="38"/>
        <v>-147843.7925568847</v>
      </c>
      <c r="BG337" s="2">
        <f t="shared" si="39"/>
        <v>882767.35797121841</v>
      </c>
      <c r="BI337">
        <f t="shared" si="40"/>
        <v>0</v>
      </c>
      <c r="BJ337" s="95">
        <f t="shared" si="41"/>
        <v>1</v>
      </c>
      <c r="BP337" s="217">
        <f t="shared" si="44"/>
        <v>882767.35797121841</v>
      </c>
    </row>
    <row r="338" spans="1:68">
      <c r="A338" s="11">
        <v>332</v>
      </c>
      <c r="C338" s="27">
        <v>0.91897185435956563</v>
      </c>
      <c r="D338" s="27">
        <v>8.1028145640434368E-2</v>
      </c>
      <c r="E338" s="27">
        <v>0</v>
      </c>
      <c r="F338" s="27">
        <v>0.85831301419832884</v>
      </c>
      <c r="G338" s="27">
        <v>0.14168698580167113</v>
      </c>
      <c r="H338" s="27">
        <v>0</v>
      </c>
      <c r="I338" s="27">
        <v>0.74097316704593852</v>
      </c>
      <c r="J338" s="27">
        <v>0.25902683295406148</v>
      </c>
      <c r="K338" s="27">
        <v>0</v>
      </c>
      <c r="L338" s="27">
        <v>0.1268858711691897</v>
      </c>
      <c r="M338" s="27">
        <v>0.50979328964878978</v>
      </c>
      <c r="N338" s="27">
        <v>0.36332083918202052</v>
      </c>
      <c r="O338" s="27">
        <v>-11.200846053902525</v>
      </c>
      <c r="P338" s="27">
        <v>3.2959770447504262E-2</v>
      </c>
      <c r="Q338" s="27">
        <v>5.4542208120567615E-5</v>
      </c>
      <c r="R338" s="27">
        <v>1.0946201953183659</v>
      </c>
      <c r="S338" s="154"/>
      <c r="T338">
        <v>1.0117354696005545</v>
      </c>
      <c r="U338">
        <v>2.304495750688913</v>
      </c>
      <c r="V338">
        <v>3.0472303258728441</v>
      </c>
      <c r="W338">
        <v>1</v>
      </c>
      <c r="Y338" s="2">
        <v>4016.501876033059</v>
      </c>
      <c r="Z338" s="2">
        <v>10506.776270706509</v>
      </c>
      <c r="AA338" s="2">
        <v>519.48403079659738</v>
      </c>
      <c r="AB338" s="2">
        <v>1408.0421687173764</v>
      </c>
      <c r="AC338" s="2">
        <v>734.08551253460462</v>
      </c>
      <c r="AD338" s="2">
        <v>1904.5500195427578</v>
      </c>
      <c r="AE338" s="2">
        <v>569.65512118103061</v>
      </c>
      <c r="AF338" s="2">
        <v>969.64580412326336</v>
      </c>
      <c r="AG338" s="2">
        <v>150.50146954984805</v>
      </c>
      <c r="AH338" s="2">
        <v>438.77667870941929</v>
      </c>
      <c r="AI338" s="2">
        <v>498605.3163758961</v>
      </c>
      <c r="AJ338" s="2">
        <v>459046.66187946411</v>
      </c>
      <c r="AL338" s="27">
        <v>0.91462902627571796</v>
      </c>
      <c r="AM338" s="27">
        <v>0.9167292419383184</v>
      </c>
      <c r="AN338" s="27">
        <v>0.90591330180893093</v>
      </c>
      <c r="AO338" s="27">
        <v>0.86004268816288409</v>
      </c>
      <c r="AP338" s="27">
        <v>0.75983592131941191</v>
      </c>
      <c r="AQ338" s="27">
        <v>0.91462902627571796</v>
      </c>
      <c r="AR338" s="27">
        <v>0.9167292419383184</v>
      </c>
      <c r="AS338" s="27">
        <v>0.90591330180893093</v>
      </c>
      <c r="AT338" s="27">
        <v>0.86004268816288409</v>
      </c>
      <c r="AU338" s="27">
        <v>0.75983592131941191</v>
      </c>
      <c r="AW338" s="1">
        <v>13.448774028277958</v>
      </c>
      <c r="AX338" s="1">
        <v>15.301600809503007</v>
      </c>
      <c r="AY338" s="2">
        <v>2053170.3461303604</v>
      </c>
      <c r="AZ338" s="1">
        <v>15.339118383242228</v>
      </c>
      <c r="BA338" s="1">
        <v>17.201291061747323</v>
      </c>
      <c r="BB338" s="2">
        <v>1373622.7158962009</v>
      </c>
      <c r="BC338" s="2">
        <f t="shared" si="42"/>
        <v>-679547.63023415953</v>
      </c>
      <c r="BD338" s="292">
        <f t="shared" si="43"/>
        <v>1.8903443549642702</v>
      </c>
      <c r="BF338" s="170">
        <f t="shared" si="38"/>
        <v>98633.498394113034</v>
      </c>
      <c r="BG338" s="2">
        <f t="shared" si="39"/>
        <v>1080636.2254225556</v>
      </c>
      <c r="BI338">
        <f t="shared" si="40"/>
        <v>0</v>
      </c>
      <c r="BJ338" s="95">
        <f t="shared" si="41"/>
        <v>1</v>
      </c>
      <c r="BP338" s="217">
        <f t="shared" si="44"/>
        <v>1080636.2254225556</v>
      </c>
    </row>
    <row r="339" spans="1:68">
      <c r="A339" s="11">
        <v>333</v>
      </c>
      <c r="C339" s="27">
        <v>0.92203709501325848</v>
      </c>
      <c r="D339" s="27">
        <v>7.7962904986741521E-2</v>
      </c>
      <c r="E339" s="27">
        <v>0</v>
      </c>
      <c r="F339" s="27">
        <v>0.85701474769944452</v>
      </c>
      <c r="G339" s="27">
        <v>0.14298525230055548</v>
      </c>
      <c r="H339" s="27">
        <v>0</v>
      </c>
      <c r="I339" s="27">
        <v>0.75372306152934643</v>
      </c>
      <c r="J339" s="27">
        <v>0.24627693847065352</v>
      </c>
      <c r="K339" s="27">
        <v>0</v>
      </c>
      <c r="L339" s="27">
        <v>0.17632931644838956</v>
      </c>
      <c r="M339" s="27">
        <v>0.41092857338084904</v>
      </c>
      <c r="N339" s="27">
        <v>0.41274211017076146</v>
      </c>
      <c r="O339" s="27">
        <v>-11.511800964779349</v>
      </c>
      <c r="P339" s="27">
        <v>3.7988554098847167E-2</v>
      </c>
      <c r="Q339" s="27">
        <v>4.9364367849338816E-5</v>
      </c>
      <c r="R339" s="27">
        <v>1.1007753483510585</v>
      </c>
      <c r="S339" s="154"/>
      <c r="T339">
        <v>0.85273340931643027</v>
      </c>
      <c r="U339">
        <v>2.2176771155824495</v>
      </c>
      <c r="V339">
        <v>2.8168774967246168</v>
      </c>
      <c r="W339">
        <v>1</v>
      </c>
      <c r="Y339" s="2">
        <v>994.50058760714501</v>
      </c>
      <c r="Z339" s="2">
        <v>2846.6451960574268</v>
      </c>
      <c r="AA339" s="2">
        <v>440.11456479755702</v>
      </c>
      <c r="AB339" s="2">
        <v>12215.168090584859</v>
      </c>
      <c r="AC339" s="2">
        <v>756.10255115333791</v>
      </c>
      <c r="AD339" s="2">
        <v>559.61099267344628</v>
      </c>
      <c r="AE339" s="2">
        <v>519.77862671086405</v>
      </c>
      <c r="AF339" s="2">
        <v>1557.898583187073</v>
      </c>
      <c r="AG339" s="2">
        <v>121.44534449170652</v>
      </c>
      <c r="AH339" s="2">
        <v>584.79224478516107</v>
      </c>
      <c r="AI339" s="2">
        <v>423836.66731969506</v>
      </c>
      <c r="AJ339" s="2">
        <v>386807.50455063168</v>
      </c>
      <c r="AL339" s="27">
        <v>0.91754353993656435</v>
      </c>
      <c r="AM339" s="27">
        <v>0.9130681866902236</v>
      </c>
      <c r="AN339" s="27">
        <v>0.89757926374934172</v>
      </c>
      <c r="AO339" s="27">
        <v>0.88905503809421371</v>
      </c>
      <c r="AP339" s="27">
        <v>0.72136350323914333</v>
      </c>
      <c r="AQ339" s="27">
        <v>0.91754353993656435</v>
      </c>
      <c r="AR339" s="27">
        <v>0.9130681866902236</v>
      </c>
      <c r="AS339" s="27">
        <v>0.89757926374934172</v>
      </c>
      <c r="AT339" s="27">
        <v>0.88905503809421371</v>
      </c>
      <c r="AU339" s="27">
        <v>0.72136350323914333</v>
      </c>
      <c r="AW339" s="1">
        <v>13.80280597732102</v>
      </c>
      <c r="AX339" s="1">
        <v>15.628150135429538</v>
      </c>
      <c r="AY339" s="2">
        <v>1267916.5811193199</v>
      </c>
      <c r="AZ339" s="1">
        <v>15.178086935900245</v>
      </c>
      <c r="BA339" s="1">
        <v>17.032614642942995</v>
      </c>
      <c r="BB339" s="2">
        <v>1167067.6141712626</v>
      </c>
      <c r="BC339" s="2">
        <f t="shared" si="42"/>
        <v>-100848.96694805729</v>
      </c>
      <c r="BD339" s="292">
        <f t="shared" si="43"/>
        <v>1.3752809585792249</v>
      </c>
      <c r="BF339" s="170">
        <f t="shared" si="38"/>
        <v>940532.37525204336</v>
      </c>
      <c r="BG339" s="2">
        <f t="shared" si="39"/>
        <v>1261426.2955727766</v>
      </c>
      <c r="BI339">
        <f t="shared" si="40"/>
        <v>0</v>
      </c>
      <c r="BJ339" s="95">
        <f t="shared" si="41"/>
        <v>1</v>
      </c>
      <c r="BP339" s="217">
        <f t="shared" si="44"/>
        <v>1261426.2955727766</v>
      </c>
    </row>
    <row r="340" spans="1:68">
      <c r="A340" s="11">
        <v>334</v>
      </c>
      <c r="C340" s="27">
        <v>0.92203725849076823</v>
      </c>
      <c r="D340" s="27">
        <v>7.796274150923177E-2</v>
      </c>
      <c r="E340" s="27">
        <v>0</v>
      </c>
      <c r="F340" s="27">
        <v>0.85344181574575384</v>
      </c>
      <c r="G340" s="27">
        <v>0.14655818425424616</v>
      </c>
      <c r="H340" s="27">
        <v>0</v>
      </c>
      <c r="I340" s="27">
        <v>0.7439565611509007</v>
      </c>
      <c r="J340" s="27">
        <v>0.2560434388490993</v>
      </c>
      <c r="K340" s="27">
        <v>0</v>
      </c>
      <c r="L340" s="27">
        <v>0.11639454280654304</v>
      </c>
      <c r="M340" s="27">
        <v>0.47386304054293449</v>
      </c>
      <c r="N340" s="27">
        <v>0.40974241665052247</v>
      </c>
      <c r="O340" s="27">
        <v>-10.996548771791474</v>
      </c>
      <c r="P340" s="27">
        <v>3.3303231654211327E-2</v>
      </c>
      <c r="Q340" s="27">
        <v>6.7877018455736397E-5</v>
      </c>
      <c r="R340" s="27">
        <v>1.0591100134764806</v>
      </c>
      <c r="S340" s="154"/>
      <c r="T340">
        <v>1.0340299838350884</v>
      </c>
      <c r="U340">
        <v>2.3079734512269199</v>
      </c>
      <c r="V340">
        <v>2.7896196524362353</v>
      </c>
      <c r="W340">
        <v>1</v>
      </c>
      <c r="Y340" s="2">
        <v>340.36093922312267</v>
      </c>
      <c r="Z340" s="2">
        <v>5359.1671693753788</v>
      </c>
      <c r="AA340" s="2">
        <v>1070.2065382223375</v>
      </c>
      <c r="AB340" s="2">
        <v>187.49690063581565</v>
      </c>
      <c r="AC340" s="2">
        <v>1690.7070074466051</v>
      </c>
      <c r="AD340" s="2">
        <v>592.91760168610563</v>
      </c>
      <c r="AE340" s="2">
        <v>609.70215411208142</v>
      </c>
      <c r="AF340" s="2">
        <v>1307.0666029813078</v>
      </c>
      <c r="AG340" s="2">
        <v>130.82278916676623</v>
      </c>
      <c r="AH340" s="2">
        <v>486.08376864841921</v>
      </c>
      <c r="AI340" s="2">
        <v>503835.41370267241</v>
      </c>
      <c r="AJ340" s="2">
        <v>466570.01090073265</v>
      </c>
      <c r="AL340" s="27">
        <v>0.92419057019315054</v>
      </c>
      <c r="AM340" s="27">
        <v>0.90777233089541942</v>
      </c>
      <c r="AN340" s="27">
        <v>0.90067869773208431</v>
      </c>
      <c r="AO340" s="27">
        <v>0.8485133946265746</v>
      </c>
      <c r="AP340" s="27">
        <v>0.65668442198828103</v>
      </c>
      <c r="AQ340" s="27">
        <v>0.92419057019315054</v>
      </c>
      <c r="AR340" s="27">
        <v>0.90777233089541942</v>
      </c>
      <c r="AS340" s="27">
        <v>0.90067869773208431</v>
      </c>
      <c r="AT340" s="27">
        <v>0.8485133946265746</v>
      </c>
      <c r="AU340" s="27">
        <v>0.65668442198828103</v>
      </c>
      <c r="AW340" s="1">
        <v>13.142522263004711</v>
      </c>
      <c r="AX340" s="1">
        <v>15.233869831978575</v>
      </c>
      <c r="AY340" s="2">
        <v>1901775.6648685627</v>
      </c>
      <c r="AZ340" s="1">
        <v>15.117450162727271</v>
      </c>
      <c r="BA340" s="1">
        <v>17.147516049775046</v>
      </c>
      <c r="BB340" s="2">
        <v>1311304.8618030844</v>
      </c>
      <c r="BC340" s="2">
        <f t="shared" si="42"/>
        <v>-590470.80306547834</v>
      </c>
      <c r="BD340" s="292">
        <f t="shared" si="43"/>
        <v>1.9749278997225606</v>
      </c>
      <c r="BF340" s="170">
        <f t="shared" si="38"/>
        <v>201027.89721219125</v>
      </c>
      <c r="BG340" s="2">
        <f t="shared" si="39"/>
        <v>1107487.1642332792</v>
      </c>
      <c r="BI340">
        <f t="shared" si="40"/>
        <v>0</v>
      </c>
      <c r="BJ340" s="95">
        <f t="shared" si="41"/>
        <v>1</v>
      </c>
      <c r="BP340" s="217">
        <f t="shared" si="44"/>
        <v>1107487.1642332792</v>
      </c>
    </row>
    <row r="341" spans="1:68">
      <c r="A341" s="11">
        <v>335</v>
      </c>
      <c r="C341" s="27">
        <v>0.92398392522332895</v>
      </c>
      <c r="D341" s="27">
        <v>7.601607477667105E-2</v>
      </c>
      <c r="E341" s="27">
        <v>0</v>
      </c>
      <c r="F341" s="27">
        <v>0.8620182779385257</v>
      </c>
      <c r="G341" s="27">
        <v>0.13798172206147435</v>
      </c>
      <c r="H341" s="27">
        <v>0</v>
      </c>
      <c r="I341" s="27">
        <v>0.74946874991066892</v>
      </c>
      <c r="J341" s="27">
        <v>0.25053125008933108</v>
      </c>
      <c r="K341" s="27">
        <v>0</v>
      </c>
      <c r="L341" s="27">
        <v>6.855174770142769E-2</v>
      </c>
      <c r="M341" s="27">
        <v>0.49148194264776929</v>
      </c>
      <c r="N341" s="27">
        <v>0.43996630965080308</v>
      </c>
      <c r="O341" s="27">
        <v>-11.041557458098952</v>
      </c>
      <c r="P341" s="27">
        <v>3.4583548436815777E-2</v>
      </c>
      <c r="Q341" s="27">
        <v>6.847454937178352E-5</v>
      </c>
      <c r="R341" s="27">
        <v>1.0582219119036003</v>
      </c>
      <c r="S341" s="154"/>
      <c r="T341">
        <v>0.96905441446328688</v>
      </c>
      <c r="U341">
        <v>2.3033008721194159</v>
      </c>
      <c r="V341">
        <v>3.1801224670721626</v>
      </c>
      <c r="W341">
        <v>1</v>
      </c>
      <c r="Y341" s="2">
        <v>1999.2585689433829</v>
      </c>
      <c r="Z341" s="2">
        <v>835.88879604279134</v>
      </c>
      <c r="AA341" s="2">
        <v>51.907905372221329</v>
      </c>
      <c r="AB341" s="2">
        <v>7176.8672367703412</v>
      </c>
      <c r="AC341" s="2">
        <v>834.27667285203017</v>
      </c>
      <c r="AD341" s="2">
        <v>2303.0007859468737</v>
      </c>
      <c r="AE341" s="2">
        <v>518.74416135441152</v>
      </c>
      <c r="AF341" s="2">
        <v>939.57774577799444</v>
      </c>
      <c r="AG341" s="2">
        <v>145.33202503553534</v>
      </c>
      <c r="AH341" s="2">
        <v>395.55500175680754</v>
      </c>
      <c r="AI341" s="2">
        <v>350908.57052960707</v>
      </c>
      <c r="AJ341" s="2">
        <v>329305.6199402099</v>
      </c>
      <c r="AL341" s="27">
        <v>0.91677040773670104</v>
      </c>
      <c r="AM341" s="27">
        <v>0.90885233224844963</v>
      </c>
      <c r="AN341" s="27">
        <v>0.91302557538861562</v>
      </c>
      <c r="AO341" s="27">
        <v>0.84313759515101616</v>
      </c>
      <c r="AP341" s="27">
        <v>0.60985834347925005</v>
      </c>
      <c r="AQ341" s="27">
        <v>0.91677040773670104</v>
      </c>
      <c r="AR341" s="27">
        <v>0.90885233224844963</v>
      </c>
      <c r="AS341" s="27">
        <v>0.91302557538861562</v>
      </c>
      <c r="AT341" s="27">
        <v>0.84313759515101616</v>
      </c>
      <c r="AU341" s="27">
        <v>0.60985834347925005</v>
      </c>
      <c r="AW341" s="1">
        <v>13.186712805934034</v>
      </c>
      <c r="AX341" s="1">
        <v>15.439231942210531</v>
      </c>
      <c r="AY341" s="2">
        <v>1252460.3553067013</v>
      </c>
      <c r="AZ341" s="1">
        <v>15.108308730198633</v>
      </c>
      <c r="BA341" s="1">
        <v>17.257533617484242</v>
      </c>
      <c r="BB341" s="2">
        <v>1019336.688750729</v>
      </c>
      <c r="BC341" s="2">
        <f t="shared" si="42"/>
        <v>-233123.6665559723</v>
      </c>
      <c r="BD341" s="292">
        <f t="shared" si="43"/>
        <v>1.921595924264599</v>
      </c>
      <c r="BF341" s="170">
        <f t="shared" si="38"/>
        <v>857413.69364274433</v>
      </c>
      <c r="BG341" s="2">
        <f t="shared" si="39"/>
        <v>1397992.7080810522</v>
      </c>
      <c r="BI341">
        <f t="shared" si="40"/>
        <v>0</v>
      </c>
      <c r="BJ341" s="95">
        <f t="shared" si="41"/>
        <v>1</v>
      </c>
      <c r="BP341" s="217">
        <f t="shared" si="44"/>
        <v>1397992.7080810522</v>
      </c>
    </row>
    <row r="342" spans="1:68">
      <c r="A342" s="11">
        <v>336</v>
      </c>
      <c r="C342" s="27">
        <v>0.92513260853417489</v>
      </c>
      <c r="D342" s="27">
        <v>7.4867391465825148E-2</v>
      </c>
      <c r="E342" s="27">
        <v>0</v>
      </c>
      <c r="F342" s="27">
        <v>0.85512507809769134</v>
      </c>
      <c r="G342" s="27">
        <v>0.14487492190230866</v>
      </c>
      <c r="H342" s="27">
        <v>0</v>
      </c>
      <c r="I342" s="27">
        <v>0.74670765473483935</v>
      </c>
      <c r="J342" s="27">
        <v>0.25329234526516065</v>
      </c>
      <c r="K342" s="27">
        <v>0</v>
      </c>
      <c r="L342" s="27">
        <v>0.24813654891370246</v>
      </c>
      <c r="M342" s="27">
        <v>0.44303867132602459</v>
      </c>
      <c r="N342" s="27">
        <v>0.30882477976027295</v>
      </c>
      <c r="O342" s="27">
        <v>-11.324336445676163</v>
      </c>
      <c r="P342" s="27">
        <v>3.1519190093948407E-2</v>
      </c>
      <c r="Q342" s="27">
        <v>4.5375853223592004E-5</v>
      </c>
      <c r="R342" s="27">
        <v>1.1138288704413872</v>
      </c>
      <c r="S342" s="154"/>
      <c r="T342">
        <v>1.1171556691786926</v>
      </c>
      <c r="U342">
        <v>2.2809174312240073</v>
      </c>
      <c r="V342">
        <v>3.0156953717181314</v>
      </c>
      <c r="W342">
        <v>1</v>
      </c>
      <c r="Y342" s="2">
        <v>1027.0670822278612</v>
      </c>
      <c r="Z342" s="2">
        <v>2248.9587719456545</v>
      </c>
      <c r="AA342" s="2">
        <v>702.51236353001082</v>
      </c>
      <c r="AB342" s="2">
        <v>132.67541199644722</v>
      </c>
      <c r="AC342" s="2">
        <v>691.14042958890002</v>
      </c>
      <c r="AD342" s="2">
        <v>3387.0610060005301</v>
      </c>
      <c r="AE342" s="2">
        <v>554.16695508704674</v>
      </c>
      <c r="AF342" s="2">
        <v>1162.9514150444147</v>
      </c>
      <c r="AG342" s="2">
        <v>144.38398250264393</v>
      </c>
      <c r="AH342" s="2">
        <v>378.95982889677504</v>
      </c>
      <c r="AI342" s="2">
        <v>572960.53863993823</v>
      </c>
      <c r="AJ342" s="2">
        <v>540733.28523772047</v>
      </c>
      <c r="AL342" s="27">
        <v>0.90849814624481484</v>
      </c>
      <c r="AM342" s="27">
        <v>0.9184066435889694</v>
      </c>
      <c r="AN342" s="27">
        <v>0.90506772111010414</v>
      </c>
      <c r="AO342" s="27">
        <v>0.84817151688050452</v>
      </c>
      <c r="AP342" s="27">
        <v>0.73502721424760664</v>
      </c>
      <c r="AQ342" s="27">
        <v>0.90849814624481484</v>
      </c>
      <c r="AR342" s="27">
        <v>0.9184066435889694</v>
      </c>
      <c r="AS342" s="27">
        <v>0.90506772111010414</v>
      </c>
      <c r="AT342" s="27">
        <v>0.84817151688050452</v>
      </c>
      <c r="AU342" s="27">
        <v>0.73502721424760664</v>
      </c>
      <c r="AW342" s="1">
        <v>13.337474064690101</v>
      </c>
      <c r="AX342" s="1">
        <v>15.344768244883699</v>
      </c>
      <c r="AY342" s="2">
        <v>2245366.9248730028</v>
      </c>
      <c r="AZ342" s="1">
        <v>15.433847878905691</v>
      </c>
      <c r="BA342" s="1">
        <v>17.416705827257513</v>
      </c>
      <c r="BB342" s="2">
        <v>1548940.2688303983</v>
      </c>
      <c r="BC342" s="2">
        <f t="shared" si="42"/>
        <v>-696426.65604260447</v>
      </c>
      <c r="BD342" s="292">
        <f t="shared" si="43"/>
        <v>2.0963738142155908</v>
      </c>
      <c r="BF342" s="170">
        <f t="shared" si="38"/>
        <v>-111371.07452258654</v>
      </c>
      <c r="BG342" s="2">
        <f t="shared" si="39"/>
        <v>920475.39179451228</v>
      </c>
      <c r="BI342">
        <f t="shared" si="40"/>
        <v>0</v>
      </c>
      <c r="BJ342" s="95">
        <f t="shared" si="41"/>
        <v>1</v>
      </c>
      <c r="BP342" s="217">
        <f t="shared" si="44"/>
        <v>920475.39179451228</v>
      </c>
    </row>
    <row r="343" spans="1:68">
      <c r="A343" s="11">
        <v>337</v>
      </c>
      <c r="C343" s="27">
        <v>0.92406659578198247</v>
      </c>
      <c r="D343" s="27">
        <v>7.5933404218017503E-2</v>
      </c>
      <c r="E343" s="27">
        <v>0</v>
      </c>
      <c r="F343" s="27">
        <v>0.85781514483144261</v>
      </c>
      <c r="G343" s="27">
        <v>0.14218485516855733</v>
      </c>
      <c r="H343" s="27">
        <v>0</v>
      </c>
      <c r="I343" s="27">
        <v>0.74867765257300933</v>
      </c>
      <c r="J343" s="27">
        <v>0.25132234742699067</v>
      </c>
      <c r="K343" s="27">
        <v>0</v>
      </c>
      <c r="L343" s="27">
        <v>0.19699204935317638</v>
      </c>
      <c r="M343" s="27">
        <v>0.42409191906188276</v>
      </c>
      <c r="N343" s="27">
        <v>0.3789160315849408</v>
      </c>
      <c r="O343" s="27">
        <v>-11.408287917202047</v>
      </c>
      <c r="P343" s="27">
        <v>3.6301208557720545E-2</v>
      </c>
      <c r="Q343" s="27">
        <v>5.1002436198755437E-5</v>
      </c>
      <c r="R343" s="27">
        <v>1.0958327601774154</v>
      </c>
      <c r="S343" s="154"/>
      <c r="T343">
        <v>0.96718196678021229</v>
      </c>
      <c r="U343">
        <v>2.227823876987121</v>
      </c>
      <c r="V343">
        <v>2.8480290292147363</v>
      </c>
      <c r="W343">
        <v>1</v>
      </c>
      <c r="Y343" s="2">
        <v>798.6171879251732</v>
      </c>
      <c r="Z343" s="2">
        <v>3282.0761038786231</v>
      </c>
      <c r="AA343" s="2">
        <v>223.25785613135275</v>
      </c>
      <c r="AB343" s="2">
        <v>2085.6778981825851</v>
      </c>
      <c r="AC343" s="2">
        <v>1128.145991502731</v>
      </c>
      <c r="AD343" s="2">
        <v>1950.7211496851717</v>
      </c>
      <c r="AE343" s="2">
        <v>513.14796624028384</v>
      </c>
      <c r="AF343" s="2">
        <v>1069.7410988747965</v>
      </c>
      <c r="AG343" s="2">
        <v>150.78983145489238</v>
      </c>
      <c r="AH343" s="2">
        <v>417.53899995092104</v>
      </c>
      <c r="AI343" s="2">
        <v>390520.95538488065</v>
      </c>
      <c r="AJ343" s="2">
        <v>364519.41514743527</v>
      </c>
      <c r="AL343" s="27">
        <v>0.91586479837685608</v>
      </c>
      <c r="AM343" s="27">
        <v>0.90987624517401822</v>
      </c>
      <c r="AN343" s="27">
        <v>0.91447323227388932</v>
      </c>
      <c r="AO343" s="27">
        <v>0.87186775889139456</v>
      </c>
      <c r="AP343" s="27">
        <v>0.59813130603283327</v>
      </c>
      <c r="AQ343" s="27">
        <v>0.91586479837685608</v>
      </c>
      <c r="AR343" s="27">
        <v>0.90987624517401822</v>
      </c>
      <c r="AS343" s="27">
        <v>0.91447323227388932</v>
      </c>
      <c r="AT343" s="27">
        <v>0.87186775889139456</v>
      </c>
      <c r="AU343" s="27">
        <v>0.59813130603283327</v>
      </c>
      <c r="AW343" s="1">
        <v>13.251188967919342</v>
      </c>
      <c r="AX343" s="1">
        <v>15.495247496883081</v>
      </c>
      <c r="AY343" s="2">
        <v>1342215.7919587577</v>
      </c>
      <c r="AZ343" s="1">
        <v>15.064939792459427</v>
      </c>
      <c r="BA343" s="1">
        <v>17.210070224508488</v>
      </c>
      <c r="BB343" s="2">
        <v>998697.82186596899</v>
      </c>
      <c r="BC343" s="2">
        <f t="shared" si="42"/>
        <v>-343517.97009278869</v>
      </c>
      <c r="BD343" s="292">
        <f t="shared" si="43"/>
        <v>1.8137508245400848</v>
      </c>
      <c r="BF343" s="170">
        <f t="shared" si="38"/>
        <v>777974.44290833687</v>
      </c>
      <c r="BG343" s="2">
        <f t="shared" si="39"/>
        <v>1411692.5449275393</v>
      </c>
      <c r="BI343">
        <f t="shared" si="40"/>
        <v>0</v>
      </c>
      <c r="BJ343" s="95">
        <f t="shared" si="41"/>
        <v>1</v>
      </c>
      <c r="BP343" s="217">
        <f t="shared" si="44"/>
        <v>1411692.5449275393</v>
      </c>
    </row>
    <row r="344" spans="1:68">
      <c r="A344" s="11">
        <v>338</v>
      </c>
      <c r="C344" s="27">
        <v>0.92358617968126466</v>
      </c>
      <c r="D344" s="27">
        <v>7.6413820318735295E-2</v>
      </c>
      <c r="E344" s="27">
        <v>0</v>
      </c>
      <c r="F344" s="27">
        <v>0.85777097442074257</v>
      </c>
      <c r="G344" s="27">
        <v>0.14222902557925746</v>
      </c>
      <c r="H344" s="27">
        <v>0</v>
      </c>
      <c r="I344" s="27">
        <v>0.74788812779081137</v>
      </c>
      <c r="J344" s="27">
        <v>0.25211187220918863</v>
      </c>
      <c r="K344" s="27">
        <v>0</v>
      </c>
      <c r="L344" s="27">
        <v>0.20527195005172277</v>
      </c>
      <c r="M344" s="27">
        <v>0.4980657363112419</v>
      </c>
      <c r="N344" s="27">
        <v>0.29666231363703527</v>
      </c>
      <c r="O344" s="27">
        <v>-10.997198644843486</v>
      </c>
      <c r="P344" s="27">
        <v>3.5436925962381509E-2</v>
      </c>
      <c r="Q344" s="27">
        <v>7.4192480460913117E-5</v>
      </c>
      <c r="R344" s="27">
        <v>1.0440029496824101</v>
      </c>
      <c r="S344" s="154"/>
      <c r="T344">
        <v>0.98386495395063722</v>
      </c>
      <c r="U344">
        <v>2.2694225365695755</v>
      </c>
      <c r="V344">
        <v>3.1855210672770462</v>
      </c>
      <c r="W344">
        <v>1</v>
      </c>
      <c r="Y344" s="2">
        <v>527.46597260926558</v>
      </c>
      <c r="Z344" s="2">
        <v>644.01777660482765</v>
      </c>
      <c r="AA344" s="2">
        <v>1255.8288385664291</v>
      </c>
      <c r="AB344" s="2">
        <v>3634.1442312269851</v>
      </c>
      <c r="AC344" s="2">
        <v>172.82184893261481</v>
      </c>
      <c r="AD344" s="2">
        <v>3206.2788027187462</v>
      </c>
      <c r="AE344" s="2">
        <v>579.95652137551849</v>
      </c>
      <c r="AF344" s="2">
        <v>1347.8214918800302</v>
      </c>
      <c r="AG344" s="2">
        <v>121.29461480922654</v>
      </c>
      <c r="AH344" s="2">
        <v>167.7389204487788</v>
      </c>
      <c r="AI344" s="2">
        <v>400679.74292378651</v>
      </c>
      <c r="AJ344" s="2">
        <v>366685.55927104084</v>
      </c>
      <c r="AL344" s="27">
        <v>0.91203672222972743</v>
      </c>
      <c r="AM344" s="27">
        <v>0.91474941061543014</v>
      </c>
      <c r="AN344" s="27">
        <v>0.9132662987007244</v>
      </c>
      <c r="AO344" s="27">
        <v>0.87516793033765872</v>
      </c>
      <c r="AP344" s="27">
        <v>0.65719095365527302</v>
      </c>
      <c r="AQ344" s="27">
        <v>0.91203672222972743</v>
      </c>
      <c r="AR344" s="27">
        <v>0.91474941061543014</v>
      </c>
      <c r="AS344" s="27">
        <v>0.9132662987007244</v>
      </c>
      <c r="AT344" s="27">
        <v>0.87516793033765872</v>
      </c>
      <c r="AU344" s="27">
        <v>0.65719095365527302</v>
      </c>
      <c r="AW344" s="1">
        <v>13.70779194743095</v>
      </c>
      <c r="AX344" s="1">
        <v>16.053923886851166</v>
      </c>
      <c r="AY344" s="2">
        <v>1646926.2665237323</v>
      </c>
      <c r="AZ344" s="1">
        <v>15.478424981338829</v>
      </c>
      <c r="BA344" s="1">
        <v>17.689520104366029</v>
      </c>
      <c r="BB344" s="2">
        <v>1296917.5367894256</v>
      </c>
      <c r="BC344" s="2">
        <f t="shared" si="42"/>
        <v>-350008.72973430669</v>
      </c>
      <c r="BD344" s="292">
        <f t="shared" si="43"/>
        <v>1.7706330339078793</v>
      </c>
      <c r="BF344" s="170">
        <f t="shared" si="38"/>
        <v>546320.44506521989</v>
      </c>
      <c r="BG344" s="2">
        <f t="shared" si="39"/>
        <v>1179630.4602247872</v>
      </c>
      <c r="BI344">
        <f t="shared" si="40"/>
        <v>0</v>
      </c>
      <c r="BJ344" s="95">
        <f t="shared" si="41"/>
        <v>1</v>
      </c>
      <c r="BP344" s="217">
        <f t="shared" si="44"/>
        <v>1179630.4602247872</v>
      </c>
    </row>
    <row r="345" spans="1:68">
      <c r="A345" s="11">
        <v>339</v>
      </c>
      <c r="C345" s="27">
        <v>0.92212524247031991</v>
      </c>
      <c r="D345" s="27">
        <v>7.7874757529680094E-2</v>
      </c>
      <c r="E345" s="27">
        <v>0</v>
      </c>
      <c r="F345" s="27">
        <v>0.8580273449972875</v>
      </c>
      <c r="G345" s="27">
        <v>0.1419726550027125</v>
      </c>
      <c r="H345" s="27">
        <v>0</v>
      </c>
      <c r="I345" s="27">
        <v>0.75082927583840997</v>
      </c>
      <c r="J345" s="27">
        <v>0.24917072416159003</v>
      </c>
      <c r="K345" s="27">
        <v>0</v>
      </c>
      <c r="L345" s="27">
        <v>0.20793072654122574</v>
      </c>
      <c r="M345" s="27">
        <v>0.42514792400071039</v>
      </c>
      <c r="N345" s="27">
        <v>0.36692134945806393</v>
      </c>
      <c r="O345" s="27">
        <v>-10.817407622344469</v>
      </c>
      <c r="P345" s="27">
        <v>3.0608943771912745E-2</v>
      </c>
      <c r="Q345" s="27">
        <v>7.2506671189925226E-5</v>
      </c>
      <c r="R345" s="27">
        <v>1.0496917926517071</v>
      </c>
      <c r="S345" s="154"/>
      <c r="T345">
        <v>1.0118747447170986</v>
      </c>
      <c r="U345">
        <v>2.2668334391000986</v>
      </c>
      <c r="V345">
        <v>2.6723231598892365</v>
      </c>
      <c r="W345">
        <v>1</v>
      </c>
      <c r="Y345" s="2">
        <v>974.36785085053475</v>
      </c>
      <c r="Z345" s="2">
        <v>179.84210231610177</v>
      </c>
      <c r="AA345" s="2">
        <v>1526.2182088382422</v>
      </c>
      <c r="AB345" s="2">
        <v>555.19368548527882</v>
      </c>
      <c r="AC345" s="2">
        <v>603.55817662773666</v>
      </c>
      <c r="AD345" s="2">
        <v>1256.5014228728278</v>
      </c>
      <c r="AE345" s="2">
        <v>570.00110569498838</v>
      </c>
      <c r="AF345" s="2">
        <v>981.68219352783603</v>
      </c>
      <c r="AG345" s="2">
        <v>212.14535287018248</v>
      </c>
      <c r="AH345" s="2">
        <v>404.82572753990547</v>
      </c>
      <c r="AI345" s="2">
        <v>405005.18856302509</v>
      </c>
      <c r="AJ345" s="2">
        <v>376075.96190395486</v>
      </c>
      <c r="AL345" s="27">
        <v>0.92021413816234165</v>
      </c>
      <c r="AM345" s="27">
        <v>0.91212817129038715</v>
      </c>
      <c r="AN345" s="27">
        <v>0.91171220444868684</v>
      </c>
      <c r="AO345" s="27">
        <v>0.87208563246961301</v>
      </c>
      <c r="AP345" s="27">
        <v>0.77927443465204216</v>
      </c>
      <c r="AQ345" s="27">
        <v>0.92021413816234165</v>
      </c>
      <c r="AR345" s="27">
        <v>0.91212817129038715</v>
      </c>
      <c r="AS345" s="27">
        <v>0.91171220444868684</v>
      </c>
      <c r="AT345" s="27">
        <v>0.87208563246961301</v>
      </c>
      <c r="AU345" s="27">
        <v>0.77927443465204216</v>
      </c>
      <c r="AW345" s="1">
        <v>13.744235187511428</v>
      </c>
      <c r="AX345" s="1">
        <v>15.467159732203433</v>
      </c>
      <c r="AY345" s="2">
        <v>1450003.8801222306</v>
      </c>
      <c r="AZ345" s="1">
        <v>15.522073541031062</v>
      </c>
      <c r="BA345" s="1">
        <v>17.278526113139385</v>
      </c>
      <c r="BB345" s="2">
        <v>1071292.3566028641</v>
      </c>
      <c r="BC345" s="2">
        <f t="shared" si="42"/>
        <v>-378711.52351936651</v>
      </c>
      <c r="BD345" s="292">
        <f t="shared" si="43"/>
        <v>1.777838353519634</v>
      </c>
      <c r="BF345" s="170">
        <f t="shared" si="38"/>
        <v>749073.74987959792</v>
      </c>
      <c r="BG345" s="2">
        <f t="shared" si="39"/>
        <v>1412239.4099621058</v>
      </c>
      <c r="BI345">
        <f t="shared" si="40"/>
        <v>0</v>
      </c>
      <c r="BJ345" s="95">
        <f t="shared" si="41"/>
        <v>1</v>
      </c>
      <c r="BP345" s="217">
        <f t="shared" si="44"/>
        <v>1412239.4099621058</v>
      </c>
    </row>
    <row r="346" spans="1:68">
      <c r="A346" s="11">
        <v>340</v>
      </c>
      <c r="C346" s="27">
        <v>0.92253855880935998</v>
      </c>
      <c r="D346" s="27">
        <v>7.7461441190640024E-2</v>
      </c>
      <c r="E346" s="27">
        <v>0</v>
      </c>
      <c r="F346" s="27">
        <v>0.85126651367151929</v>
      </c>
      <c r="G346" s="27">
        <v>0.14873348632848071</v>
      </c>
      <c r="H346" s="27">
        <v>0</v>
      </c>
      <c r="I346" s="27">
        <v>0.75221214841474326</v>
      </c>
      <c r="J346" s="27">
        <v>0.24778785158525671</v>
      </c>
      <c r="K346" s="27">
        <v>0</v>
      </c>
      <c r="L346" s="27">
        <v>0.13718156766630996</v>
      </c>
      <c r="M346" s="27">
        <v>0.44885716291712136</v>
      </c>
      <c r="N346" s="27">
        <v>0.41396126941656863</v>
      </c>
      <c r="O346" s="27">
        <v>-11.098863677806484</v>
      </c>
      <c r="P346" s="27">
        <v>3.2869883645067606E-2</v>
      </c>
      <c r="Q346" s="27">
        <v>6.0170487620761127E-5</v>
      </c>
      <c r="R346" s="27">
        <v>1.0747040248822275</v>
      </c>
      <c r="S346" s="154"/>
      <c r="T346">
        <v>0.90994079549729789</v>
      </c>
      <c r="U346">
        <v>2.2552439760592455</v>
      </c>
      <c r="V346">
        <v>2.7688555541568523</v>
      </c>
      <c r="W346">
        <v>1</v>
      </c>
      <c r="Y346" s="2">
        <v>8.3199819117840086</v>
      </c>
      <c r="Z346" s="2">
        <v>237.36030941669682</v>
      </c>
      <c r="AA346" s="2">
        <v>6056.0648876468149</v>
      </c>
      <c r="AB346" s="2">
        <v>2578.8281132822171</v>
      </c>
      <c r="AC346" s="2">
        <v>100.15415058866084</v>
      </c>
      <c r="AD346" s="2">
        <v>109.95813997534898</v>
      </c>
      <c r="AE346" s="2">
        <v>598.61517059587209</v>
      </c>
      <c r="AF346" s="2">
        <v>880.4730786303586</v>
      </c>
      <c r="AG346" s="2">
        <v>194.41985710407994</v>
      </c>
      <c r="AH346" s="2">
        <v>313.23185341420356</v>
      </c>
      <c r="AI346" s="2">
        <v>444845.54058362287</v>
      </c>
      <c r="AJ346" s="2">
        <v>414272.6566215452</v>
      </c>
      <c r="AL346" s="27">
        <v>0.91602922786712593</v>
      </c>
      <c r="AM346" s="27">
        <v>0.91022311364258779</v>
      </c>
      <c r="AN346" s="27">
        <v>0.90766522517288872</v>
      </c>
      <c r="AO346" s="27">
        <v>0.8536543989229789</v>
      </c>
      <c r="AP346" s="27">
        <v>0.73757825148318867</v>
      </c>
      <c r="AQ346" s="27">
        <v>0.91602922786712593</v>
      </c>
      <c r="AR346" s="27">
        <v>0.91022311364258779</v>
      </c>
      <c r="AS346" s="27">
        <v>0.90766522517288872</v>
      </c>
      <c r="AT346" s="27">
        <v>0.8536543989229789</v>
      </c>
      <c r="AU346" s="27">
        <v>0.73757825148318867</v>
      </c>
      <c r="AW346" s="1">
        <v>13.685946461442821</v>
      </c>
      <c r="AX346" s="1">
        <v>15.546606907441634</v>
      </c>
      <c r="AY346" s="2">
        <v>1435127.14090596</v>
      </c>
      <c r="AZ346" s="1">
        <v>15.212723111139274</v>
      </c>
      <c r="BA346" s="1">
        <v>17.090621357947651</v>
      </c>
      <c r="BB346" s="2">
        <v>1220794.8143270784</v>
      </c>
      <c r="BC346" s="2">
        <f t="shared" si="42"/>
        <v>-214332.32657888159</v>
      </c>
      <c r="BD346" s="292">
        <f t="shared" si="43"/>
        <v>1.526776649696453</v>
      </c>
      <c r="BF346" s="170">
        <f t="shared" si="38"/>
        <v>754624.29292489123</v>
      </c>
      <c r="BG346" s="2">
        <f t="shared" si="39"/>
        <v>1213240.8834552052</v>
      </c>
      <c r="BI346">
        <f t="shared" si="40"/>
        <v>0</v>
      </c>
      <c r="BJ346" s="95">
        <f t="shared" si="41"/>
        <v>1</v>
      </c>
      <c r="BP346" s="217">
        <f t="shared" si="44"/>
        <v>1213240.8834552052</v>
      </c>
    </row>
    <row r="347" spans="1:68">
      <c r="A347" s="11">
        <v>341</v>
      </c>
      <c r="C347" s="27">
        <v>0.92253173623482598</v>
      </c>
      <c r="D347" s="27">
        <v>7.7468263765174017E-2</v>
      </c>
      <c r="E347" s="27">
        <v>0</v>
      </c>
      <c r="F347" s="27">
        <v>0.85740206620617665</v>
      </c>
      <c r="G347" s="27">
        <v>0.14259793379382335</v>
      </c>
      <c r="H347" s="27">
        <v>0</v>
      </c>
      <c r="I347" s="27">
        <v>0.75156264024744934</v>
      </c>
      <c r="J347" s="27">
        <v>0.24843735975255071</v>
      </c>
      <c r="K347" s="27">
        <v>0</v>
      </c>
      <c r="L347" s="27">
        <v>0.11832079096643433</v>
      </c>
      <c r="M347" s="27">
        <v>0.48345013807861076</v>
      </c>
      <c r="N347" s="27">
        <v>0.39822907095495497</v>
      </c>
      <c r="O347" s="27">
        <v>-11.101715687216551</v>
      </c>
      <c r="P347" s="27">
        <v>3.3500980128915607E-2</v>
      </c>
      <c r="Q347" s="27">
        <v>6.1610729536689673E-5</v>
      </c>
      <c r="R347" s="27">
        <v>1.079297114667253</v>
      </c>
      <c r="S347" s="154"/>
      <c r="T347">
        <v>1.0041599874579419</v>
      </c>
      <c r="U347">
        <v>2.2713795410385429</v>
      </c>
      <c r="V347">
        <v>2.8963135782201799</v>
      </c>
      <c r="W347">
        <v>1</v>
      </c>
      <c r="Y347" s="2">
        <v>275.57173342605432</v>
      </c>
      <c r="Z347" s="2">
        <v>6339.1625022750031</v>
      </c>
      <c r="AA347" s="2">
        <v>2275.4982930877045</v>
      </c>
      <c r="AB347" s="2">
        <v>124.15508983224248</v>
      </c>
      <c r="AC347" s="2">
        <v>682.84896217186974</v>
      </c>
      <c r="AD347" s="2">
        <v>984.89428852533422</v>
      </c>
      <c r="AE347" s="2">
        <v>591.50784720933314</v>
      </c>
      <c r="AF347" s="2">
        <v>1129.9955173956432</v>
      </c>
      <c r="AG347" s="2">
        <v>140.30838156345303</v>
      </c>
      <c r="AH347" s="2">
        <v>356.43464253814045</v>
      </c>
      <c r="AI347" s="2">
        <v>598589.05786019517</v>
      </c>
      <c r="AJ347" s="2">
        <v>572199.62947791105</v>
      </c>
      <c r="AL347" s="27">
        <v>0.91605638319011873</v>
      </c>
      <c r="AM347" s="27">
        <v>0.91894419206294597</v>
      </c>
      <c r="AN347" s="27">
        <v>0.91441970693178964</v>
      </c>
      <c r="AO347" s="27">
        <v>0.86959286919979262</v>
      </c>
      <c r="AP347" s="27">
        <v>0.68670311510291659</v>
      </c>
      <c r="AQ347" s="27">
        <v>0.91605638319011873</v>
      </c>
      <c r="AR347" s="27">
        <v>0.91894419206294597</v>
      </c>
      <c r="AS347" s="27">
        <v>0.91441970693178964</v>
      </c>
      <c r="AT347" s="27">
        <v>0.86959286919979262</v>
      </c>
      <c r="AU347" s="27">
        <v>0.68670311510291659</v>
      </c>
      <c r="AW347" s="1">
        <v>13.332985352871981</v>
      </c>
      <c r="AX347" s="1">
        <v>15.337381185364645</v>
      </c>
      <c r="AY347" s="2">
        <v>2217102.0432277988</v>
      </c>
      <c r="AZ347" s="1">
        <v>15.255213472727757</v>
      </c>
      <c r="BA347" s="1">
        <v>17.203653186174098</v>
      </c>
      <c r="BB347" s="2">
        <v>1559437.2496302265</v>
      </c>
      <c r="BC347" s="2">
        <f t="shared" si="42"/>
        <v>-657664.79359757225</v>
      </c>
      <c r="BD347" s="292">
        <f t="shared" si="43"/>
        <v>1.9222281198557756</v>
      </c>
      <c r="BF347" s="170">
        <f t="shared" si="38"/>
        <v>-83824.386768281925</v>
      </c>
      <c r="BG347" s="2">
        <f t="shared" si="39"/>
        <v>881396.90600621444</v>
      </c>
      <c r="BI347">
        <f t="shared" si="40"/>
        <v>0</v>
      </c>
      <c r="BJ347" s="95">
        <f t="shared" si="41"/>
        <v>1</v>
      </c>
      <c r="BP347" s="217">
        <f t="shared" si="44"/>
        <v>881396.90600621444</v>
      </c>
    </row>
    <row r="348" spans="1:68">
      <c r="A348" s="11">
        <v>342</v>
      </c>
      <c r="C348" s="27">
        <v>0.92154399065508008</v>
      </c>
      <c r="D348" s="27">
        <v>7.8456009344919919E-2</v>
      </c>
      <c r="E348" s="27">
        <v>0</v>
      </c>
      <c r="F348" s="27">
        <v>0.86235349060819499</v>
      </c>
      <c r="G348" s="27">
        <v>0.13764650939180501</v>
      </c>
      <c r="H348" s="27">
        <v>0</v>
      </c>
      <c r="I348" s="27">
        <v>0.74508609686641336</v>
      </c>
      <c r="J348" s="27">
        <v>0.25491390313358664</v>
      </c>
      <c r="K348" s="27">
        <v>0</v>
      </c>
      <c r="L348" s="27">
        <v>0.22262812013491534</v>
      </c>
      <c r="M348" s="27">
        <v>0.40336011968918556</v>
      </c>
      <c r="N348" s="27">
        <v>0.37401176017589904</v>
      </c>
      <c r="O348" s="27">
        <v>-11.072948442651175</v>
      </c>
      <c r="P348" s="27">
        <v>3.6317392970532027E-2</v>
      </c>
      <c r="Q348" s="27">
        <v>7.1371071064226177E-5</v>
      </c>
      <c r="R348" s="27">
        <v>1.0490392677303713</v>
      </c>
      <c r="S348" s="154"/>
      <c r="T348">
        <v>0.96194960904119131</v>
      </c>
      <c r="U348">
        <v>2.2870851458555985</v>
      </c>
      <c r="V348">
        <v>3.1413176263116793</v>
      </c>
      <c r="W348">
        <v>1</v>
      </c>
      <c r="Y348" s="2">
        <v>661.41456357563527</v>
      </c>
      <c r="Z348" s="2">
        <v>5215.9899921739116</v>
      </c>
      <c r="AA348" s="2">
        <v>4414.6705801601147</v>
      </c>
      <c r="AB348" s="2">
        <v>4534.6138547847559</v>
      </c>
      <c r="AC348" s="2">
        <v>2070.1211433809599</v>
      </c>
      <c r="AD348" s="2">
        <v>538.81737251948687</v>
      </c>
      <c r="AE348" s="2">
        <v>565.45468860556491</v>
      </c>
      <c r="AF348" s="2">
        <v>1028.5547074818257</v>
      </c>
      <c r="AG348" s="2">
        <v>118.193791339846</v>
      </c>
      <c r="AH348" s="2">
        <v>738.26083140704179</v>
      </c>
      <c r="AI348" s="2">
        <v>585106.62682679144</v>
      </c>
      <c r="AJ348" s="2">
        <v>558291.84573148983</v>
      </c>
      <c r="AL348" s="27">
        <v>0.91476573129172667</v>
      </c>
      <c r="AM348" s="27">
        <v>0.91593200347177151</v>
      </c>
      <c r="AN348" s="27">
        <v>0.9004529392264996</v>
      </c>
      <c r="AO348" s="27">
        <v>0.87532959708056057</v>
      </c>
      <c r="AP348" s="27">
        <v>0.66579340793840291</v>
      </c>
      <c r="AQ348" s="27">
        <v>0.91476573129172667</v>
      </c>
      <c r="AR348" s="27">
        <v>0.91593200347177151</v>
      </c>
      <c r="AS348" s="27">
        <v>0.9004529392264996</v>
      </c>
      <c r="AT348" s="27">
        <v>0.87532959708056057</v>
      </c>
      <c r="AU348" s="27">
        <v>0.66579340793840291</v>
      </c>
      <c r="AW348" s="1">
        <v>13.365517106765779</v>
      </c>
      <c r="AX348" s="1">
        <v>15.452943636129152</v>
      </c>
      <c r="AY348" s="2">
        <v>2141020.8330582832</v>
      </c>
      <c r="AZ348" s="1">
        <v>15.200797357163895</v>
      </c>
      <c r="BA348" s="1">
        <v>17.236167868262875</v>
      </c>
      <c r="BB348" s="2">
        <v>1616871.9840837948</v>
      </c>
      <c r="BC348" s="2">
        <f t="shared" si="42"/>
        <v>-524148.84897448844</v>
      </c>
      <c r="BD348" s="292">
        <f t="shared" si="43"/>
        <v>1.8352802503981156</v>
      </c>
      <c r="BF348" s="170">
        <f t="shared" si="38"/>
        <v>-2538.0959757585078</v>
      </c>
      <c r="BG348" s="2">
        <f t="shared" si="39"/>
        <v>815255.59306242852</v>
      </c>
      <c r="BI348">
        <f t="shared" si="40"/>
        <v>0</v>
      </c>
      <c r="BJ348" s="95">
        <f t="shared" si="41"/>
        <v>1</v>
      </c>
      <c r="BP348" s="217">
        <f t="shared" si="44"/>
        <v>815255.59306242852</v>
      </c>
    </row>
    <row r="349" spans="1:68">
      <c r="A349" s="11">
        <v>343</v>
      </c>
      <c r="C349" s="27">
        <v>0.9217083208752862</v>
      </c>
      <c r="D349" s="27">
        <v>7.8291679124713798E-2</v>
      </c>
      <c r="E349" s="27">
        <v>0</v>
      </c>
      <c r="F349" s="27">
        <v>0.85750051557296203</v>
      </c>
      <c r="G349" s="27">
        <v>0.142499484427038</v>
      </c>
      <c r="H349" s="27">
        <v>0</v>
      </c>
      <c r="I349" s="27">
        <v>0.745302763349729</v>
      </c>
      <c r="J349" s="27">
        <v>0.254697236650271</v>
      </c>
      <c r="K349" s="27">
        <v>0</v>
      </c>
      <c r="L349" s="27">
        <v>0.11459739027164695</v>
      </c>
      <c r="M349" s="27">
        <v>0.48643501861793742</v>
      </c>
      <c r="N349" s="27">
        <v>0.39896759111041569</v>
      </c>
      <c r="O349" s="27">
        <v>-11.555299929614634</v>
      </c>
      <c r="P349" s="27">
        <v>3.5626388085150777E-2</v>
      </c>
      <c r="Q349" s="27">
        <v>4.2799179332343925E-5</v>
      </c>
      <c r="R349" s="27">
        <v>1.120509652238147</v>
      </c>
      <c r="S349" s="154"/>
      <c r="T349">
        <v>1.0278812957012651</v>
      </c>
      <c r="U349">
        <v>2.309581705324832</v>
      </c>
      <c r="V349">
        <v>2.8601528249792549</v>
      </c>
      <c r="W349">
        <v>1</v>
      </c>
      <c r="Y349" s="2">
        <v>160.7937894472561</v>
      </c>
      <c r="Z349" s="2">
        <v>1003.3598847556468</v>
      </c>
      <c r="AA349" s="2">
        <v>300.69779758203629</v>
      </c>
      <c r="AB349" s="2">
        <v>1901.4074377964178</v>
      </c>
      <c r="AC349" s="2">
        <v>1831.0068254482937</v>
      </c>
      <c r="AD349" s="2">
        <v>264.67942994778201</v>
      </c>
      <c r="AE349" s="2">
        <v>495.39745833144377</v>
      </c>
      <c r="AF349" s="2">
        <v>943.68427636218689</v>
      </c>
      <c r="AG349" s="2">
        <v>99.133866637690133</v>
      </c>
      <c r="AH349" s="2">
        <v>272.10077930016251</v>
      </c>
      <c r="AI349" s="2">
        <v>523283.45294711774</v>
      </c>
      <c r="AJ349" s="2">
        <v>492998.55986652558</v>
      </c>
      <c r="AL349" s="27">
        <v>0.91251197827753261</v>
      </c>
      <c r="AM349" s="27">
        <v>0.91608284707087706</v>
      </c>
      <c r="AN349" s="27">
        <v>0.90449949401194574</v>
      </c>
      <c r="AO349" s="27">
        <v>0.8779244283099874</v>
      </c>
      <c r="AP349" s="27">
        <v>0.64030143757936542</v>
      </c>
      <c r="AQ349" s="27">
        <v>0.91251197827753261</v>
      </c>
      <c r="AR349" s="27">
        <v>0.91608284707087706</v>
      </c>
      <c r="AS349" s="27">
        <v>0.90449949401194574</v>
      </c>
      <c r="AT349" s="27">
        <v>0.8779244283099874</v>
      </c>
      <c r="AU349" s="27">
        <v>0.64030143757936542</v>
      </c>
      <c r="AW349" s="1">
        <v>13.001467974452572</v>
      </c>
      <c r="AX349" s="1">
        <v>15.179411857178998</v>
      </c>
      <c r="AY349" s="2">
        <v>1879101.091039103</v>
      </c>
      <c r="AZ349" s="1">
        <v>15.034214057585421</v>
      </c>
      <c r="BA349" s="1">
        <v>17.131007568711642</v>
      </c>
      <c r="BB349" s="2">
        <v>1331784.3092898864</v>
      </c>
      <c r="BC349" s="2">
        <f t="shared" si="42"/>
        <v>-547316.78174921661</v>
      </c>
      <c r="BD349" s="292">
        <f t="shared" si="43"/>
        <v>2.0327460831328494</v>
      </c>
      <c r="BF349" s="170">
        <f t="shared" si="38"/>
        <v>201133.78487330861</v>
      </c>
      <c r="BG349" s="2">
        <f t="shared" si="39"/>
        <v>1073689.9399237812</v>
      </c>
      <c r="BI349">
        <f t="shared" si="40"/>
        <v>0</v>
      </c>
      <c r="BJ349" s="95">
        <f t="shared" si="41"/>
        <v>1</v>
      </c>
      <c r="BP349" s="217">
        <f t="shared" si="44"/>
        <v>1073689.9399237812</v>
      </c>
    </row>
    <row r="350" spans="1:68">
      <c r="A350" s="11">
        <v>344</v>
      </c>
      <c r="C350" s="27">
        <v>0.92466879581190686</v>
      </c>
      <c r="D350" s="27">
        <v>7.5331204188093082E-2</v>
      </c>
      <c r="E350" s="27">
        <v>0</v>
      </c>
      <c r="F350" s="27">
        <v>0.86104542174402199</v>
      </c>
      <c r="G350" s="27">
        <v>0.13895457825597798</v>
      </c>
      <c r="H350" s="27">
        <v>0</v>
      </c>
      <c r="I350" s="27">
        <v>0.74388133620372676</v>
      </c>
      <c r="J350" s="27">
        <v>0.25611866379627324</v>
      </c>
      <c r="K350" s="27">
        <v>0</v>
      </c>
      <c r="L350" s="27">
        <v>0.11928698905908242</v>
      </c>
      <c r="M350" s="27">
        <v>0.54880781550904079</v>
      </c>
      <c r="N350" s="27">
        <v>0.3319051954318768</v>
      </c>
      <c r="O350" s="27">
        <v>-11.032988551174443</v>
      </c>
      <c r="P350" s="27">
        <v>3.3624466887223883E-2</v>
      </c>
      <c r="Q350" s="27">
        <v>6.6337119747854467E-5</v>
      </c>
      <c r="R350" s="27">
        <v>1.0661752953286614</v>
      </c>
      <c r="S350" s="154"/>
      <c r="T350">
        <v>1.0879335831493857</v>
      </c>
      <c r="U350">
        <v>2.2609378470161019</v>
      </c>
      <c r="V350">
        <v>2.9133245868231761</v>
      </c>
      <c r="W350">
        <v>1</v>
      </c>
      <c r="Y350" s="2">
        <v>2179.8302976291302</v>
      </c>
      <c r="Z350" s="2">
        <v>6985.2455860431455</v>
      </c>
      <c r="AA350" s="2">
        <v>717.98784795262202</v>
      </c>
      <c r="AB350" s="2">
        <v>9389.2492264918474</v>
      </c>
      <c r="AC350" s="2">
        <v>2170.3074772537661</v>
      </c>
      <c r="AD350" s="2">
        <v>628.55957252848145</v>
      </c>
      <c r="AE350" s="2">
        <v>531.06914917086283</v>
      </c>
      <c r="AF350" s="2">
        <v>1207.4420212079572</v>
      </c>
      <c r="AG350" s="2">
        <v>82.062987748820603</v>
      </c>
      <c r="AH350" s="2">
        <v>438.18118162069561</v>
      </c>
      <c r="AI350" s="2">
        <v>393892.59389757033</v>
      </c>
      <c r="AJ350" s="2">
        <v>372101.5889816999</v>
      </c>
      <c r="AL350" s="27">
        <v>0.91161391408779791</v>
      </c>
      <c r="AM350" s="27">
        <v>0.91799042343631376</v>
      </c>
      <c r="AN350" s="27">
        <v>0.90490721161635046</v>
      </c>
      <c r="AO350" s="27">
        <v>0.90901111964301617</v>
      </c>
      <c r="AP350" s="27">
        <v>0.68865528436494261</v>
      </c>
      <c r="AQ350" s="27">
        <v>0.91161391408779791</v>
      </c>
      <c r="AR350" s="27">
        <v>0.91799042343631376</v>
      </c>
      <c r="AS350" s="27">
        <v>0.90490721161635046</v>
      </c>
      <c r="AT350" s="27">
        <v>0.90901111964301617</v>
      </c>
      <c r="AU350" s="27">
        <v>0.68865528436494261</v>
      </c>
      <c r="AW350" s="1">
        <v>13.512850856506049</v>
      </c>
      <c r="AX350" s="1">
        <v>15.690656511394169</v>
      </c>
      <c r="AY350" s="2">
        <v>1788838.3792138873</v>
      </c>
      <c r="AZ350" s="1">
        <v>15.516175423595454</v>
      </c>
      <c r="BA350" s="1">
        <v>17.602523865694312</v>
      </c>
      <c r="BB350" s="2">
        <v>1304333.7501401617</v>
      </c>
      <c r="BC350" s="2">
        <f t="shared" si="42"/>
        <v>-484504.62907372555</v>
      </c>
      <c r="BD350" s="292">
        <f t="shared" si="43"/>
        <v>2.0033245670894058</v>
      </c>
      <c r="BF350" s="170">
        <f t="shared" si="38"/>
        <v>373217.75782708032</v>
      </c>
      <c r="BG350" s="2">
        <f t="shared" si="39"/>
        <v>1178254.317635111</v>
      </c>
      <c r="BI350">
        <f t="shared" si="40"/>
        <v>0</v>
      </c>
      <c r="BJ350" s="95">
        <f t="shared" si="41"/>
        <v>1</v>
      </c>
      <c r="BP350" s="217">
        <f t="shared" si="44"/>
        <v>1178254.317635111</v>
      </c>
    </row>
    <row r="351" spans="1:68">
      <c r="A351" s="11">
        <v>345</v>
      </c>
      <c r="C351" s="27">
        <v>0.92280456223385832</v>
      </c>
      <c r="D351" s="27">
        <v>7.7195437766141684E-2</v>
      </c>
      <c r="E351" s="27">
        <v>0</v>
      </c>
      <c r="F351" s="27">
        <v>0.84750650734475508</v>
      </c>
      <c r="G351" s="27">
        <v>0.15249349265524492</v>
      </c>
      <c r="H351" s="27">
        <v>0</v>
      </c>
      <c r="I351" s="27">
        <v>0.75752739379329515</v>
      </c>
      <c r="J351" s="27">
        <v>0.24247260620670488</v>
      </c>
      <c r="K351" s="27">
        <v>0</v>
      </c>
      <c r="L351" s="27">
        <v>0.13081526059437576</v>
      </c>
      <c r="M351" s="27">
        <v>0.49667704505477905</v>
      </c>
      <c r="N351" s="27">
        <v>0.37250769435084519</v>
      </c>
      <c r="O351" s="27">
        <v>-11.189098180922352</v>
      </c>
      <c r="P351" s="27">
        <v>3.050918573485787E-2</v>
      </c>
      <c r="Q351" s="27">
        <v>4.9789204225329553E-5</v>
      </c>
      <c r="R351" s="27">
        <v>1.114928679996515</v>
      </c>
      <c r="S351" s="154"/>
      <c r="T351">
        <v>0.96140745438685826</v>
      </c>
      <c r="U351">
        <v>2.2083126151728987</v>
      </c>
      <c r="V351">
        <v>2.8757461818698307</v>
      </c>
      <c r="W351">
        <v>1</v>
      </c>
      <c r="Y351" s="2">
        <v>308.93701060757627</v>
      </c>
      <c r="Z351" s="2">
        <v>214.24476381918993</v>
      </c>
      <c r="AA351" s="2">
        <v>59.787860608704115</v>
      </c>
      <c r="AB351" s="2">
        <v>4216.6212720892127</v>
      </c>
      <c r="AC351" s="2">
        <v>1309.9368188840738</v>
      </c>
      <c r="AD351" s="2">
        <v>285.67892816126982</v>
      </c>
      <c r="AE351" s="2">
        <v>533.79274925123889</v>
      </c>
      <c r="AF351" s="2">
        <v>977.45057862386182</v>
      </c>
      <c r="AG351" s="2">
        <v>154.01698419981983</v>
      </c>
      <c r="AH351" s="2">
        <v>429.43342879038227</v>
      </c>
      <c r="AI351" s="2">
        <v>467655.86866330041</v>
      </c>
      <c r="AJ351" s="2">
        <v>440664.97878807446</v>
      </c>
      <c r="AL351" s="27">
        <v>0.91357015872269687</v>
      </c>
      <c r="AM351" s="27">
        <v>0.920209341309708</v>
      </c>
      <c r="AN351" s="27">
        <v>0.9030160048427508</v>
      </c>
      <c r="AO351" s="27">
        <v>0.8533377567855579</v>
      </c>
      <c r="AP351" s="27">
        <v>0.63018522025765766</v>
      </c>
      <c r="AQ351" s="27">
        <v>0.91357015872269687</v>
      </c>
      <c r="AR351" s="27">
        <v>0.920209341309708</v>
      </c>
      <c r="AS351" s="27">
        <v>0.9030160048427508</v>
      </c>
      <c r="AT351" s="27">
        <v>0.8533377567855579</v>
      </c>
      <c r="AU351" s="27">
        <v>0.63018522025765766</v>
      </c>
      <c r="AW351" s="1">
        <v>13.229462373936341</v>
      </c>
      <c r="AX351" s="1">
        <v>15.426401501329723</v>
      </c>
      <c r="AY351" s="2">
        <v>1600341.5653514026</v>
      </c>
      <c r="AZ351" s="1">
        <v>15.009092333285386</v>
      </c>
      <c r="BA351" s="1">
        <v>17.123648591587152</v>
      </c>
      <c r="BB351" s="2">
        <v>1237130.3595665628</v>
      </c>
      <c r="BC351" s="2">
        <f t="shared" si="42"/>
        <v>-363211.20578483981</v>
      </c>
      <c r="BD351" s="292">
        <f t="shared" si="43"/>
        <v>1.7796299593490446</v>
      </c>
      <c r="BF351" s="170">
        <f t="shared" si="38"/>
        <v>516372.41447841213</v>
      </c>
      <c r="BG351" s="2">
        <f t="shared" si="39"/>
        <v>1164324.4137590989</v>
      </c>
      <c r="BI351">
        <f t="shared" si="40"/>
        <v>0</v>
      </c>
      <c r="BJ351" s="95">
        <f t="shared" si="41"/>
        <v>1</v>
      </c>
      <c r="BP351" s="217">
        <f t="shared" si="44"/>
        <v>1164324.4137590989</v>
      </c>
    </row>
    <row r="352" spans="1:68">
      <c r="A352" s="11">
        <v>346</v>
      </c>
      <c r="C352" s="27">
        <v>0.92551664633352482</v>
      </c>
      <c r="D352" s="27">
        <v>7.448335366647521E-2</v>
      </c>
      <c r="E352" s="27">
        <v>0</v>
      </c>
      <c r="F352" s="27">
        <v>0.85363091039230865</v>
      </c>
      <c r="G352" s="27">
        <v>0.14636908960769135</v>
      </c>
      <c r="H352" s="27">
        <v>0</v>
      </c>
      <c r="I352" s="27">
        <v>0.74012425401276127</v>
      </c>
      <c r="J352" s="27">
        <v>0.25987574598723873</v>
      </c>
      <c r="K352" s="27">
        <v>0</v>
      </c>
      <c r="L352" s="27">
        <v>0.1501435800824501</v>
      </c>
      <c r="M352" s="27">
        <v>0.52373169657214813</v>
      </c>
      <c r="N352" s="27">
        <v>0.32612472334540177</v>
      </c>
      <c r="O352" s="27">
        <v>-11.237527918345577</v>
      </c>
      <c r="P352" s="27">
        <v>3.4927854952422004E-2</v>
      </c>
      <c r="Q352" s="27">
        <v>5.7108476036765429E-5</v>
      </c>
      <c r="R352" s="27">
        <v>1.0823951848931803</v>
      </c>
      <c r="S352" s="154"/>
      <c r="T352">
        <v>0.93710332696203258</v>
      </c>
      <c r="U352">
        <v>2.2754674042974292</v>
      </c>
      <c r="V352">
        <v>2.8029599781585492</v>
      </c>
      <c r="W352">
        <v>1</v>
      </c>
      <c r="Y352" s="2">
        <v>488.77074816611901</v>
      </c>
      <c r="Z352" s="2">
        <v>1036.589623499857</v>
      </c>
      <c r="AA352" s="2">
        <v>2953.1859248195619</v>
      </c>
      <c r="AB352" s="2">
        <v>875.192256366219</v>
      </c>
      <c r="AC352" s="2">
        <v>2891.9577130187527</v>
      </c>
      <c r="AD352" s="2">
        <v>27.52724216060237</v>
      </c>
      <c r="AE352" s="2">
        <v>598.74528006462867</v>
      </c>
      <c r="AF352" s="2">
        <v>867.06006520706796</v>
      </c>
      <c r="AG352" s="2">
        <v>143.71125894323532</v>
      </c>
      <c r="AH352" s="2">
        <v>562.83014537674876</v>
      </c>
      <c r="AI352" s="2">
        <v>394018.67498012912</v>
      </c>
      <c r="AJ352" s="2">
        <v>368201.02607816854</v>
      </c>
      <c r="AL352" s="27">
        <v>0.91892623309299082</v>
      </c>
      <c r="AM352" s="27">
        <v>0.91748190015958508</v>
      </c>
      <c r="AN352" s="27">
        <v>0.91101199756259943</v>
      </c>
      <c r="AO352" s="27">
        <v>0.8611374662358533</v>
      </c>
      <c r="AP352" s="27">
        <v>0.52508028008513796</v>
      </c>
      <c r="AQ352" s="27">
        <v>0.91892623309299082</v>
      </c>
      <c r="AR352" s="27">
        <v>0.91748190015958508</v>
      </c>
      <c r="AS352" s="27">
        <v>0.91101199756259943</v>
      </c>
      <c r="AT352" s="27">
        <v>0.8611374662358533</v>
      </c>
      <c r="AU352" s="27">
        <v>0.52508028008513796</v>
      </c>
      <c r="AW352" s="1">
        <v>13.410187443264416</v>
      </c>
      <c r="AX352" s="1">
        <v>16.047274745904936</v>
      </c>
      <c r="AY352" s="2">
        <v>1549655.9369246396</v>
      </c>
      <c r="AZ352" s="1">
        <v>15.093953452723795</v>
      </c>
      <c r="BA352" s="1">
        <v>17.518076970506712</v>
      </c>
      <c r="BB352" s="2">
        <v>1172415.8673014974</v>
      </c>
      <c r="BC352" s="2">
        <f t="shared" si="42"/>
        <v>-377240.06962314225</v>
      </c>
      <c r="BD352" s="292">
        <f t="shared" si="43"/>
        <v>1.6837660094593794</v>
      </c>
      <c r="BF352" s="170">
        <f t="shared" si="38"/>
        <v>595974.05399766704</v>
      </c>
      <c r="BG352" s="2">
        <f t="shared" si="39"/>
        <v>1242616.68513431</v>
      </c>
      <c r="BI352">
        <f t="shared" si="40"/>
        <v>0</v>
      </c>
      <c r="BJ352" s="95">
        <f t="shared" si="41"/>
        <v>1</v>
      </c>
      <c r="BP352" s="217">
        <f t="shared" si="44"/>
        <v>1242616.68513431</v>
      </c>
    </row>
    <row r="353" spans="1:68">
      <c r="A353" s="11">
        <v>347</v>
      </c>
      <c r="C353" s="27">
        <v>0.91948061474790621</v>
      </c>
      <c r="D353" s="27">
        <v>8.0519385252093789E-2</v>
      </c>
      <c r="E353" s="27">
        <v>0</v>
      </c>
      <c r="F353" s="27">
        <v>0.86279066170971908</v>
      </c>
      <c r="G353" s="27">
        <v>0.13720933829028095</v>
      </c>
      <c r="H353" s="27">
        <v>0</v>
      </c>
      <c r="I353" s="27">
        <v>0.75853081392799804</v>
      </c>
      <c r="J353" s="27">
        <v>0.24146918607200196</v>
      </c>
      <c r="K353" s="27">
        <v>0</v>
      </c>
      <c r="L353" s="27">
        <v>0.19816502105064832</v>
      </c>
      <c r="M353" s="27">
        <v>0.44118905245390516</v>
      </c>
      <c r="N353" s="27">
        <v>0.36064592649544652</v>
      </c>
      <c r="O353" s="27">
        <v>-11.381265859068884</v>
      </c>
      <c r="P353" s="27">
        <v>3.2413807243054538E-2</v>
      </c>
      <c r="Q353" s="27">
        <v>4.450602632796626E-5</v>
      </c>
      <c r="R353" s="27">
        <v>1.1280949836656429</v>
      </c>
      <c r="S353" s="154"/>
      <c r="T353">
        <v>0.94761600320153039</v>
      </c>
      <c r="U353">
        <v>2.3340280143361403</v>
      </c>
      <c r="V353">
        <v>2.8997747282794779</v>
      </c>
      <c r="W353">
        <v>1</v>
      </c>
      <c r="Y353" s="2">
        <v>358.9633357492383</v>
      </c>
      <c r="Z353" s="2">
        <v>123.12373727528045</v>
      </c>
      <c r="AA353" s="2">
        <v>2871.0353276337987</v>
      </c>
      <c r="AB353" s="2">
        <v>392.20952715450989</v>
      </c>
      <c r="AC353" s="2">
        <v>1338.3986572562922</v>
      </c>
      <c r="AD353" s="2">
        <v>517.5481515182131</v>
      </c>
      <c r="AE353" s="2">
        <v>604.82314236403397</v>
      </c>
      <c r="AF353" s="2">
        <v>1003.3530685072839</v>
      </c>
      <c r="AG353" s="2">
        <v>123.59092130267582</v>
      </c>
      <c r="AH353" s="2">
        <v>364.46998951807274</v>
      </c>
      <c r="AI353" s="2">
        <v>410218.08159550553</v>
      </c>
      <c r="AJ353" s="2">
        <v>383222.94282590237</v>
      </c>
      <c r="AL353" s="27">
        <v>0.91826373391769167</v>
      </c>
      <c r="AM353" s="27">
        <v>0.91353443763827624</v>
      </c>
      <c r="AN353" s="27">
        <v>0.90189850380244019</v>
      </c>
      <c r="AO353" s="27">
        <v>0.84858135729345241</v>
      </c>
      <c r="AP353" s="27">
        <v>0.71352994290298932</v>
      </c>
      <c r="AQ353" s="27">
        <v>0.91826373391769167</v>
      </c>
      <c r="AR353" s="27">
        <v>0.91353443763827624</v>
      </c>
      <c r="AS353" s="27">
        <v>0.90189850380244019</v>
      </c>
      <c r="AT353" s="27">
        <v>0.84858135729345241</v>
      </c>
      <c r="AU353" s="27">
        <v>0.71352994290298932</v>
      </c>
      <c r="AW353" s="1">
        <v>13.409158158993444</v>
      </c>
      <c r="AX353" s="1">
        <v>15.304169169409064</v>
      </c>
      <c r="AY353" s="2">
        <v>1338207.6768691163</v>
      </c>
      <c r="AZ353" s="1">
        <v>15.232399310057502</v>
      </c>
      <c r="BA353" s="1">
        <v>17.130741662066846</v>
      </c>
      <c r="BB353" s="2">
        <v>1011569.4667831055</v>
      </c>
      <c r="BC353" s="2">
        <f t="shared" si="42"/>
        <v>-326638.21008601075</v>
      </c>
      <c r="BD353" s="292">
        <f t="shared" si="43"/>
        <v>1.8232411510640585</v>
      </c>
      <c r="BF353" s="170">
        <f t="shared" si="38"/>
        <v>807257.62856983487</v>
      </c>
      <c r="BG353" s="2">
        <f t="shared" si="39"/>
        <v>1425614.422826095</v>
      </c>
      <c r="BI353">
        <f t="shared" si="40"/>
        <v>0</v>
      </c>
      <c r="BJ353" s="95">
        <f t="shared" si="41"/>
        <v>1</v>
      </c>
      <c r="BP353" s="217">
        <f t="shared" si="44"/>
        <v>1425614.422826095</v>
      </c>
    </row>
    <row r="354" spans="1:68">
      <c r="A354" s="11">
        <v>348</v>
      </c>
      <c r="C354" s="27">
        <v>0.92057771325208204</v>
      </c>
      <c r="D354" s="27">
        <v>7.9422286747917958E-2</v>
      </c>
      <c r="E354" s="27">
        <v>0</v>
      </c>
      <c r="F354" s="27">
        <v>0.85668739714943509</v>
      </c>
      <c r="G354" s="27">
        <v>0.14331260285056491</v>
      </c>
      <c r="H354" s="27">
        <v>0</v>
      </c>
      <c r="I354" s="27">
        <v>0.74939624579814113</v>
      </c>
      <c r="J354" s="27">
        <v>0.25060375420185887</v>
      </c>
      <c r="K354" s="27">
        <v>0</v>
      </c>
      <c r="L354" s="27">
        <v>9.309396025266059E-2</v>
      </c>
      <c r="M354" s="27">
        <v>0.51523866737301016</v>
      </c>
      <c r="N354" s="27">
        <v>0.39166737237432925</v>
      </c>
      <c r="O354" s="27">
        <v>-10.989182671919991</v>
      </c>
      <c r="P354" s="27">
        <v>3.1408874490530474E-2</v>
      </c>
      <c r="Q354" s="27">
        <v>6.3149227418157346E-5</v>
      </c>
      <c r="R354" s="27">
        <v>1.0695519951690526</v>
      </c>
      <c r="S354" s="154"/>
      <c r="T354">
        <v>1.0254115852027208</v>
      </c>
      <c r="U354">
        <v>2.3209099395829154</v>
      </c>
      <c r="V354">
        <v>3.0161611966092843</v>
      </c>
      <c r="W354">
        <v>1</v>
      </c>
      <c r="Y354" s="2">
        <v>253.94016467615305</v>
      </c>
      <c r="Z354" s="2">
        <v>6176.9370678520909</v>
      </c>
      <c r="AA354" s="2">
        <v>13.424668640229287</v>
      </c>
      <c r="AB354" s="2">
        <v>2352.1358953284648</v>
      </c>
      <c r="AC354" s="2">
        <v>631.68189960857512</v>
      </c>
      <c r="AD354" s="2">
        <v>1585.1237760490369</v>
      </c>
      <c r="AE354" s="2">
        <v>578.6803113181137</v>
      </c>
      <c r="AF354" s="2">
        <v>751.87108360372702</v>
      </c>
      <c r="AG354" s="2">
        <v>74.672223239719045</v>
      </c>
      <c r="AH354" s="2">
        <v>522.43710461189926</v>
      </c>
      <c r="AI354" s="2">
        <v>499030.73422017443</v>
      </c>
      <c r="AJ354" s="2">
        <v>462285.3208607026</v>
      </c>
      <c r="AL354" s="27">
        <v>0.91409877429368835</v>
      </c>
      <c r="AM354" s="27">
        <v>0.91838408629041512</v>
      </c>
      <c r="AN354" s="27">
        <v>0.91813192289460888</v>
      </c>
      <c r="AO354" s="27">
        <v>0.84200637685774482</v>
      </c>
      <c r="AP354" s="27">
        <v>0.72377193421629205</v>
      </c>
      <c r="AQ354" s="27">
        <v>0.91409877429368835</v>
      </c>
      <c r="AR354" s="27">
        <v>0.91838408629041512</v>
      </c>
      <c r="AS354" s="27">
        <v>0.91813192289460888</v>
      </c>
      <c r="AT354" s="27">
        <v>0.84200637685774482</v>
      </c>
      <c r="AU354" s="27">
        <v>0.72377193421629205</v>
      </c>
      <c r="AW354" s="1">
        <v>13.353466490645969</v>
      </c>
      <c r="AX354" s="1">
        <v>15.334455157981166</v>
      </c>
      <c r="AY354" s="2">
        <v>1978168.544292035</v>
      </c>
      <c r="AZ354" s="1">
        <v>15.328171359704745</v>
      </c>
      <c r="BA354" s="1">
        <v>17.261303482702381</v>
      </c>
      <c r="BB354" s="2">
        <v>1383130.0268574217</v>
      </c>
      <c r="BC354" s="2">
        <f t="shared" si="42"/>
        <v>-595038.51743461331</v>
      </c>
      <c r="BD354" s="292">
        <f t="shared" si="43"/>
        <v>1.9747048690587761</v>
      </c>
      <c r="BF354" s="170">
        <f t="shared" si="38"/>
        <v>158386.09421131993</v>
      </c>
      <c r="BG354" s="2">
        <f t="shared" si="39"/>
        <v>1069377.3906953377</v>
      </c>
      <c r="BI354">
        <f t="shared" si="40"/>
        <v>0</v>
      </c>
      <c r="BJ354" s="95">
        <f t="shared" si="41"/>
        <v>1</v>
      </c>
      <c r="BP354" s="217">
        <f t="shared" si="44"/>
        <v>1069377.3906953377</v>
      </c>
    </row>
    <row r="355" spans="1:68">
      <c r="A355" s="11">
        <v>349</v>
      </c>
      <c r="C355" s="27">
        <v>0.92147488849576686</v>
      </c>
      <c r="D355" s="27">
        <v>7.8525111504233136E-2</v>
      </c>
      <c r="E355" s="27">
        <v>0</v>
      </c>
      <c r="F355" s="27">
        <v>0.86120386780374369</v>
      </c>
      <c r="G355" s="27">
        <v>0.13879613219625636</v>
      </c>
      <c r="H355" s="27">
        <v>0</v>
      </c>
      <c r="I355" s="27">
        <v>0.75850704846207784</v>
      </c>
      <c r="J355" s="27">
        <v>0.24149295153792213</v>
      </c>
      <c r="K355" s="27">
        <v>0</v>
      </c>
      <c r="L355" s="27">
        <v>0.14568871992862276</v>
      </c>
      <c r="M355" s="27">
        <v>0.4906303846575249</v>
      </c>
      <c r="N355" s="27">
        <v>0.3636808954138524</v>
      </c>
      <c r="O355" s="27">
        <v>-10.753630323446659</v>
      </c>
      <c r="P355" s="27">
        <v>2.9879730598209208E-2</v>
      </c>
      <c r="Q355" s="27">
        <v>7.4950576749498955E-5</v>
      </c>
      <c r="R355" s="27">
        <v>1.0582529491360415</v>
      </c>
      <c r="S355" s="154"/>
      <c r="T355">
        <v>0.99589059812835168</v>
      </c>
      <c r="U355">
        <v>2.3620865819478274</v>
      </c>
      <c r="V355">
        <v>2.879821127170791</v>
      </c>
      <c r="W355">
        <v>1</v>
      </c>
      <c r="Y355" s="2">
        <v>1647.9238176533408</v>
      </c>
      <c r="Z355" s="2">
        <v>2786.8037114696531</v>
      </c>
      <c r="AA355" s="2">
        <v>3348.0390069381947</v>
      </c>
      <c r="AB355" s="2">
        <v>2462.5265589309811</v>
      </c>
      <c r="AC355" s="2">
        <v>2700.6474040221124</v>
      </c>
      <c r="AD355" s="2">
        <v>83.779808963710749</v>
      </c>
      <c r="AE355" s="2">
        <v>638.77710705634968</v>
      </c>
      <c r="AF355" s="2">
        <v>1220.1557224846479</v>
      </c>
      <c r="AG355" s="2">
        <v>87.093410394059617</v>
      </c>
      <c r="AH355" s="2">
        <v>392.81573514262612</v>
      </c>
      <c r="AI355" s="2">
        <v>513103.49315899797</v>
      </c>
      <c r="AJ355" s="2">
        <v>471275.56805557117</v>
      </c>
      <c r="AL355" s="27">
        <v>0.9190185347981259</v>
      </c>
      <c r="AM355" s="27">
        <v>0.91488335532688714</v>
      </c>
      <c r="AN355" s="27">
        <v>0.91352199582369931</v>
      </c>
      <c r="AO355" s="27">
        <v>0.79581748368494221</v>
      </c>
      <c r="AP355" s="27">
        <v>0.61916426930996182</v>
      </c>
      <c r="AQ355" s="27">
        <v>0.9190185347981259</v>
      </c>
      <c r="AR355" s="27">
        <v>0.91488335532688714</v>
      </c>
      <c r="AS355" s="27">
        <v>0.91352199582369931</v>
      </c>
      <c r="AT355" s="27">
        <v>0.79581748368494221</v>
      </c>
      <c r="AU355" s="27">
        <v>0.61916426930996182</v>
      </c>
      <c r="AW355" s="1">
        <v>13.194829654402113</v>
      </c>
      <c r="AX355" s="1">
        <v>15.492536218009281</v>
      </c>
      <c r="AY355" s="2">
        <v>1933053.9854266127</v>
      </c>
      <c r="AZ355" s="1">
        <v>15.202255090029499</v>
      </c>
      <c r="BA355" s="1">
        <v>17.36161846659239</v>
      </c>
      <c r="BB355" s="2">
        <v>1392954.0690794822</v>
      </c>
      <c r="BC355" s="2">
        <f t="shared" si="42"/>
        <v>-540099.91634713043</v>
      </c>
      <c r="BD355" s="292">
        <f t="shared" si="43"/>
        <v>2.0074254356273862</v>
      </c>
      <c r="BF355" s="170">
        <f t="shared" si="38"/>
        <v>178118.75927772559</v>
      </c>
      <c r="BG355" s="2">
        <f t="shared" si="39"/>
        <v>1039406.7453252377</v>
      </c>
      <c r="BI355">
        <f t="shared" si="40"/>
        <v>0</v>
      </c>
      <c r="BJ355" s="95">
        <f t="shared" si="41"/>
        <v>1</v>
      </c>
      <c r="BP355" s="217">
        <f t="shared" si="44"/>
        <v>1039406.7453252377</v>
      </c>
    </row>
    <row r="356" spans="1:68">
      <c r="A356" s="11">
        <v>350</v>
      </c>
      <c r="C356" s="27">
        <v>0.92427275297408162</v>
      </c>
      <c r="D356" s="27">
        <v>7.5727247025918376E-2</v>
      </c>
      <c r="E356" s="27">
        <v>0</v>
      </c>
      <c r="F356" s="27">
        <v>0.85186985382373892</v>
      </c>
      <c r="G356" s="27">
        <v>0.14813014617626108</v>
      </c>
      <c r="H356" s="27">
        <v>0</v>
      </c>
      <c r="I356" s="27">
        <v>0.75107638165395629</v>
      </c>
      <c r="J356" s="27">
        <v>0.24892361834604371</v>
      </c>
      <c r="K356" s="27">
        <v>0</v>
      </c>
      <c r="L356" s="27">
        <v>0.2188060683038201</v>
      </c>
      <c r="M356" s="27">
        <v>0.42901938750010543</v>
      </c>
      <c r="N356" s="27">
        <v>0.35217454419607452</v>
      </c>
      <c r="O356" s="27">
        <v>-11.222133153761053</v>
      </c>
      <c r="P356" s="27">
        <v>3.3334677049247231E-2</v>
      </c>
      <c r="Q356" s="27">
        <v>5.4240824271987656E-5</v>
      </c>
      <c r="R356" s="27">
        <v>1.0924773285822811</v>
      </c>
      <c r="S356" s="154"/>
      <c r="T356">
        <v>1.0679360813599355</v>
      </c>
      <c r="U356">
        <v>2.2145857886617941</v>
      </c>
      <c r="V356">
        <v>3.2958971316134322</v>
      </c>
      <c r="W356">
        <v>1</v>
      </c>
      <c r="Y356" s="2">
        <v>227.5302505352052</v>
      </c>
      <c r="Z356" s="2">
        <v>69.312063756680146</v>
      </c>
      <c r="AA356" s="2">
        <v>1292.676295207224</v>
      </c>
      <c r="AB356" s="2">
        <v>6855.9133249694141</v>
      </c>
      <c r="AC356" s="2">
        <v>285.94057104182104</v>
      </c>
      <c r="AD356" s="2">
        <v>45.821631632405854</v>
      </c>
      <c r="AE356" s="2">
        <v>650.60481435666156</v>
      </c>
      <c r="AF356" s="2">
        <v>949.12988367895639</v>
      </c>
      <c r="AG356" s="2">
        <v>70.608958395038584</v>
      </c>
      <c r="AH356" s="2">
        <v>282.97607319393529</v>
      </c>
      <c r="AI356" s="2">
        <v>433057.06520694221</v>
      </c>
      <c r="AJ356" s="2">
        <v>395097.70103119611</v>
      </c>
      <c r="AL356" s="27">
        <v>0.919179851668676</v>
      </c>
      <c r="AM356" s="27">
        <v>0.91795280821201941</v>
      </c>
      <c r="AN356" s="27">
        <v>0.90298028315432155</v>
      </c>
      <c r="AO356" s="27">
        <v>0.88908786368292947</v>
      </c>
      <c r="AP356" s="27">
        <v>0.66290853790780679</v>
      </c>
      <c r="AQ356" s="27">
        <v>0.919179851668676</v>
      </c>
      <c r="AR356" s="27">
        <v>0.91795280821201941</v>
      </c>
      <c r="AS356" s="27">
        <v>0.90298028315432155</v>
      </c>
      <c r="AT356" s="27">
        <v>0.88908786368292947</v>
      </c>
      <c r="AU356" s="27">
        <v>0.66290853790780679</v>
      </c>
      <c r="AW356" s="1">
        <v>13.149780607012632</v>
      </c>
      <c r="AX356" s="1">
        <v>15.205732115112784</v>
      </c>
      <c r="AY356" s="2">
        <v>1509850.2857251477</v>
      </c>
      <c r="AZ356" s="1">
        <v>15.249378188263213</v>
      </c>
      <c r="BA356" s="1">
        <v>17.236433633133512</v>
      </c>
      <c r="BB356" s="2">
        <v>1172491.8224162583</v>
      </c>
      <c r="BC356" s="2">
        <f t="shared" si="42"/>
        <v>-337358.46330888942</v>
      </c>
      <c r="BD356" s="292">
        <f t="shared" si="43"/>
        <v>2.0995975812505812</v>
      </c>
      <c r="BF356" s="170">
        <f t="shared" si="38"/>
        <v>594114.6113968736</v>
      </c>
      <c r="BG356" s="2">
        <f t="shared" si="39"/>
        <v>1267408.687705856</v>
      </c>
      <c r="BI356">
        <f t="shared" si="40"/>
        <v>0</v>
      </c>
      <c r="BJ356" s="95">
        <f t="shared" si="41"/>
        <v>1</v>
      </c>
      <c r="BP356" s="217">
        <f t="shared" si="44"/>
        <v>1267408.687705856</v>
      </c>
    </row>
    <row r="357" spans="1:68">
      <c r="A357" s="11">
        <v>351</v>
      </c>
      <c r="C357" s="27">
        <v>0.92627528919648994</v>
      </c>
      <c r="D357" s="27">
        <v>7.3724710803510063E-2</v>
      </c>
      <c r="E357" s="27">
        <v>0</v>
      </c>
      <c r="F357" s="27">
        <v>0.8600891300399568</v>
      </c>
      <c r="G357" s="27">
        <v>0.13991086996004318</v>
      </c>
      <c r="H357" s="27">
        <v>0</v>
      </c>
      <c r="I357" s="27">
        <v>0.74770639821553408</v>
      </c>
      <c r="J357" s="27">
        <v>0.25229360178446592</v>
      </c>
      <c r="K357" s="27">
        <v>0</v>
      </c>
      <c r="L357" s="27">
        <v>2.0289946097020395E-2</v>
      </c>
      <c r="M357" s="27">
        <v>0.58477238192181502</v>
      </c>
      <c r="N357" s="27">
        <v>0.39493767198116458</v>
      </c>
      <c r="O357" s="27">
        <v>-11.113001326299521</v>
      </c>
      <c r="P357" s="27">
        <v>3.6319263073781798E-2</v>
      </c>
      <c r="Q357" s="27">
        <v>6.8574330981443571E-5</v>
      </c>
      <c r="R357" s="27">
        <v>1.0587184944450376</v>
      </c>
      <c r="S357" s="154"/>
      <c r="T357">
        <v>1.0386364593490567</v>
      </c>
      <c r="U357">
        <v>2.2388558999306101</v>
      </c>
      <c r="V357">
        <v>2.9406461631677763</v>
      </c>
      <c r="W357">
        <v>1</v>
      </c>
      <c r="Y357" s="2">
        <v>1488.45947154897</v>
      </c>
      <c r="Z357" s="2">
        <v>1442.0252036583804</v>
      </c>
      <c r="AA357" s="2">
        <v>656.03135974389613</v>
      </c>
      <c r="AB357" s="2">
        <v>316.82427349771677</v>
      </c>
      <c r="AC357" s="2">
        <v>53.525041395013268</v>
      </c>
      <c r="AD357" s="2">
        <v>1700.7510463864257</v>
      </c>
      <c r="AE357" s="2">
        <v>571.77420667671538</v>
      </c>
      <c r="AF357" s="2">
        <v>1218.8750061522478</v>
      </c>
      <c r="AG357" s="2">
        <v>121.00638825704799</v>
      </c>
      <c r="AH357" s="2">
        <v>553.50548268529656</v>
      </c>
      <c r="AI357" s="2">
        <v>1335778.5974539272</v>
      </c>
      <c r="AJ357" s="2">
        <v>1300191.2636578199</v>
      </c>
      <c r="AL357" s="27">
        <v>0.9145731985807849</v>
      </c>
      <c r="AM357" s="27">
        <v>0.91365458418362466</v>
      </c>
      <c r="AN357" s="27">
        <v>0.90713656281625843</v>
      </c>
      <c r="AO357" s="27">
        <v>0.8933242882138579</v>
      </c>
      <c r="AP357" s="27">
        <v>0.77760717320973471</v>
      </c>
      <c r="AQ357" s="27">
        <v>0.9145731985807849</v>
      </c>
      <c r="AR357" s="27">
        <v>0.91365458418362466</v>
      </c>
      <c r="AS357" s="27">
        <v>0.90713656281625843</v>
      </c>
      <c r="AT357" s="27">
        <v>0.8933242882138579</v>
      </c>
      <c r="AU357" s="27">
        <v>0.77760717320973471</v>
      </c>
      <c r="AW357" s="1">
        <v>13.912841932197617</v>
      </c>
      <c r="AX357" s="1">
        <v>15.740231295307089</v>
      </c>
      <c r="AY357" s="2">
        <v>5436952.8688821886</v>
      </c>
      <c r="AZ357" s="1">
        <v>15.701124172381519</v>
      </c>
      <c r="BA357" s="1">
        <v>17.547332460224158</v>
      </c>
      <c r="BB357" s="2">
        <v>3780802.6746513955</v>
      </c>
      <c r="BC357" s="2">
        <f t="shared" si="42"/>
        <v>-1656150.194230793</v>
      </c>
      <c r="BD357" s="292">
        <f t="shared" si="43"/>
        <v>1.7882822401839018</v>
      </c>
      <c r="BF357" s="170">
        <f t="shared" si="38"/>
        <v>-3210898.1597305699</v>
      </c>
      <c r="BG357" s="2">
        <f t="shared" si="39"/>
        <v>-1268622.8070703526</v>
      </c>
      <c r="BI357">
        <f t="shared" si="40"/>
        <v>0</v>
      </c>
      <c r="BJ357" s="95">
        <f t="shared" si="41"/>
        <v>1</v>
      </c>
      <c r="BP357" s="217">
        <f t="shared" si="44"/>
        <v>-1268622.8070703526</v>
      </c>
    </row>
    <row r="358" spans="1:68">
      <c r="A358" s="11">
        <v>352</v>
      </c>
      <c r="C358" s="27">
        <v>0.92524747007699648</v>
      </c>
      <c r="D358" s="27">
        <v>7.4752529923003491E-2</v>
      </c>
      <c r="E358" s="27">
        <v>0</v>
      </c>
      <c r="F358" s="27">
        <v>0.85371974977468557</v>
      </c>
      <c r="G358" s="27">
        <v>0.14628025022531443</v>
      </c>
      <c r="H358" s="27">
        <v>0</v>
      </c>
      <c r="I358" s="27">
        <v>0.75284556236411382</v>
      </c>
      <c r="J358" s="27">
        <v>0.24715443763588621</v>
      </c>
      <c r="K358" s="27">
        <v>0</v>
      </c>
      <c r="L358" s="27">
        <v>0.16346732554572763</v>
      </c>
      <c r="M358" s="27">
        <v>0.43434436762909601</v>
      </c>
      <c r="N358" s="27">
        <v>0.40218830682517637</v>
      </c>
      <c r="O358" s="27">
        <v>-11.011740138212414</v>
      </c>
      <c r="P358" s="27">
        <v>3.3171456622230734E-2</v>
      </c>
      <c r="Q358" s="27">
        <v>6.6484683504022311E-5</v>
      </c>
      <c r="R358" s="27">
        <v>1.0653597803923431</v>
      </c>
      <c r="S358" s="154"/>
      <c r="T358">
        <v>1.0042239904056312</v>
      </c>
      <c r="U358">
        <v>2.3677231302931823</v>
      </c>
      <c r="V358">
        <v>2.8094582609344956</v>
      </c>
      <c r="W358">
        <v>1</v>
      </c>
      <c r="Y358" s="2">
        <v>557.52743466636389</v>
      </c>
      <c r="Z358" s="2">
        <v>3420.8417505839529</v>
      </c>
      <c r="AA358" s="2">
        <v>996.70972432592464</v>
      </c>
      <c r="AB358" s="2">
        <v>49.805376312424855</v>
      </c>
      <c r="AC358" s="2">
        <v>1848.9151954695981</v>
      </c>
      <c r="AD358" s="2">
        <v>2459.3877130798201</v>
      </c>
      <c r="AE358" s="2">
        <v>564.19130062984914</v>
      </c>
      <c r="AF358" s="2">
        <v>1369.1905552346036</v>
      </c>
      <c r="AG358" s="2">
        <v>116.35341529335739</v>
      </c>
      <c r="AH358" s="2">
        <v>273.27270658333498</v>
      </c>
      <c r="AI358" s="2">
        <v>451983.47807633609</v>
      </c>
      <c r="AJ358" s="2">
        <v>421184.26184290356</v>
      </c>
      <c r="AL358" s="27">
        <v>0.91797575408887999</v>
      </c>
      <c r="AM358" s="27">
        <v>0.91298778728867813</v>
      </c>
      <c r="AN358" s="27">
        <v>0.90474268523262469</v>
      </c>
      <c r="AO358" s="27">
        <v>0.86917896383417559</v>
      </c>
      <c r="AP358" s="27">
        <v>0.73133094015732847</v>
      </c>
      <c r="AQ358" s="27">
        <v>0.91797575408887999</v>
      </c>
      <c r="AR358" s="27">
        <v>0.91298778728867813</v>
      </c>
      <c r="AS358" s="27">
        <v>0.90474268523262469</v>
      </c>
      <c r="AT358" s="27">
        <v>0.86917896383417559</v>
      </c>
      <c r="AU358" s="27">
        <v>0.73133094015732847</v>
      </c>
      <c r="AW358" s="1">
        <v>13.472497329036756</v>
      </c>
      <c r="AX358" s="1">
        <v>15.319096101522101</v>
      </c>
      <c r="AY358" s="2">
        <v>1576059.1199819949</v>
      </c>
      <c r="AZ358" s="1">
        <v>15.336365502961289</v>
      </c>
      <c r="BA358" s="1">
        <v>17.193394549864166</v>
      </c>
      <c r="BB358" s="2">
        <v>1126069.3600600071</v>
      </c>
      <c r="BC358" s="2">
        <f t="shared" si="42"/>
        <v>-449989.75992198777</v>
      </c>
      <c r="BD358" s="292">
        <f t="shared" si="43"/>
        <v>1.8638681739245335</v>
      </c>
      <c r="BF358" s="170">
        <f t="shared" si="38"/>
        <v>579540.4526638859</v>
      </c>
      <c r="BG358" s="2">
        <f t="shared" si="39"/>
        <v>1327749.1204137991</v>
      </c>
      <c r="BI358">
        <f t="shared" si="40"/>
        <v>0</v>
      </c>
      <c r="BJ358" s="95">
        <f t="shared" si="41"/>
        <v>1</v>
      </c>
      <c r="BP358" s="217">
        <f t="shared" si="44"/>
        <v>1327749.1204137991</v>
      </c>
    </row>
    <row r="359" spans="1:68">
      <c r="A359" s="11">
        <v>353</v>
      </c>
      <c r="C359" s="27">
        <v>0.92127807166297959</v>
      </c>
      <c r="D359" s="27">
        <v>7.8721928337020408E-2</v>
      </c>
      <c r="E359" s="27">
        <v>0</v>
      </c>
      <c r="F359" s="27">
        <v>0.85694939841710493</v>
      </c>
      <c r="G359" s="27">
        <v>0.14305060158289507</v>
      </c>
      <c r="H359" s="27">
        <v>0</v>
      </c>
      <c r="I359" s="27">
        <v>0.74388037607642532</v>
      </c>
      <c r="J359" s="27">
        <v>0.25611962392357468</v>
      </c>
      <c r="K359" s="27">
        <v>0</v>
      </c>
      <c r="L359" s="27">
        <v>0.10853860229415624</v>
      </c>
      <c r="M359" s="27">
        <v>0.53452789269263801</v>
      </c>
      <c r="N359" s="27">
        <v>0.35693350501320575</v>
      </c>
      <c r="O359" s="27">
        <v>-11.541609779828333</v>
      </c>
      <c r="P359" s="27">
        <v>3.5933158384105095E-2</v>
      </c>
      <c r="Q359" s="27">
        <v>4.3951793466320575E-5</v>
      </c>
      <c r="R359" s="27">
        <v>1.1143555736210784</v>
      </c>
      <c r="S359" s="154"/>
      <c r="T359">
        <v>1.0175078186316886</v>
      </c>
      <c r="U359">
        <v>2.3209225316428785</v>
      </c>
      <c r="V359">
        <v>3.1604773379330924</v>
      </c>
      <c r="W359">
        <v>1</v>
      </c>
      <c r="Y359" s="2">
        <v>1607.6669217750155</v>
      </c>
      <c r="Z359" s="2">
        <v>8155.0209204288594</v>
      </c>
      <c r="AA359" s="2">
        <v>558.21419571901629</v>
      </c>
      <c r="AB359" s="2">
        <v>4700.9426375940893</v>
      </c>
      <c r="AC359" s="2">
        <v>3160.1676719925968</v>
      </c>
      <c r="AD359" s="2">
        <v>678.47960571020053</v>
      </c>
      <c r="AE359" s="2">
        <v>570.63408156905473</v>
      </c>
      <c r="AF359" s="2">
        <v>994.53357064682575</v>
      </c>
      <c r="AG359" s="2">
        <v>139.65503695351057</v>
      </c>
      <c r="AH359" s="2">
        <v>306.15659563450578</v>
      </c>
      <c r="AI359" s="2">
        <v>447340.1419781326</v>
      </c>
      <c r="AJ359" s="2">
        <v>412994.89585023647</v>
      </c>
      <c r="AL359" s="27">
        <v>0.91631167459561536</v>
      </c>
      <c r="AM359" s="27">
        <v>0.91318729277279409</v>
      </c>
      <c r="AN359" s="27">
        <v>0.91243350009560142</v>
      </c>
      <c r="AO359" s="27">
        <v>0.83665231356853209</v>
      </c>
      <c r="AP359" s="27">
        <v>0.79681546469336806</v>
      </c>
      <c r="AQ359" s="27">
        <v>0.91631167459561536</v>
      </c>
      <c r="AR359" s="27">
        <v>0.91318729277279409</v>
      </c>
      <c r="AS359" s="27">
        <v>0.91243350009560142</v>
      </c>
      <c r="AT359" s="27">
        <v>0.83665231356853209</v>
      </c>
      <c r="AU359" s="27">
        <v>0.79681546469336806</v>
      </c>
      <c r="AW359" s="1">
        <v>13.693800259888556</v>
      </c>
      <c r="AX359" s="1">
        <v>15.451505100901532</v>
      </c>
      <c r="AY359" s="2">
        <v>1892296.5981185883</v>
      </c>
      <c r="AZ359" s="1">
        <v>15.539168843626401</v>
      </c>
      <c r="BA359" s="1">
        <v>17.3304553494442</v>
      </c>
      <c r="BB359" s="2">
        <v>1304793.039130053</v>
      </c>
      <c r="BC359" s="2">
        <f t="shared" si="42"/>
        <v>-587503.55898853531</v>
      </c>
      <c r="BD359" s="292">
        <f t="shared" si="43"/>
        <v>1.8453685837378444</v>
      </c>
      <c r="BF359" s="170">
        <f t="shared" si="38"/>
        <v>298711.44346358068</v>
      </c>
      <c r="BG359" s="2">
        <f t="shared" si="39"/>
        <v>1181473.9758501709</v>
      </c>
      <c r="BI359">
        <f t="shared" si="40"/>
        <v>0</v>
      </c>
      <c r="BJ359" s="95">
        <f t="shared" si="41"/>
        <v>1</v>
      </c>
      <c r="BP359" s="217">
        <f t="shared" si="44"/>
        <v>1181473.9758501709</v>
      </c>
    </row>
    <row r="360" spans="1:68">
      <c r="A360" s="11">
        <v>354</v>
      </c>
      <c r="C360" s="27">
        <v>0.92468352934233444</v>
      </c>
      <c r="D360" s="27">
        <v>7.5316470657665516E-2</v>
      </c>
      <c r="E360" s="27">
        <v>0</v>
      </c>
      <c r="F360" s="27">
        <v>0.85380019189951795</v>
      </c>
      <c r="G360" s="27">
        <v>0.14619980810048205</v>
      </c>
      <c r="H360" s="27">
        <v>0</v>
      </c>
      <c r="I360" s="27">
        <v>0.74740426785575387</v>
      </c>
      <c r="J360" s="27">
        <v>0.25259573214424613</v>
      </c>
      <c r="K360" s="27">
        <v>0</v>
      </c>
      <c r="L360" s="27">
        <v>0.1968081930884869</v>
      </c>
      <c r="M360" s="27">
        <v>0.48308183539231753</v>
      </c>
      <c r="N360" s="27">
        <v>0.32010997151919557</v>
      </c>
      <c r="O360" s="27">
        <v>-11.225341817708358</v>
      </c>
      <c r="P360" s="27">
        <v>3.3667032072727615E-2</v>
      </c>
      <c r="Q360" s="27">
        <v>5.4827072040736775E-5</v>
      </c>
      <c r="R360" s="27">
        <v>1.0906450449844112</v>
      </c>
      <c r="S360" s="154"/>
      <c r="T360">
        <v>0.87607438247544134</v>
      </c>
      <c r="U360">
        <v>2.2514443820847405</v>
      </c>
      <c r="V360">
        <v>2.794737193780243</v>
      </c>
      <c r="W360">
        <v>1</v>
      </c>
      <c r="Y360" s="2">
        <v>3600.2860272884013</v>
      </c>
      <c r="Z360" s="2">
        <v>8137.8053974913919</v>
      </c>
      <c r="AA360" s="2">
        <v>1185.6341636627117</v>
      </c>
      <c r="AB360" s="2">
        <v>7819.9053535034436</v>
      </c>
      <c r="AC360" s="2">
        <v>1379.7820610590618</v>
      </c>
      <c r="AD360" s="2">
        <v>5659.2143850206157</v>
      </c>
      <c r="AE360" s="2">
        <v>614.19220314038216</v>
      </c>
      <c r="AF360" s="2">
        <v>1045.8410500633388</v>
      </c>
      <c r="AG360" s="2">
        <v>110.4643444299337</v>
      </c>
      <c r="AH360" s="2">
        <v>337.62276580374453</v>
      </c>
      <c r="AI360" s="2">
        <v>505706.29662615253</v>
      </c>
      <c r="AJ360" s="2">
        <v>467077.91232482065</v>
      </c>
      <c r="AL360" s="27">
        <v>0.91705510984811411</v>
      </c>
      <c r="AM360" s="27">
        <v>0.92012578962425184</v>
      </c>
      <c r="AN360" s="27">
        <v>0.90623436021207782</v>
      </c>
      <c r="AO360" s="27">
        <v>0.84904851857685992</v>
      </c>
      <c r="AP360" s="27">
        <v>0.64041917886448141</v>
      </c>
      <c r="AQ360" s="27">
        <v>0.91705510984811411</v>
      </c>
      <c r="AR360" s="27">
        <v>0.92012578962425184</v>
      </c>
      <c r="AS360" s="27">
        <v>0.90623436021207782</v>
      </c>
      <c r="AT360" s="27">
        <v>0.84904851857685992</v>
      </c>
      <c r="AU360" s="27">
        <v>0.64041917886448141</v>
      </c>
      <c r="AW360" s="1">
        <v>13.901722124102426</v>
      </c>
      <c r="AX360" s="1">
        <v>16.126818324633952</v>
      </c>
      <c r="AY360" s="2">
        <v>1932814.5327368961</v>
      </c>
      <c r="AZ360" s="1">
        <v>15.315293245085153</v>
      </c>
      <c r="BA360" s="1">
        <v>17.450000227200562</v>
      </c>
      <c r="BB360" s="2">
        <v>1582952.2582824863</v>
      </c>
      <c r="BC360" s="2">
        <f t="shared" si="42"/>
        <v>-349862.27445440972</v>
      </c>
      <c r="BD360" s="292">
        <f t="shared" si="43"/>
        <v>1.4135711209827271</v>
      </c>
      <c r="BF360" s="170">
        <f t="shared" si="38"/>
        <v>291461.00711949216</v>
      </c>
      <c r="BG360" s="2">
        <f t="shared" si="39"/>
        <v>867494.66093113786</v>
      </c>
      <c r="BI360">
        <f t="shared" si="40"/>
        <v>0</v>
      </c>
      <c r="BJ360" s="95">
        <f t="shared" si="41"/>
        <v>1</v>
      </c>
      <c r="BP360" s="217">
        <f t="shared" si="44"/>
        <v>867494.66093113786</v>
      </c>
    </row>
    <row r="361" spans="1:68">
      <c r="A361" s="11">
        <v>355</v>
      </c>
      <c r="C361" s="27">
        <v>0.92136279365082208</v>
      </c>
      <c r="D361" s="27">
        <v>7.8637206349177924E-2</v>
      </c>
      <c r="E361" s="27">
        <v>0</v>
      </c>
      <c r="F361" s="27">
        <v>0.85798835686044761</v>
      </c>
      <c r="G361" s="27">
        <v>0.14201164313955233</v>
      </c>
      <c r="H361" s="27">
        <v>0</v>
      </c>
      <c r="I361" s="27">
        <v>0.75283892486224402</v>
      </c>
      <c r="J361" s="27">
        <v>0.24716107513775604</v>
      </c>
      <c r="K361" s="27">
        <v>0</v>
      </c>
      <c r="L361" s="27">
        <v>0.13637790372222763</v>
      </c>
      <c r="M361" s="27">
        <v>0.5458119895623742</v>
      </c>
      <c r="N361" s="27">
        <v>0.31781010671539817</v>
      </c>
      <c r="O361" s="27">
        <v>-11.032672551439438</v>
      </c>
      <c r="P361" s="27">
        <v>3.5031718283442856E-2</v>
      </c>
      <c r="Q361" s="27">
        <v>7.0398374571851603E-5</v>
      </c>
      <c r="R361" s="27">
        <v>1.0519819715791887</v>
      </c>
      <c r="S361" s="154"/>
      <c r="T361">
        <v>0.87208358073161718</v>
      </c>
      <c r="U361">
        <v>2.2446073872019916</v>
      </c>
      <c r="V361">
        <v>2.9214897993839495</v>
      </c>
      <c r="W361">
        <v>1</v>
      </c>
      <c r="Y361" s="2">
        <v>306.54972269488673</v>
      </c>
      <c r="Z361" s="2">
        <v>1307.4070784900507</v>
      </c>
      <c r="AA361" s="2">
        <v>10.32448045421059</v>
      </c>
      <c r="AB361" s="2">
        <v>12201.428780276858</v>
      </c>
      <c r="AC361" s="2">
        <v>225.21141210162682</v>
      </c>
      <c r="AD361" s="2">
        <v>64.322199130643014</v>
      </c>
      <c r="AE361" s="2">
        <v>529.11483886951908</v>
      </c>
      <c r="AF361" s="2">
        <v>1027.0301749911994</v>
      </c>
      <c r="AG361" s="2">
        <v>158.84013406577586</v>
      </c>
      <c r="AH361" s="2">
        <v>552.95310151437172</v>
      </c>
      <c r="AI361" s="2">
        <v>475782.48618675245</v>
      </c>
      <c r="AJ361" s="2">
        <v>439214.63418414735</v>
      </c>
      <c r="AL361" s="27">
        <v>0.91697704094550625</v>
      </c>
      <c r="AM361" s="27">
        <v>0.91847021907062265</v>
      </c>
      <c r="AN361" s="27">
        <v>0.91036398693591125</v>
      </c>
      <c r="AO361" s="27">
        <v>0.83200722143482064</v>
      </c>
      <c r="AP361" s="27">
        <v>0.69504336663486033</v>
      </c>
      <c r="AQ361" s="27">
        <v>0.91697704094550625</v>
      </c>
      <c r="AR361" s="27">
        <v>0.91847021907062265</v>
      </c>
      <c r="AS361" s="27">
        <v>0.91036398693591125</v>
      </c>
      <c r="AT361" s="27">
        <v>0.83200722143482064</v>
      </c>
      <c r="AU361" s="27">
        <v>0.69504336663486033</v>
      </c>
      <c r="AW361" s="1">
        <v>14.151771568552567</v>
      </c>
      <c r="AX361" s="1">
        <v>16.318188424457716</v>
      </c>
      <c r="AY361" s="2">
        <v>1875721.4819522772</v>
      </c>
      <c r="AZ361" s="1">
        <v>15.545262766862596</v>
      </c>
      <c r="BA361" s="1">
        <v>17.631545295987063</v>
      </c>
      <c r="BB361" s="2">
        <v>1612028.1748582302</v>
      </c>
      <c r="BC361" s="2">
        <f t="shared" si="42"/>
        <v>-263693.30709404708</v>
      </c>
      <c r="BD361" s="292">
        <f t="shared" si="43"/>
        <v>1.3934911983100289</v>
      </c>
      <c r="BF361" s="170">
        <f t="shared" si="38"/>
        <v>388561.96901613357</v>
      </c>
      <c r="BG361" s="2">
        <f t="shared" si="39"/>
        <v>875213.86783978529</v>
      </c>
      <c r="BI361">
        <f t="shared" si="40"/>
        <v>0</v>
      </c>
      <c r="BJ361" s="95">
        <f t="shared" si="41"/>
        <v>1</v>
      </c>
      <c r="BP361" s="217">
        <f t="shared" si="44"/>
        <v>875213.86783978529</v>
      </c>
    </row>
    <row r="362" spans="1:68">
      <c r="A362" s="11">
        <v>356</v>
      </c>
      <c r="C362" s="27">
        <v>0.9207549710240458</v>
      </c>
      <c r="D362" s="27">
        <v>7.9245028975954201E-2</v>
      </c>
      <c r="E362" s="27">
        <v>0</v>
      </c>
      <c r="F362" s="27">
        <v>0.85934250900824338</v>
      </c>
      <c r="G362" s="27">
        <v>0.14065749099175656</v>
      </c>
      <c r="H362" s="27">
        <v>0</v>
      </c>
      <c r="I362" s="27">
        <v>0.7529109993762495</v>
      </c>
      <c r="J362" s="27">
        <v>0.2470890006237505</v>
      </c>
      <c r="K362" s="27">
        <v>0</v>
      </c>
      <c r="L362" s="27">
        <v>0.11124274946453827</v>
      </c>
      <c r="M362" s="27">
        <v>0.50396802316657219</v>
      </c>
      <c r="N362" s="27">
        <v>0.38478922736888954</v>
      </c>
      <c r="O362" s="27">
        <v>-11.006949966071689</v>
      </c>
      <c r="P362" s="27">
        <v>3.2850039189154689E-2</v>
      </c>
      <c r="Q362" s="27">
        <v>6.5908158683053168E-5</v>
      </c>
      <c r="R362" s="27">
        <v>1.0721501494201309</v>
      </c>
      <c r="S362" s="154"/>
      <c r="T362">
        <v>1.0333212176430031</v>
      </c>
      <c r="U362">
        <v>2.2831622607007325</v>
      </c>
      <c r="V362">
        <v>3.0444951706760146</v>
      </c>
      <c r="W362">
        <v>1</v>
      </c>
      <c r="Y362" s="2">
        <v>1122.0596652060519</v>
      </c>
      <c r="Z362" s="2">
        <v>17951.871216345808</v>
      </c>
      <c r="AA362" s="2">
        <v>2524.1793625680439</v>
      </c>
      <c r="AB362" s="2">
        <v>4320.4548870552608</v>
      </c>
      <c r="AC362" s="2">
        <v>6.4501129835915645</v>
      </c>
      <c r="AD362" s="2">
        <v>41.911998185267983</v>
      </c>
      <c r="AE362" s="2">
        <v>486.81889699320163</v>
      </c>
      <c r="AF362" s="2">
        <v>1203.2143988907346</v>
      </c>
      <c r="AG362" s="2">
        <v>101.8748840635008</v>
      </c>
      <c r="AH362" s="2">
        <v>612.65309174248193</v>
      </c>
      <c r="AI362" s="2">
        <v>471142.29862436245</v>
      </c>
      <c r="AJ362" s="2">
        <v>446571.26506835548</v>
      </c>
      <c r="AL362" s="27">
        <v>0.92779742360658024</v>
      </c>
      <c r="AM362" s="27">
        <v>0.91333367136276411</v>
      </c>
      <c r="AN362" s="27">
        <v>0.9089089433361317</v>
      </c>
      <c r="AO362" s="27">
        <v>0.91237081944255571</v>
      </c>
      <c r="AP362" s="27">
        <v>0.64315412854643705</v>
      </c>
      <c r="AQ362" s="27">
        <v>0.92779742360658024</v>
      </c>
      <c r="AR362" s="27">
        <v>0.91333367136276411</v>
      </c>
      <c r="AS362" s="27">
        <v>0.9089089433361317</v>
      </c>
      <c r="AT362" s="27">
        <v>0.91237081944255571</v>
      </c>
      <c r="AU362" s="27">
        <v>0.64315412854643705</v>
      </c>
      <c r="AW362" s="1">
        <v>13.209520769430789</v>
      </c>
      <c r="AX362" s="1">
        <v>15.277978955382938</v>
      </c>
      <c r="AY362" s="2">
        <v>2010999.1767051814</v>
      </c>
      <c r="AZ362" s="1">
        <v>15.278595539043781</v>
      </c>
      <c r="BA362" s="1">
        <v>17.255196734070001</v>
      </c>
      <c r="BB362" s="2">
        <v>1346451.1934667614</v>
      </c>
      <c r="BC362" s="2">
        <f t="shared" si="42"/>
        <v>-664547.98323841998</v>
      </c>
      <c r="BD362" s="292">
        <f t="shared" si="43"/>
        <v>2.0690747696129925</v>
      </c>
      <c r="BF362" s="170">
        <f t="shared" si="38"/>
        <v>102524.14640374505</v>
      </c>
      <c r="BG362" s="2">
        <f t="shared" si="39"/>
        <v>1098124.0927802438</v>
      </c>
      <c r="BI362">
        <f t="shared" si="40"/>
        <v>0</v>
      </c>
      <c r="BJ362" s="95">
        <f t="shared" si="41"/>
        <v>1</v>
      </c>
      <c r="BP362" s="217">
        <f t="shared" si="44"/>
        <v>1098124.0927802438</v>
      </c>
    </row>
    <row r="363" spans="1:68">
      <c r="A363" s="11">
        <v>357</v>
      </c>
      <c r="C363" s="27">
        <v>0.92252902416279559</v>
      </c>
      <c r="D363" s="27">
        <v>7.7470975837204414E-2</v>
      </c>
      <c r="E363" s="27">
        <v>0</v>
      </c>
      <c r="F363" s="27">
        <v>0.85568870003710684</v>
      </c>
      <c r="G363" s="27">
        <v>0.14431129996289316</v>
      </c>
      <c r="H363" s="27">
        <v>0</v>
      </c>
      <c r="I363" s="27">
        <v>0.74951941144037371</v>
      </c>
      <c r="J363" s="27">
        <v>0.25048058855962629</v>
      </c>
      <c r="K363" s="27">
        <v>0</v>
      </c>
      <c r="L363" s="27">
        <v>0.10197441982172417</v>
      </c>
      <c r="M363" s="27">
        <v>0.47158686353790785</v>
      </c>
      <c r="N363" s="27">
        <v>0.42643871664036792</v>
      </c>
      <c r="O363" s="27">
        <v>-10.582450621689516</v>
      </c>
      <c r="P363" s="27">
        <v>2.8188992911107665E-2</v>
      </c>
      <c r="Q363" s="27">
        <v>8.2847174421486465E-5</v>
      </c>
      <c r="R363" s="27">
        <v>1.043794959407826</v>
      </c>
      <c r="S363" s="154"/>
      <c r="T363">
        <v>0.9946521957770964</v>
      </c>
      <c r="U363">
        <v>2.2116380941420979</v>
      </c>
      <c r="V363">
        <v>3.141828412946349</v>
      </c>
      <c r="W363">
        <v>1</v>
      </c>
      <c r="Y363" s="2">
        <v>1329.337798542995</v>
      </c>
      <c r="Z363" s="2">
        <v>356.13396083218259</v>
      </c>
      <c r="AA363" s="2">
        <v>448.05202288345293</v>
      </c>
      <c r="AB363" s="2">
        <v>2604.8875720546389</v>
      </c>
      <c r="AC363" s="2">
        <v>32.998401999945131</v>
      </c>
      <c r="AD363" s="2">
        <v>1663.9479134775154</v>
      </c>
      <c r="AE363" s="2">
        <v>566.80444697062637</v>
      </c>
      <c r="AF363" s="2">
        <v>1044.2229834779209</v>
      </c>
      <c r="AG363" s="2">
        <v>214.51213549247572</v>
      </c>
      <c r="AH363" s="2">
        <v>581.89166762131526</v>
      </c>
      <c r="AI363" s="2">
        <v>573307.66452166287</v>
      </c>
      <c r="AJ363" s="2">
        <v>549519.57896459813</v>
      </c>
      <c r="AL363" s="27">
        <v>0.91398490006998823</v>
      </c>
      <c r="AM363" s="27">
        <v>0.91989679377898348</v>
      </c>
      <c r="AN363" s="27">
        <v>0.89868763962375653</v>
      </c>
      <c r="AO363" s="27">
        <v>0.86750746052385386</v>
      </c>
      <c r="AP363" s="27">
        <v>0.65121466844521403</v>
      </c>
      <c r="AQ363" s="27">
        <v>0.91398490006998823</v>
      </c>
      <c r="AR363" s="27">
        <v>0.91989679377898348</v>
      </c>
      <c r="AS363" s="27">
        <v>0.89868763962375653</v>
      </c>
      <c r="AT363" s="27">
        <v>0.86750746052385386</v>
      </c>
      <c r="AU363" s="27">
        <v>0.65121466844521403</v>
      </c>
      <c r="AW363" s="1">
        <v>13.139530970728071</v>
      </c>
      <c r="AX363" s="1">
        <v>15.253580266723745</v>
      </c>
      <c r="AY363" s="2">
        <v>2012918.3275890956</v>
      </c>
      <c r="AZ363" s="1">
        <v>15.067848742110083</v>
      </c>
      <c r="BA363" s="1">
        <v>17.119661832070719</v>
      </c>
      <c r="BB363" s="2">
        <v>1503281.9495766805</v>
      </c>
      <c r="BC363" s="2">
        <f t="shared" si="42"/>
        <v>-509636.37801241502</v>
      </c>
      <c r="BD363" s="292">
        <f t="shared" si="43"/>
        <v>1.9283177713820123</v>
      </c>
      <c r="BF363" s="170">
        <f t="shared" si="38"/>
        <v>89406.627727395855</v>
      </c>
      <c r="BG363" s="2">
        <f t="shared" si="39"/>
        <v>907573.84916093294</v>
      </c>
      <c r="BI363">
        <f t="shared" si="40"/>
        <v>0</v>
      </c>
      <c r="BJ363" s="95">
        <f t="shared" si="41"/>
        <v>1</v>
      </c>
      <c r="BP363" s="217">
        <f t="shared" si="44"/>
        <v>907573.84916093294</v>
      </c>
    </row>
    <row r="364" spans="1:68">
      <c r="A364" s="11">
        <v>358</v>
      </c>
      <c r="C364" s="27">
        <v>0.92339311719635364</v>
      </c>
      <c r="D364" s="27">
        <v>7.6606882803646345E-2</v>
      </c>
      <c r="E364" s="27">
        <v>0</v>
      </c>
      <c r="F364" s="27">
        <v>0.86315934943829997</v>
      </c>
      <c r="G364" s="27">
        <v>0.13684065056170003</v>
      </c>
      <c r="H364" s="27">
        <v>0</v>
      </c>
      <c r="I364" s="27">
        <v>0.75297268331120892</v>
      </c>
      <c r="J364" s="27">
        <v>0.24702731668879113</v>
      </c>
      <c r="K364" s="27">
        <v>0</v>
      </c>
      <c r="L364" s="27">
        <v>5.3780232568008124E-3</v>
      </c>
      <c r="M364" s="27">
        <v>0.58335215399930029</v>
      </c>
      <c r="N364" s="27">
        <v>0.41126982274389889</v>
      </c>
      <c r="O364" s="27">
        <v>-11.560373145954237</v>
      </c>
      <c r="P364" s="27">
        <v>3.7221437792485185E-2</v>
      </c>
      <c r="Q364" s="27">
        <v>4.5533021013340833E-5</v>
      </c>
      <c r="R364" s="27">
        <v>1.1035735947509966</v>
      </c>
      <c r="S364" s="154"/>
      <c r="T364">
        <v>1.0590922870122208</v>
      </c>
      <c r="U364">
        <v>2.268135633420429</v>
      </c>
      <c r="V364">
        <v>2.8261045250977803</v>
      </c>
      <c r="W364">
        <v>1</v>
      </c>
      <c r="Y364" s="2">
        <v>93.790432820502545</v>
      </c>
      <c r="Z364" s="2">
        <v>4881.2215331088337</v>
      </c>
      <c r="AA364" s="2">
        <v>634.78596106171085</v>
      </c>
      <c r="AB364" s="2">
        <v>3373.4955526017211</v>
      </c>
      <c r="AC364" s="2">
        <v>1750.6095672966762</v>
      </c>
      <c r="AD364" s="2">
        <v>322.40218984382278</v>
      </c>
      <c r="AE364" s="2">
        <v>614.11801926443081</v>
      </c>
      <c r="AF364" s="2">
        <v>1203.7475198110608</v>
      </c>
      <c r="AG364" s="2">
        <v>132.57446104476355</v>
      </c>
      <c r="AH364" s="2">
        <v>636.37657119145695</v>
      </c>
      <c r="AI364" s="2">
        <v>416246.82352640561</v>
      </c>
      <c r="AJ364" s="2">
        <v>377887.45370021107</v>
      </c>
      <c r="AL364" s="27">
        <v>0.91759457654333421</v>
      </c>
      <c r="AM364" s="27">
        <v>0.91208747335648421</v>
      </c>
      <c r="AN364" s="27">
        <v>0.90857227843965149</v>
      </c>
      <c r="AO364" s="27">
        <v>0.83489978732076287</v>
      </c>
      <c r="AP364" s="27">
        <v>0.69227434756270589</v>
      </c>
      <c r="AQ364" s="27">
        <v>0.91759457654333421</v>
      </c>
      <c r="AR364" s="27">
        <v>0.91208747335648421</v>
      </c>
      <c r="AS364" s="27">
        <v>0.90857227843965149</v>
      </c>
      <c r="AT364" s="27">
        <v>0.83489978732076287</v>
      </c>
      <c r="AU364" s="27">
        <v>0.69227434756270589</v>
      </c>
      <c r="AW364" s="1">
        <v>13.421279571797999</v>
      </c>
      <c r="AX364" s="1">
        <v>15.525324535401992</v>
      </c>
      <c r="AY364" s="2">
        <v>1661506.7901036392</v>
      </c>
      <c r="AZ364" s="1">
        <v>15.423373419074895</v>
      </c>
      <c r="BA364" s="1">
        <v>17.453430069404725</v>
      </c>
      <c r="BB364" s="2">
        <v>1160309.3320112629</v>
      </c>
      <c r="BC364" s="2">
        <f t="shared" si="42"/>
        <v>-501197.45809237636</v>
      </c>
      <c r="BD364" s="292">
        <f t="shared" si="43"/>
        <v>2.0020938472768961</v>
      </c>
      <c r="BF364" s="170">
        <f t="shared" si="38"/>
        <v>485897.94138404052</v>
      </c>
      <c r="BG364" s="2">
        <f t="shared" si="39"/>
        <v>1307430.4150407203</v>
      </c>
      <c r="BI364">
        <f t="shared" si="40"/>
        <v>0</v>
      </c>
      <c r="BJ364" s="95">
        <f t="shared" si="41"/>
        <v>1</v>
      </c>
      <c r="BP364" s="217">
        <f t="shared" si="44"/>
        <v>1307430.4150407203</v>
      </c>
    </row>
    <row r="365" spans="1:68">
      <c r="A365" s="11">
        <v>359</v>
      </c>
      <c r="C365" s="27">
        <v>0.91913590244888954</v>
      </c>
      <c r="D365" s="27">
        <v>8.0864097551110459E-2</v>
      </c>
      <c r="E365" s="27">
        <v>0</v>
      </c>
      <c r="F365" s="27">
        <v>0.85657420026408593</v>
      </c>
      <c r="G365" s="27">
        <v>0.14342579973591407</v>
      </c>
      <c r="H365" s="27">
        <v>0</v>
      </c>
      <c r="I365" s="27">
        <v>0.75355451912802263</v>
      </c>
      <c r="J365" s="27">
        <v>0.24644548087197735</v>
      </c>
      <c r="K365" s="27">
        <v>0</v>
      </c>
      <c r="L365" s="27">
        <v>9.1432983135347257E-2</v>
      </c>
      <c r="M365" s="27">
        <v>0.54059993902772563</v>
      </c>
      <c r="N365" s="27">
        <v>0.36796707783692711</v>
      </c>
      <c r="O365" s="27">
        <v>-11.158025849151986</v>
      </c>
      <c r="P365" s="27">
        <v>3.5288924536020484E-2</v>
      </c>
      <c r="Q365" s="27">
        <v>6.2778931990158538E-5</v>
      </c>
      <c r="R365" s="27">
        <v>1.0674159198702384</v>
      </c>
      <c r="S365" s="154"/>
      <c r="T365">
        <v>1.0816663165820992</v>
      </c>
      <c r="U365">
        <v>2.3192249283323707</v>
      </c>
      <c r="V365">
        <v>2.8466170215895295</v>
      </c>
      <c r="W365">
        <v>1</v>
      </c>
      <c r="Y365" s="2">
        <v>552.32069845000319</v>
      </c>
      <c r="Z365" s="2">
        <v>260.17967377079134</v>
      </c>
      <c r="AA365" s="2">
        <v>67.995737387996869</v>
      </c>
      <c r="AB365" s="2">
        <v>169.93813648540021</v>
      </c>
      <c r="AC365" s="2">
        <v>4465.1234599843356</v>
      </c>
      <c r="AD365" s="2">
        <v>1080.9898662929893</v>
      </c>
      <c r="AE365" s="2">
        <v>583.79417114281921</v>
      </c>
      <c r="AF365" s="2">
        <v>1004.4685475376801</v>
      </c>
      <c r="AG365" s="2">
        <v>93.463202683626506</v>
      </c>
      <c r="AH365" s="2">
        <v>485.57941894152566</v>
      </c>
      <c r="AI365" s="2">
        <v>465128.62341956713</v>
      </c>
      <c r="AJ365" s="2">
        <v>427228.64062301599</v>
      </c>
      <c r="AL365" s="27">
        <v>0.92162388084436486</v>
      </c>
      <c r="AM365" s="27">
        <v>0.91416524460128523</v>
      </c>
      <c r="AN365" s="27">
        <v>0.91211791124454766</v>
      </c>
      <c r="AO365" s="27">
        <v>0.90371681212055366</v>
      </c>
      <c r="AP365" s="27">
        <v>0.77856585934703404</v>
      </c>
      <c r="AQ365" s="27">
        <v>0.92162388084436486</v>
      </c>
      <c r="AR365" s="27">
        <v>0.91416524460128523</v>
      </c>
      <c r="AS365" s="27">
        <v>0.91211791124454766</v>
      </c>
      <c r="AT365" s="27">
        <v>0.90371681212055366</v>
      </c>
      <c r="AU365" s="27">
        <v>0.77856585934703404</v>
      </c>
      <c r="AW365" s="1">
        <v>13.611567900962061</v>
      </c>
      <c r="AX365" s="1">
        <v>15.364055863930654</v>
      </c>
      <c r="AY365" s="2">
        <v>1963501.2278067637</v>
      </c>
      <c r="AZ365" s="1">
        <v>15.603633798302763</v>
      </c>
      <c r="BA365" s="1">
        <v>17.370960476415561</v>
      </c>
      <c r="BB365" s="2">
        <v>1321801.2792949434</v>
      </c>
      <c r="BC365" s="2">
        <f t="shared" si="42"/>
        <v>-641699.94851182029</v>
      </c>
      <c r="BD365" s="292">
        <f t="shared" si="43"/>
        <v>1.9920658973407015</v>
      </c>
      <c r="BF365" s="170">
        <f t="shared" si="38"/>
        <v>214349.63634716626</v>
      </c>
      <c r="BG365" s="2">
        <f t="shared" si="39"/>
        <v>1174780.1284334986</v>
      </c>
      <c r="BI365">
        <f t="shared" si="40"/>
        <v>0</v>
      </c>
      <c r="BJ365" s="95">
        <f t="shared" si="41"/>
        <v>1</v>
      </c>
      <c r="BP365" s="217">
        <f t="shared" si="44"/>
        <v>1174780.1284334986</v>
      </c>
    </row>
    <row r="366" spans="1:68">
      <c r="A366" s="11">
        <v>360</v>
      </c>
      <c r="C366" s="27">
        <v>0.92266417450994842</v>
      </c>
      <c r="D366" s="27">
        <v>7.733582549005158E-2</v>
      </c>
      <c r="E366" s="27">
        <v>0</v>
      </c>
      <c r="F366" s="27">
        <v>0.85332851873260984</v>
      </c>
      <c r="G366" s="27">
        <v>0.14667148126739016</v>
      </c>
      <c r="H366" s="27">
        <v>0</v>
      </c>
      <c r="I366" s="27">
        <v>0.75355861785678646</v>
      </c>
      <c r="J366" s="27">
        <v>0.24644138214321357</v>
      </c>
      <c r="K366" s="27">
        <v>0</v>
      </c>
      <c r="L366" s="27">
        <v>7.0522135032831446E-2</v>
      </c>
      <c r="M366" s="27">
        <v>0.5487839012833311</v>
      </c>
      <c r="N366" s="27">
        <v>0.38069396368383746</v>
      </c>
      <c r="O366" s="27">
        <v>-11.218480627974428</v>
      </c>
      <c r="P366" s="27">
        <v>3.4194593505977117E-2</v>
      </c>
      <c r="Q366" s="27">
        <v>5.6441395792923125E-5</v>
      </c>
      <c r="R366" s="27">
        <v>1.0827311535776509</v>
      </c>
      <c r="S366" s="154"/>
      <c r="T366">
        <v>0.97302608379632771</v>
      </c>
      <c r="U366">
        <v>2.2342802597933158</v>
      </c>
      <c r="V366">
        <v>2.8899399223395021</v>
      </c>
      <c r="W366">
        <v>1</v>
      </c>
      <c r="Y366" s="2">
        <v>329.72409812360559</v>
      </c>
      <c r="Z366" s="2">
        <v>1605.6849275720256</v>
      </c>
      <c r="AA366" s="2">
        <v>520.72957543569862</v>
      </c>
      <c r="AB366" s="2">
        <v>1831.0243622856372</v>
      </c>
      <c r="AC366" s="2">
        <v>315.97084328109088</v>
      </c>
      <c r="AD366" s="2">
        <v>2161.6821779345119</v>
      </c>
      <c r="AE366" s="2">
        <v>596.26506661032363</v>
      </c>
      <c r="AF366" s="2">
        <v>1116.6094301707153</v>
      </c>
      <c r="AG366" s="2">
        <v>186.25988528082291</v>
      </c>
      <c r="AH366" s="2">
        <v>296.7253229845474</v>
      </c>
      <c r="AI366" s="2">
        <v>531919.52026975143</v>
      </c>
      <c r="AJ366" s="2">
        <v>506101.22585470224</v>
      </c>
      <c r="AL366" s="27">
        <v>0.91990567487691455</v>
      </c>
      <c r="AM366" s="27">
        <v>0.91082331985859655</v>
      </c>
      <c r="AN366" s="27">
        <v>0.91319715316765782</v>
      </c>
      <c r="AO366" s="27">
        <v>0.8988757173906371</v>
      </c>
      <c r="AP366" s="27">
        <v>0.64264995541110326</v>
      </c>
      <c r="AQ366" s="27">
        <v>0.91990567487691455</v>
      </c>
      <c r="AR366" s="27">
        <v>0.91082331985859655</v>
      </c>
      <c r="AS366" s="27">
        <v>0.91319715316765782</v>
      </c>
      <c r="AT366" s="27">
        <v>0.8988757173906371</v>
      </c>
      <c r="AU366" s="27">
        <v>0.64264995541110326</v>
      </c>
      <c r="AW366" s="1">
        <v>13.500337672879642</v>
      </c>
      <c r="AX366" s="1">
        <v>15.700759358431391</v>
      </c>
      <c r="AY366" s="2">
        <v>2070884.2848040408</v>
      </c>
      <c r="AZ366" s="1">
        <v>15.264240458138319</v>
      </c>
      <c r="BA366" s="1">
        <v>17.366977011770611</v>
      </c>
      <c r="BB366" s="2">
        <v>1551582.0739224404</v>
      </c>
      <c r="BC366" s="2">
        <f t="shared" si="42"/>
        <v>-519302.21088160039</v>
      </c>
      <c r="BD366" s="292">
        <f t="shared" si="43"/>
        <v>1.7639027852586775</v>
      </c>
      <c r="BF366" s="170">
        <f t="shared" si="38"/>
        <v>89169.742856702069</v>
      </c>
      <c r="BG366" s="2">
        <f t="shared" si="39"/>
        <v>890696.39937969064</v>
      </c>
      <c r="BI366">
        <f t="shared" si="40"/>
        <v>0</v>
      </c>
      <c r="BJ366" s="95">
        <f t="shared" si="41"/>
        <v>1</v>
      </c>
      <c r="BP366" s="217">
        <f t="shared" si="44"/>
        <v>890696.39937969064</v>
      </c>
    </row>
    <row r="367" spans="1:68">
      <c r="A367" s="11">
        <v>361</v>
      </c>
      <c r="C367" s="27">
        <v>0.92327795585908701</v>
      </c>
      <c r="D367" s="27">
        <v>7.6722044140912965E-2</v>
      </c>
      <c r="E367" s="27">
        <v>0</v>
      </c>
      <c r="F367" s="27">
        <v>0.8583432923446962</v>
      </c>
      <c r="G367" s="27">
        <v>0.14165670765530383</v>
      </c>
      <c r="H367" s="27">
        <v>0</v>
      </c>
      <c r="I367" s="27">
        <v>0.75205513686432046</v>
      </c>
      <c r="J367" s="27">
        <v>0.24794486313567954</v>
      </c>
      <c r="K367" s="27">
        <v>0</v>
      </c>
      <c r="L367" s="27">
        <v>0.12528754206138826</v>
      </c>
      <c r="M367" s="27">
        <v>0.49380772953011337</v>
      </c>
      <c r="N367" s="27">
        <v>0.38090472840849843</v>
      </c>
      <c r="O367" s="27">
        <v>-11.575254773544211</v>
      </c>
      <c r="P367" s="27">
        <v>3.5351563132855895E-2</v>
      </c>
      <c r="Q367" s="27">
        <v>4.1472121731704407E-5</v>
      </c>
      <c r="R367" s="27">
        <v>1.1288339519679598</v>
      </c>
      <c r="S367" s="154"/>
      <c r="T367">
        <v>0.96285901838926569</v>
      </c>
      <c r="U367">
        <v>2.2727016074732616</v>
      </c>
      <c r="V367">
        <v>2.8311926325205579</v>
      </c>
      <c r="W367">
        <v>1</v>
      </c>
      <c r="Y367" s="2">
        <v>1743.9730577633597</v>
      </c>
      <c r="Z367" s="2">
        <v>2405.6591889337574</v>
      </c>
      <c r="AA367" s="2">
        <v>3495.4647041546955</v>
      </c>
      <c r="AB367" s="2">
        <v>2653.852856457524</v>
      </c>
      <c r="AC367" s="2">
        <v>1323.4028253021704</v>
      </c>
      <c r="AD367" s="2">
        <v>342.83163709645061</v>
      </c>
      <c r="AE367" s="2">
        <v>578.76043869140995</v>
      </c>
      <c r="AF367" s="2">
        <v>1168.9822395836711</v>
      </c>
      <c r="AG367" s="2">
        <v>75.238884803430224</v>
      </c>
      <c r="AH367" s="2">
        <v>399.8332058012611</v>
      </c>
      <c r="AI367" s="2">
        <v>539259.36406693712</v>
      </c>
      <c r="AJ367" s="2">
        <v>517415.39209329232</v>
      </c>
      <c r="AL367" s="27">
        <v>0.92012598107878341</v>
      </c>
      <c r="AM367" s="27">
        <v>0.91924534461806973</v>
      </c>
      <c r="AN367" s="27">
        <v>0.90246475243964164</v>
      </c>
      <c r="AO367" s="27">
        <v>0.84207383690760695</v>
      </c>
      <c r="AP367" s="27">
        <v>0.68846407573591162</v>
      </c>
      <c r="AQ367" s="27">
        <v>0.92012598107878341</v>
      </c>
      <c r="AR367" s="27">
        <v>0.91924534461806973</v>
      </c>
      <c r="AS367" s="27">
        <v>0.90246475243964164</v>
      </c>
      <c r="AT367" s="27">
        <v>0.84207383690760695</v>
      </c>
      <c r="AU367" s="27">
        <v>0.68846407573591162</v>
      </c>
      <c r="AW367" s="1">
        <v>13.521900700446594</v>
      </c>
      <c r="AX367" s="1">
        <v>15.502120864842905</v>
      </c>
      <c r="AY367" s="2">
        <v>1924558.5765020703</v>
      </c>
      <c r="AZ367" s="1">
        <v>15.291733532466123</v>
      </c>
      <c r="BA367" s="1">
        <v>17.230460698728606</v>
      </c>
      <c r="BB367" s="2">
        <v>1450079.3201789521</v>
      </c>
      <c r="BC367" s="2">
        <f t="shared" si="42"/>
        <v>-474479.25632311823</v>
      </c>
      <c r="BD367" s="292">
        <f t="shared" si="43"/>
        <v>1.7698328320195298</v>
      </c>
      <c r="BF367" s="170">
        <f t="shared" si="38"/>
        <v>238945.53556938469</v>
      </c>
      <c r="BG367" s="2">
        <f t="shared" si="39"/>
        <v>996598.04501562752</v>
      </c>
      <c r="BI367">
        <f t="shared" si="40"/>
        <v>0</v>
      </c>
      <c r="BJ367" s="95">
        <f t="shared" si="41"/>
        <v>1</v>
      </c>
      <c r="BP367" s="217">
        <f t="shared" si="44"/>
        <v>996598.04501562752</v>
      </c>
    </row>
    <row r="368" spans="1:68">
      <c r="A368" s="11">
        <v>362</v>
      </c>
      <c r="C368" s="27">
        <v>0.92607456417549117</v>
      </c>
      <c r="D368" s="27">
        <v>7.3925435824508862E-2</v>
      </c>
      <c r="E368" s="27">
        <v>0</v>
      </c>
      <c r="F368" s="27">
        <v>0.85682253219581794</v>
      </c>
      <c r="G368" s="27">
        <v>0.14317746780418206</v>
      </c>
      <c r="H368" s="27">
        <v>0</v>
      </c>
      <c r="I368" s="27">
        <v>0.75486487566082194</v>
      </c>
      <c r="J368" s="27">
        <v>0.24513512433917808</v>
      </c>
      <c r="K368" s="27">
        <v>0</v>
      </c>
      <c r="L368" s="27">
        <v>6.9176244921235086E-2</v>
      </c>
      <c r="M368" s="27">
        <v>0.53266863306346113</v>
      </c>
      <c r="N368" s="27">
        <v>0.39815512201530379</v>
      </c>
      <c r="O368" s="27">
        <v>-11.525484153256185</v>
      </c>
      <c r="P368" s="27">
        <v>3.4432800970524334E-2</v>
      </c>
      <c r="Q368" s="27">
        <v>4.1938491025792974E-5</v>
      </c>
      <c r="R368" s="27">
        <v>1.1275711771161616</v>
      </c>
      <c r="S368" s="154"/>
      <c r="T368">
        <v>0.94325550361453181</v>
      </c>
      <c r="U368">
        <v>2.2867916156695536</v>
      </c>
      <c r="V368">
        <v>2.9207780652919739</v>
      </c>
      <c r="W368">
        <v>1</v>
      </c>
      <c r="Y368" s="2">
        <v>2067.0273233094526</v>
      </c>
      <c r="Z368" s="2">
        <v>6882.4870994704834</v>
      </c>
      <c r="AA368" s="2">
        <v>307.34224967162493</v>
      </c>
      <c r="AB368" s="2">
        <v>3817.1639351321273</v>
      </c>
      <c r="AC368" s="2">
        <v>316.00191421163163</v>
      </c>
      <c r="AD368" s="2">
        <v>1128.4987402998049</v>
      </c>
      <c r="AE368" s="2">
        <v>567.31533276413882</v>
      </c>
      <c r="AF368" s="2">
        <v>1074.1420144836502</v>
      </c>
      <c r="AG368" s="2">
        <v>120.62881925295667</v>
      </c>
      <c r="AH368" s="2">
        <v>198.136810393263</v>
      </c>
      <c r="AI368" s="2">
        <v>522642.18493448041</v>
      </c>
      <c r="AJ368" s="2">
        <v>489934.12973210379</v>
      </c>
      <c r="AL368" s="27">
        <v>0.91445694208394468</v>
      </c>
      <c r="AM368" s="27">
        <v>0.90861700295761927</v>
      </c>
      <c r="AN368" s="27">
        <v>0.9091746747892685</v>
      </c>
      <c r="AO368" s="27">
        <v>0.84578647420619613</v>
      </c>
      <c r="AP368" s="27">
        <v>0.7242567377603224</v>
      </c>
      <c r="AQ368" s="27">
        <v>0.91445694208394468</v>
      </c>
      <c r="AR368" s="27">
        <v>0.90861700295761927</v>
      </c>
      <c r="AS368" s="27">
        <v>0.9091746747892685</v>
      </c>
      <c r="AT368" s="27">
        <v>0.84578647420619613</v>
      </c>
      <c r="AU368" s="27">
        <v>0.7242567377603224</v>
      </c>
      <c r="AW368" s="1">
        <v>13.714146269942203</v>
      </c>
      <c r="AX368" s="1">
        <v>15.660225542339209</v>
      </c>
      <c r="AY368" s="2">
        <v>1870674.0576391565</v>
      </c>
      <c r="AZ368" s="1">
        <v>15.368722404023151</v>
      </c>
      <c r="BA368" s="1">
        <v>17.313384012862937</v>
      </c>
      <c r="BB368" s="2">
        <v>1356061.8187697872</v>
      </c>
      <c r="BC368" s="2">
        <f t="shared" si="42"/>
        <v>-514612.23886936926</v>
      </c>
      <c r="BD368" s="292">
        <f t="shared" si="43"/>
        <v>1.6545761340809477</v>
      </c>
      <c r="BF368" s="170">
        <f t="shared" si="38"/>
        <v>323589.34555159602</v>
      </c>
      <c r="BG368" s="2">
        <f t="shared" si="39"/>
        <v>1102933.7658739171</v>
      </c>
      <c r="BI368">
        <f t="shared" si="40"/>
        <v>0</v>
      </c>
      <c r="BJ368" s="95">
        <f t="shared" si="41"/>
        <v>1</v>
      </c>
      <c r="BP368" s="217">
        <f t="shared" si="44"/>
        <v>1102933.7658739171</v>
      </c>
    </row>
    <row r="369" spans="1:68">
      <c r="A369" s="11">
        <v>363</v>
      </c>
      <c r="C369" s="27">
        <v>0.92365889584620453</v>
      </c>
      <c r="D369" s="27">
        <v>7.6341104153795483E-2</v>
      </c>
      <c r="E369" s="27">
        <v>0</v>
      </c>
      <c r="F369" s="27">
        <v>0.8528560119091434</v>
      </c>
      <c r="G369" s="27">
        <v>0.1471439880908566</v>
      </c>
      <c r="H369" s="27">
        <v>0</v>
      </c>
      <c r="I369" s="27">
        <v>0.74211424666316106</v>
      </c>
      <c r="J369" s="27">
        <v>0.25788575333683894</v>
      </c>
      <c r="K369" s="27">
        <v>0</v>
      </c>
      <c r="L369" s="27">
        <v>0.12978600434054588</v>
      </c>
      <c r="M369" s="27">
        <v>0.54013512421207444</v>
      </c>
      <c r="N369" s="27">
        <v>0.33007887144737968</v>
      </c>
      <c r="O369" s="27">
        <v>-11.014130670233726</v>
      </c>
      <c r="P369" s="27">
        <v>3.6369567135811354E-2</v>
      </c>
      <c r="Q369" s="27">
        <v>7.5860923310868837E-5</v>
      </c>
      <c r="R369" s="27">
        <v>1.0429718335051963</v>
      </c>
      <c r="S369" s="154"/>
      <c r="T369">
        <v>1.0577264302746299</v>
      </c>
      <c r="U369">
        <v>2.2495927703062266</v>
      </c>
      <c r="V369">
        <v>3.1094269128224541</v>
      </c>
      <c r="W369">
        <v>1</v>
      </c>
      <c r="Y369" s="2">
        <v>434.82755302142334</v>
      </c>
      <c r="Z369" s="2">
        <v>2492.7735781651122</v>
      </c>
      <c r="AA369" s="2">
        <v>1577.9394940603574</v>
      </c>
      <c r="AB369" s="2">
        <v>471.23193786818518</v>
      </c>
      <c r="AC369" s="2">
        <v>177.66495338504322</v>
      </c>
      <c r="AD369" s="2">
        <v>2248.4667220841625</v>
      </c>
      <c r="AE369" s="2">
        <v>552.36215681492888</v>
      </c>
      <c r="AF369" s="2">
        <v>1171.9056251127943</v>
      </c>
      <c r="AG369" s="2">
        <v>75.540659192084718</v>
      </c>
      <c r="AH369" s="2">
        <v>342.75560714145291</v>
      </c>
      <c r="AI369" s="2">
        <v>529802.58120564325</v>
      </c>
      <c r="AJ369" s="2">
        <v>495139.53658418154</v>
      </c>
      <c r="AL369" s="27">
        <v>0.92066451854589704</v>
      </c>
      <c r="AM369" s="27">
        <v>0.91644034630443882</v>
      </c>
      <c r="AN369" s="27">
        <v>0.91215727056345064</v>
      </c>
      <c r="AO369" s="27">
        <v>0.86861136835968256</v>
      </c>
      <c r="AP369" s="27">
        <v>0.77298451772908106</v>
      </c>
      <c r="AQ369" s="27">
        <v>0.92066451854589704</v>
      </c>
      <c r="AR369" s="27">
        <v>0.91644034630443882</v>
      </c>
      <c r="AS369" s="27">
        <v>0.91215727056345064</v>
      </c>
      <c r="AT369" s="27">
        <v>0.86861136835968256</v>
      </c>
      <c r="AU369" s="27">
        <v>0.77298451772908106</v>
      </c>
      <c r="AW369" s="1">
        <v>13.909261517204502</v>
      </c>
      <c r="AX369" s="1">
        <v>15.753873826097552</v>
      </c>
      <c r="AY369" s="2">
        <v>2301558.9316923684</v>
      </c>
      <c r="AZ369" s="1">
        <v>15.737230735340608</v>
      </c>
      <c r="BA369" s="1">
        <v>17.566473544250155</v>
      </c>
      <c r="BB369" s="2">
        <v>1644861.8774810513</v>
      </c>
      <c r="BC369" s="2">
        <f t="shared" si="42"/>
        <v>-656697.0542113171</v>
      </c>
      <c r="BD369" s="292">
        <f t="shared" si="43"/>
        <v>1.827969218136106</v>
      </c>
      <c r="BF369" s="170">
        <f t="shared" si="38"/>
        <v>-76077.088939648122</v>
      </c>
      <c r="BG369" s="2">
        <f t="shared" si="39"/>
        <v>873095.04017344629</v>
      </c>
      <c r="BI369">
        <f t="shared" si="40"/>
        <v>0</v>
      </c>
      <c r="BJ369" s="95">
        <f t="shared" si="41"/>
        <v>1</v>
      </c>
      <c r="BP369" s="217">
        <f t="shared" si="44"/>
        <v>873095.04017344629</v>
      </c>
    </row>
    <row r="370" spans="1:68">
      <c r="A370" s="11">
        <v>364</v>
      </c>
      <c r="C370" s="27">
        <v>0.92223590466736149</v>
      </c>
      <c r="D370" s="27">
        <v>7.7764095332638505E-2</v>
      </c>
      <c r="E370" s="27">
        <v>0</v>
      </c>
      <c r="F370" s="27">
        <v>0.85540379306912728</v>
      </c>
      <c r="G370" s="27">
        <v>0.14459620693087272</v>
      </c>
      <c r="H370" s="27">
        <v>0</v>
      </c>
      <c r="I370" s="27">
        <v>0.7509203523391409</v>
      </c>
      <c r="J370" s="27">
        <v>0.2490796476608591</v>
      </c>
      <c r="K370" s="27">
        <v>0</v>
      </c>
      <c r="L370" s="27">
        <v>9.6427708908305987E-2</v>
      </c>
      <c r="M370" s="27">
        <v>0.51068817182151205</v>
      </c>
      <c r="N370" s="27">
        <v>0.39288411927018196</v>
      </c>
      <c r="O370" s="27">
        <v>-11.009822367578453</v>
      </c>
      <c r="P370" s="27">
        <v>3.3951221229904467E-2</v>
      </c>
      <c r="Q370" s="27">
        <v>6.8829985245020227E-5</v>
      </c>
      <c r="R370" s="27">
        <v>1.0576433640545744</v>
      </c>
      <c r="S370" s="154"/>
      <c r="T370">
        <v>0.92747064028199389</v>
      </c>
      <c r="U370">
        <v>2.2514978982247009</v>
      </c>
      <c r="V370">
        <v>2.9192727129154799</v>
      </c>
      <c r="W370">
        <v>1</v>
      </c>
      <c r="Y370" s="2">
        <v>1567.0740631947026</v>
      </c>
      <c r="Z370" s="2">
        <v>4333.5098511884526</v>
      </c>
      <c r="AA370" s="2">
        <v>9278.8114215529604</v>
      </c>
      <c r="AB370" s="2">
        <v>998.23471258597476</v>
      </c>
      <c r="AC370" s="2">
        <v>3442.5959920134337</v>
      </c>
      <c r="AD370" s="2">
        <v>696.68328594379614</v>
      </c>
      <c r="AE370" s="2">
        <v>488.81150315520279</v>
      </c>
      <c r="AF370" s="2">
        <v>1012.1246211366451</v>
      </c>
      <c r="AG370" s="2">
        <v>160.66041749742135</v>
      </c>
      <c r="AH370" s="2">
        <v>456.15519987872034</v>
      </c>
      <c r="AI370" s="2">
        <v>448289.93278325145</v>
      </c>
      <c r="AJ370" s="2">
        <v>414805.06691788504</v>
      </c>
      <c r="AL370" s="27">
        <v>0.91491430484295833</v>
      </c>
      <c r="AM370" s="27">
        <v>0.90366480830728957</v>
      </c>
      <c r="AN370" s="27">
        <v>0.90436265602486277</v>
      </c>
      <c r="AO370" s="27">
        <v>0.91040269276015306</v>
      </c>
      <c r="AP370" s="27">
        <v>0.76526730411170596</v>
      </c>
      <c r="AQ370" s="27">
        <v>0.91491430484295833</v>
      </c>
      <c r="AR370" s="27">
        <v>0.90366480830728957</v>
      </c>
      <c r="AS370" s="27">
        <v>0.90436265602486277</v>
      </c>
      <c r="AT370" s="27">
        <v>0.91040269276015306</v>
      </c>
      <c r="AU370" s="27">
        <v>0.76526730411170596</v>
      </c>
      <c r="AW370" s="1">
        <v>13.902074515012195</v>
      </c>
      <c r="AX370" s="1">
        <v>15.739310092030344</v>
      </c>
      <c r="AY370" s="2">
        <v>1724846.0862271499</v>
      </c>
      <c r="AZ370" s="1">
        <v>15.429396019385875</v>
      </c>
      <c r="BA370" s="1">
        <v>17.309657248706905</v>
      </c>
      <c r="BB370" s="2">
        <v>1365861.4139937058</v>
      </c>
      <c r="BC370" s="2">
        <f t="shared" si="42"/>
        <v>-358984.67223344417</v>
      </c>
      <c r="BD370" s="292">
        <f t="shared" si="43"/>
        <v>1.5273215043736794</v>
      </c>
      <c r="BF370" s="170">
        <f t="shared" si="38"/>
        <v>499485.83617480122</v>
      </c>
      <c r="BG370" s="2">
        <f t="shared" si="39"/>
        <v>1102841.9491080341</v>
      </c>
      <c r="BI370">
        <f t="shared" si="40"/>
        <v>0</v>
      </c>
      <c r="BJ370" s="95">
        <f t="shared" si="41"/>
        <v>1</v>
      </c>
      <c r="BP370" s="217">
        <f t="shared" si="44"/>
        <v>1102841.9491080341</v>
      </c>
    </row>
    <row r="371" spans="1:68">
      <c r="A371" s="11">
        <v>365</v>
      </c>
      <c r="C371" s="27">
        <v>0.92307759290446811</v>
      </c>
      <c r="D371" s="27">
        <v>7.6922407095531886E-2</v>
      </c>
      <c r="E371" s="27">
        <v>0</v>
      </c>
      <c r="F371" s="27">
        <v>0.85461606077075469</v>
      </c>
      <c r="G371" s="27">
        <v>0.14538393922924531</v>
      </c>
      <c r="H371" s="27">
        <v>0</v>
      </c>
      <c r="I371" s="27">
        <v>0.74954478298084504</v>
      </c>
      <c r="J371" s="27">
        <v>0.25045521701915496</v>
      </c>
      <c r="K371" s="27">
        <v>0</v>
      </c>
      <c r="L371" s="27">
        <v>0.10109109742317435</v>
      </c>
      <c r="M371" s="27">
        <v>0.49792933194559275</v>
      </c>
      <c r="N371" s="27">
        <v>0.40097957063123291</v>
      </c>
      <c r="O371" s="27">
        <v>-11.17938195410677</v>
      </c>
      <c r="P371" s="27">
        <v>3.5055295109908499E-2</v>
      </c>
      <c r="Q371" s="27">
        <v>6.0852384091294495E-5</v>
      </c>
      <c r="R371" s="27">
        <v>1.0729608751638138</v>
      </c>
      <c r="S371" s="154"/>
      <c r="T371">
        <v>1.0327809576723443</v>
      </c>
      <c r="U371">
        <v>2.2726225202444787</v>
      </c>
      <c r="V371">
        <v>3.0960362352902027</v>
      </c>
      <c r="W371">
        <v>1</v>
      </c>
      <c r="Y371" s="2">
        <v>237.25166540574207</v>
      </c>
      <c r="Z371" s="2">
        <v>1889.7112421161642</v>
      </c>
      <c r="AA371" s="2">
        <v>2017.8032378056846</v>
      </c>
      <c r="AB371" s="2">
        <v>1321.461336994169</v>
      </c>
      <c r="AC371" s="2">
        <v>179.67778932402578</v>
      </c>
      <c r="AD371" s="2">
        <v>733.20774239457353</v>
      </c>
      <c r="AE371" s="2">
        <v>528.84393180650761</v>
      </c>
      <c r="AF371" s="2">
        <v>1037.7379871279518</v>
      </c>
      <c r="AG371" s="2">
        <v>134.39825397417846</v>
      </c>
      <c r="AH371" s="2">
        <v>300.19940709702576</v>
      </c>
      <c r="AI371" s="2">
        <v>449067.38109270245</v>
      </c>
      <c r="AJ371" s="2">
        <v>412680.60769243789</v>
      </c>
      <c r="AL371" s="27">
        <v>0.91736928505416448</v>
      </c>
      <c r="AM371" s="27">
        <v>0.90959218750036475</v>
      </c>
      <c r="AN371" s="27">
        <v>0.9052486012640647</v>
      </c>
      <c r="AO371" s="27">
        <v>0.85736844695946157</v>
      </c>
      <c r="AP371" s="27">
        <v>0.53611815965814835</v>
      </c>
      <c r="AQ371" s="27">
        <v>0.91736928505416448</v>
      </c>
      <c r="AR371" s="27">
        <v>0.90959218750036475</v>
      </c>
      <c r="AS371" s="27">
        <v>0.9052486012640647</v>
      </c>
      <c r="AT371" s="27">
        <v>0.85736844695946157</v>
      </c>
      <c r="AU371" s="27">
        <v>0.53611815965814835</v>
      </c>
      <c r="AW371" s="1">
        <v>12.780924533550522</v>
      </c>
      <c r="AX371" s="1">
        <v>15.326620511652802</v>
      </c>
      <c r="AY371" s="2">
        <v>1656852.2293960566</v>
      </c>
      <c r="AZ371" s="1">
        <v>14.900377035316893</v>
      </c>
      <c r="BA371" s="1">
        <v>17.254397161217369</v>
      </c>
      <c r="BB371" s="2">
        <v>1206425.1097815384</v>
      </c>
      <c r="BC371" s="2">
        <f t="shared" si="42"/>
        <v>-450427.11961451825</v>
      </c>
      <c r="BD371" s="292">
        <f t="shared" si="43"/>
        <v>2.1194525017663715</v>
      </c>
      <c r="BF371" s="170">
        <f t="shared" si="38"/>
        <v>388095.69597202679</v>
      </c>
      <c r="BG371" s="2">
        <f t="shared" si="39"/>
        <v>1177635.2158691643</v>
      </c>
      <c r="BI371">
        <f t="shared" si="40"/>
        <v>0</v>
      </c>
      <c r="BJ371" s="95">
        <f t="shared" si="41"/>
        <v>1</v>
      </c>
      <c r="BP371" s="217">
        <f t="shared" si="44"/>
        <v>1177635.2158691643</v>
      </c>
    </row>
    <row r="372" spans="1:68">
      <c r="A372" s="11">
        <v>366</v>
      </c>
      <c r="C372" s="27">
        <v>0.92240891271687753</v>
      </c>
      <c r="D372" s="27">
        <v>7.7591087283122473E-2</v>
      </c>
      <c r="E372" s="27">
        <v>0</v>
      </c>
      <c r="F372" s="27">
        <v>0.85367292857723698</v>
      </c>
      <c r="G372" s="27">
        <v>0.14632707142276302</v>
      </c>
      <c r="H372" s="27">
        <v>0</v>
      </c>
      <c r="I372" s="27">
        <v>0.75322987975515221</v>
      </c>
      <c r="J372" s="27">
        <v>0.24677012024484782</v>
      </c>
      <c r="K372" s="27">
        <v>0</v>
      </c>
      <c r="L372" s="27">
        <v>0.15622193013497226</v>
      </c>
      <c r="M372" s="27">
        <v>0.4929026189432974</v>
      </c>
      <c r="N372" s="27">
        <v>0.35087545092173028</v>
      </c>
      <c r="O372" s="27">
        <v>-11.80449799422224</v>
      </c>
      <c r="P372" s="27">
        <v>3.8835240340055012E-2</v>
      </c>
      <c r="Q372" s="27">
        <v>3.8171633377616167E-5</v>
      </c>
      <c r="R372" s="27">
        <v>1.1269723455102745</v>
      </c>
      <c r="S372" s="154"/>
      <c r="T372">
        <v>0.88185599335412679</v>
      </c>
      <c r="U372">
        <v>2.2332497882473845</v>
      </c>
      <c r="V372">
        <v>2.7990973896598264</v>
      </c>
      <c r="W372">
        <v>1</v>
      </c>
      <c r="Y372" s="2">
        <v>148.76954910848858</v>
      </c>
      <c r="Z372" s="2">
        <v>208.17814780889239</v>
      </c>
      <c r="AA372" s="2">
        <v>294.2592672765789</v>
      </c>
      <c r="AB372" s="2">
        <v>2303.0529519724819</v>
      </c>
      <c r="AC372" s="2">
        <v>736.36458126723574</v>
      </c>
      <c r="AD372" s="2">
        <v>1510.6046098884683</v>
      </c>
      <c r="AE372" s="2">
        <v>546.10521119058637</v>
      </c>
      <c r="AF372" s="2">
        <v>1338.2865090242583</v>
      </c>
      <c r="AG372" s="2">
        <v>73.842445094911369</v>
      </c>
      <c r="AH372" s="2">
        <v>452.64994762904382</v>
      </c>
      <c r="AI372" s="2">
        <v>364042.03196403047</v>
      </c>
      <c r="AJ372" s="2">
        <v>341466.4438843042</v>
      </c>
      <c r="AL372" s="27">
        <v>0.91720866918363464</v>
      </c>
      <c r="AM372" s="27">
        <v>0.91367103731196087</v>
      </c>
      <c r="AN372" s="27">
        <v>0.90303794349935573</v>
      </c>
      <c r="AO372" s="27">
        <v>0.8315072065058966</v>
      </c>
      <c r="AP372" s="27">
        <v>0.78435205115408868</v>
      </c>
      <c r="AQ372" s="27">
        <v>0.91720866918363464</v>
      </c>
      <c r="AR372" s="27">
        <v>0.91367103731196087</v>
      </c>
      <c r="AS372" s="27">
        <v>0.90303794349935573</v>
      </c>
      <c r="AT372" s="27">
        <v>0.8315072065058966</v>
      </c>
      <c r="AU372" s="27">
        <v>0.78435205115408868</v>
      </c>
      <c r="AW372" s="1">
        <v>14.153346564970221</v>
      </c>
      <c r="AX372" s="1">
        <v>15.946570250972469</v>
      </c>
      <c r="AY372" s="2">
        <v>1284700.4775823266</v>
      </c>
      <c r="AZ372" s="1">
        <v>15.5094276611217</v>
      </c>
      <c r="BA372" s="1">
        <v>17.332694625368209</v>
      </c>
      <c r="BB372" s="2">
        <v>1047172.9973584644</v>
      </c>
      <c r="BC372" s="2">
        <f t="shared" si="42"/>
        <v>-237527.48022386222</v>
      </c>
      <c r="BD372" s="292">
        <f t="shared" si="43"/>
        <v>1.3560810961514793</v>
      </c>
      <c r="BF372" s="170">
        <f t="shared" si="38"/>
        <v>979834.9728129087</v>
      </c>
      <c r="BG372" s="2">
        <f t="shared" si="39"/>
        <v>1434335.4284210077</v>
      </c>
      <c r="BI372">
        <f t="shared" si="40"/>
        <v>0</v>
      </c>
      <c r="BJ372" s="95">
        <f t="shared" si="41"/>
        <v>1</v>
      </c>
      <c r="BP372" s="217">
        <f t="shared" si="44"/>
        <v>1434335.4284210077</v>
      </c>
    </row>
    <row r="373" spans="1:68">
      <c r="A373" s="11">
        <v>367</v>
      </c>
      <c r="C373" s="27">
        <v>0.92242773003170009</v>
      </c>
      <c r="D373" s="27">
        <v>7.7572269968299912E-2</v>
      </c>
      <c r="E373" s="27">
        <v>0</v>
      </c>
      <c r="F373" s="27">
        <v>0.85515734775192509</v>
      </c>
      <c r="G373" s="27">
        <v>0.14484265224807491</v>
      </c>
      <c r="H373" s="27">
        <v>0</v>
      </c>
      <c r="I373" s="27">
        <v>0.74373297455603848</v>
      </c>
      <c r="J373" s="27">
        <v>0.25626702544396152</v>
      </c>
      <c r="K373" s="27">
        <v>0</v>
      </c>
      <c r="L373" s="27">
        <v>9.3962530645614883E-2</v>
      </c>
      <c r="M373" s="27">
        <v>0.49819164263973947</v>
      </c>
      <c r="N373" s="27">
        <v>0.40784582671464564</v>
      </c>
      <c r="O373" s="27">
        <v>-10.992097912745418</v>
      </c>
      <c r="P373" s="27">
        <v>3.451986511603012E-2</v>
      </c>
      <c r="Q373" s="27">
        <v>7.1754242376623943E-5</v>
      </c>
      <c r="R373" s="27">
        <v>1.0487174869610574</v>
      </c>
      <c r="S373" s="154"/>
      <c r="T373">
        <v>0.98862026372500567</v>
      </c>
      <c r="U373">
        <v>2.317897957941744</v>
      </c>
      <c r="V373">
        <v>2.983023213780982</v>
      </c>
      <c r="W373">
        <v>1</v>
      </c>
      <c r="Y373" s="2">
        <v>859.12622509546213</v>
      </c>
      <c r="Z373" s="2">
        <v>8162.1140831074899</v>
      </c>
      <c r="AA373" s="2">
        <v>1196.2821403315129</v>
      </c>
      <c r="AB373" s="2">
        <v>6214.4323655393773</v>
      </c>
      <c r="AC373" s="2">
        <v>582.6244943269221</v>
      </c>
      <c r="AD373" s="2">
        <v>984.24288157137596</v>
      </c>
      <c r="AE373" s="2">
        <v>534.24777749057932</v>
      </c>
      <c r="AF373" s="2">
        <v>992.70109460103629</v>
      </c>
      <c r="AG373" s="2">
        <v>133.6607018906634</v>
      </c>
      <c r="AH373" s="2">
        <v>446.54321011860753</v>
      </c>
      <c r="AI373" s="2">
        <v>424267.29856675107</v>
      </c>
      <c r="AJ373" s="2">
        <v>388759.48574826715</v>
      </c>
      <c r="AL373" s="27">
        <v>0.9197092179840336</v>
      </c>
      <c r="AM373" s="27">
        <v>0.91499028910270752</v>
      </c>
      <c r="AN373" s="27">
        <v>0.90926808544776694</v>
      </c>
      <c r="AO373" s="27">
        <v>0.84557503814308455</v>
      </c>
      <c r="AP373" s="27">
        <v>0.7021384680479128</v>
      </c>
      <c r="AQ373" s="27">
        <v>0.9197092179840336</v>
      </c>
      <c r="AR373" s="27">
        <v>0.91499028910270752</v>
      </c>
      <c r="AS373" s="27">
        <v>0.90926808544776694</v>
      </c>
      <c r="AT373" s="27">
        <v>0.84557503814308455</v>
      </c>
      <c r="AU373" s="27">
        <v>0.7021384680479128</v>
      </c>
      <c r="AW373" s="1">
        <v>13.469872764884567</v>
      </c>
      <c r="AX373" s="1">
        <v>15.471247631092707</v>
      </c>
      <c r="AY373" s="2">
        <v>1669756.0798039159</v>
      </c>
      <c r="AZ373" s="1">
        <v>15.301811431068938</v>
      </c>
      <c r="BA373" s="1">
        <v>17.255948101714349</v>
      </c>
      <c r="BB373" s="2">
        <v>1244435.5732222702</v>
      </c>
      <c r="BC373" s="2">
        <f t="shared" si="42"/>
        <v>-425320.50658164569</v>
      </c>
      <c r="BD373" s="292">
        <f t="shared" si="43"/>
        <v>1.8319386661843708</v>
      </c>
      <c r="BF373" s="170">
        <f t="shared" si="38"/>
        <v>485423.56257761479</v>
      </c>
      <c r="BG373" s="2">
        <f t="shared" si="39"/>
        <v>1203854.25574876</v>
      </c>
      <c r="BI373">
        <f t="shared" si="40"/>
        <v>0</v>
      </c>
      <c r="BJ373" s="95">
        <f t="shared" si="41"/>
        <v>1</v>
      </c>
      <c r="BP373" s="217">
        <f t="shared" si="44"/>
        <v>1203854.25574876</v>
      </c>
    </row>
    <row r="374" spans="1:68">
      <c r="A374" s="11">
        <v>368</v>
      </c>
      <c r="C374" s="27">
        <v>0.92415750656415874</v>
      </c>
      <c r="D374" s="27">
        <v>7.5842493435841277E-2</v>
      </c>
      <c r="E374" s="27">
        <v>0</v>
      </c>
      <c r="F374" s="27">
        <v>0.85778950508134433</v>
      </c>
      <c r="G374" s="27">
        <v>0.14221049491865564</v>
      </c>
      <c r="H374" s="27">
        <v>0</v>
      </c>
      <c r="I374" s="27">
        <v>0.7368867315365587</v>
      </c>
      <c r="J374" s="27">
        <v>0.2631132684634413</v>
      </c>
      <c r="K374" s="27">
        <v>0</v>
      </c>
      <c r="L374" s="27">
        <v>8.5687924599055942E-2</v>
      </c>
      <c r="M374" s="27">
        <v>0.49761368161316299</v>
      </c>
      <c r="N374" s="27">
        <v>0.41669839378778106</v>
      </c>
      <c r="O374" s="27">
        <v>-11.243128345863557</v>
      </c>
      <c r="P374" s="27">
        <v>3.5008642636558396E-2</v>
      </c>
      <c r="Q374" s="27">
        <v>5.6982556964579787E-5</v>
      </c>
      <c r="R374" s="27">
        <v>1.0813629406988989</v>
      </c>
      <c r="S374" s="154"/>
      <c r="T374">
        <v>1.0776827154965507</v>
      </c>
      <c r="U374">
        <v>2.3200832904932001</v>
      </c>
      <c r="V374">
        <v>3.131338778068919</v>
      </c>
      <c r="W374">
        <v>1</v>
      </c>
      <c r="Y374" s="2">
        <v>608.09510150373308</v>
      </c>
      <c r="Z374" s="2">
        <v>7660.2744622936052</v>
      </c>
      <c r="AA374" s="2">
        <v>960.29236495301677</v>
      </c>
      <c r="AB374" s="2">
        <v>443.22559058095823</v>
      </c>
      <c r="AC374" s="2">
        <v>1117.1169339674941</v>
      </c>
      <c r="AD374" s="2">
        <v>129.78173459871815</v>
      </c>
      <c r="AE374" s="2">
        <v>564.93155806627249</v>
      </c>
      <c r="AF374" s="2">
        <v>1008.3550461495437</v>
      </c>
      <c r="AG374" s="2">
        <v>170.55541313190562</v>
      </c>
      <c r="AH374" s="2">
        <v>463.26569974848752</v>
      </c>
      <c r="AI374" s="2">
        <v>460856.5267984792</v>
      </c>
      <c r="AJ374" s="2">
        <v>422601.97174739913</v>
      </c>
      <c r="AL374" s="27">
        <v>0.91198653457957857</v>
      </c>
      <c r="AM374" s="27">
        <v>0.91570423149667479</v>
      </c>
      <c r="AN374" s="27">
        <v>0.90617220849304003</v>
      </c>
      <c r="AO374" s="27">
        <v>0.84975767531096935</v>
      </c>
      <c r="AP374" s="27">
        <v>0.76888841613276071</v>
      </c>
      <c r="AQ374" s="27">
        <v>0.91198653457957857</v>
      </c>
      <c r="AR374" s="27">
        <v>0.91570423149667479</v>
      </c>
      <c r="AS374" s="27">
        <v>0.90617220849304003</v>
      </c>
      <c r="AT374" s="27">
        <v>0.84975767531096935</v>
      </c>
      <c r="AU374" s="27">
        <v>0.76888841613276071</v>
      </c>
      <c r="AW374" s="1">
        <v>13.312443479872652</v>
      </c>
      <c r="AX374" s="1">
        <v>15.135569272249795</v>
      </c>
      <c r="AY374" s="2">
        <v>1780518.039891761</v>
      </c>
      <c r="AZ374" s="1">
        <v>15.362199861680132</v>
      </c>
      <c r="BA374" s="1">
        <v>17.212923328953661</v>
      </c>
      <c r="BB374" s="2">
        <v>1163197.0617927152</v>
      </c>
      <c r="BC374" s="2">
        <f t="shared" si="42"/>
        <v>-617320.97809904581</v>
      </c>
      <c r="BD374" s="292">
        <f t="shared" si="43"/>
        <v>2.0497563818074802</v>
      </c>
      <c r="BF374" s="170">
        <f t="shared" si="38"/>
        <v>349472.91688786331</v>
      </c>
      <c r="BG374" s="2">
        <f t="shared" si="39"/>
        <v>1294754.9160761058</v>
      </c>
      <c r="BI374">
        <f t="shared" si="40"/>
        <v>0</v>
      </c>
      <c r="BJ374" s="95">
        <f t="shared" si="41"/>
        <v>1</v>
      </c>
      <c r="BP374" s="217">
        <f t="shared" si="44"/>
        <v>1294754.9160761058</v>
      </c>
    </row>
    <row r="375" spans="1:68">
      <c r="A375" s="11">
        <v>369</v>
      </c>
      <c r="C375" s="27">
        <v>0.92312548361469982</v>
      </c>
      <c r="D375" s="27">
        <v>7.6874516385300226E-2</v>
      </c>
      <c r="E375" s="27">
        <v>0</v>
      </c>
      <c r="F375" s="27">
        <v>0.85818734078531034</v>
      </c>
      <c r="G375" s="27">
        <v>0.14181265921468966</v>
      </c>
      <c r="H375" s="27">
        <v>0</v>
      </c>
      <c r="I375" s="27">
        <v>0.74890153257386394</v>
      </c>
      <c r="J375" s="27">
        <v>0.25109846742613606</v>
      </c>
      <c r="K375" s="27">
        <v>0</v>
      </c>
      <c r="L375" s="27">
        <v>0.11650632643485009</v>
      </c>
      <c r="M375" s="27">
        <v>0.5148720169088965</v>
      </c>
      <c r="N375" s="27">
        <v>0.3686216566562534</v>
      </c>
      <c r="O375" s="27">
        <v>-11.615103917898731</v>
      </c>
      <c r="P375" s="27">
        <v>3.6171064113389217E-2</v>
      </c>
      <c r="Q375" s="27">
        <v>4.1247534150651898E-5</v>
      </c>
      <c r="R375" s="27">
        <v>1.1357014451928098</v>
      </c>
      <c r="S375" s="154"/>
      <c r="T375">
        <v>0.97515534413707639</v>
      </c>
      <c r="U375">
        <v>2.2885374202367212</v>
      </c>
      <c r="V375">
        <v>2.79122835693699</v>
      </c>
      <c r="W375">
        <v>1</v>
      </c>
      <c r="Y375" s="2">
        <v>31.960128798300218</v>
      </c>
      <c r="Z375" s="2">
        <v>9201.5432218800997</v>
      </c>
      <c r="AA375" s="2">
        <v>2767.1696272720142</v>
      </c>
      <c r="AB375" s="2">
        <v>14.110745222295089</v>
      </c>
      <c r="AC375" s="2">
        <v>132.91533404042337</v>
      </c>
      <c r="AD375" s="2">
        <v>475.97965655660937</v>
      </c>
      <c r="AE375" s="2">
        <v>636.22048712713593</v>
      </c>
      <c r="AF375" s="2">
        <v>1291.0361991349985</v>
      </c>
      <c r="AG375" s="2">
        <v>154.09501864520783</v>
      </c>
      <c r="AH375" s="2">
        <v>516.62262274991929</v>
      </c>
      <c r="AI375" s="2">
        <v>479894.66432137135</v>
      </c>
      <c r="AJ375" s="2">
        <v>441992.7151737744</v>
      </c>
      <c r="AL375" s="27">
        <v>0.92156570739384669</v>
      </c>
      <c r="AM375" s="27">
        <v>0.9112035506339573</v>
      </c>
      <c r="AN375" s="27">
        <v>0.90221018324783431</v>
      </c>
      <c r="AO375" s="27">
        <v>0.85941032909619852</v>
      </c>
      <c r="AP375" s="27">
        <v>0.72833719706077749</v>
      </c>
      <c r="AQ375" s="27">
        <v>0.92156570739384669</v>
      </c>
      <c r="AR375" s="27">
        <v>0.9112035506339573</v>
      </c>
      <c r="AS375" s="27">
        <v>0.90221018324783431</v>
      </c>
      <c r="AT375" s="27">
        <v>0.85941032909619852</v>
      </c>
      <c r="AU375" s="27">
        <v>0.72833719706077749</v>
      </c>
      <c r="AW375" s="1">
        <v>13.606946969740914</v>
      </c>
      <c r="AX375" s="1">
        <v>15.468353503565364</v>
      </c>
      <c r="AY375" s="2">
        <v>1734419.35016982</v>
      </c>
      <c r="AZ375" s="1">
        <v>15.358438624026821</v>
      </c>
      <c r="BA375" s="1">
        <v>17.227012589253469</v>
      </c>
      <c r="BB375" s="2">
        <v>1221348.4322738019</v>
      </c>
      <c r="BC375" s="2">
        <f t="shared" si="42"/>
        <v>-513070.91789601813</v>
      </c>
      <c r="BD375" s="292">
        <f t="shared" si="43"/>
        <v>1.7514916542859069</v>
      </c>
      <c r="BF375" s="170">
        <f t="shared" si="38"/>
        <v>442692.16498872614</v>
      </c>
      <c r="BG375" s="2">
        <f t="shared" si="39"/>
        <v>1236001.7475704895</v>
      </c>
      <c r="BI375">
        <f t="shared" si="40"/>
        <v>0</v>
      </c>
      <c r="BJ375" s="95">
        <f t="shared" si="41"/>
        <v>1</v>
      </c>
      <c r="BP375" s="217">
        <f t="shared" si="44"/>
        <v>1236001.7475704895</v>
      </c>
    </row>
    <row r="376" spans="1:68">
      <c r="A376" s="11">
        <v>370</v>
      </c>
      <c r="C376" s="27">
        <v>0.91965172951203977</v>
      </c>
      <c r="D376" s="27">
        <v>8.0348270487960227E-2</v>
      </c>
      <c r="E376" s="27">
        <v>0</v>
      </c>
      <c r="F376" s="27">
        <v>0.85464592545755724</v>
      </c>
      <c r="G376" s="27">
        <v>0.14535407454244276</v>
      </c>
      <c r="H376" s="27">
        <v>0</v>
      </c>
      <c r="I376" s="27">
        <v>0.74910357460504529</v>
      </c>
      <c r="J376" s="27">
        <v>0.25089642539495471</v>
      </c>
      <c r="K376" s="27">
        <v>0</v>
      </c>
      <c r="L376" s="27">
        <v>5.5578539305816688E-2</v>
      </c>
      <c r="M376" s="27">
        <v>0.53580047595506342</v>
      </c>
      <c r="N376" s="27">
        <v>0.4086209847391199</v>
      </c>
      <c r="O376" s="27">
        <v>-11.679925772952629</v>
      </c>
      <c r="P376" s="27">
        <v>3.6678990565016098E-2</v>
      </c>
      <c r="Q376" s="27">
        <v>3.949216859143606E-5</v>
      </c>
      <c r="R376" s="27">
        <v>1.1314142397374649</v>
      </c>
      <c r="S376" s="154"/>
      <c r="T376">
        <v>0.9365919946626452</v>
      </c>
      <c r="U376">
        <v>2.3198458118165397</v>
      </c>
      <c r="V376">
        <v>2.9817283292076229</v>
      </c>
      <c r="W376">
        <v>1</v>
      </c>
      <c r="Y376" s="2">
        <v>1008.3010576049356</v>
      </c>
      <c r="Z376" s="2">
        <v>907.26689275371768</v>
      </c>
      <c r="AA376" s="2">
        <v>1442.9865286201514</v>
      </c>
      <c r="AB376" s="2">
        <v>4497.5732130705783</v>
      </c>
      <c r="AC376" s="2">
        <v>337.01853554943096</v>
      </c>
      <c r="AD376" s="2">
        <v>189.80813930937146</v>
      </c>
      <c r="AE376" s="2">
        <v>570.60456272362671</v>
      </c>
      <c r="AF376" s="2">
        <v>1063.5880378390691</v>
      </c>
      <c r="AG376" s="2">
        <v>100.14350780795208</v>
      </c>
      <c r="AH376" s="2">
        <v>818.54847294783929</v>
      </c>
      <c r="AI376" s="2">
        <v>438779.47857014113</v>
      </c>
      <c r="AJ376" s="2">
        <v>408254.24364627613</v>
      </c>
      <c r="AL376" s="27">
        <v>0.91982715018982808</v>
      </c>
      <c r="AM376" s="27">
        <v>0.91339276761595656</v>
      </c>
      <c r="AN376" s="27">
        <v>0.90886359664481065</v>
      </c>
      <c r="AO376" s="27">
        <v>0.85013563097787903</v>
      </c>
      <c r="AP376" s="27">
        <v>0.70780834944191451</v>
      </c>
      <c r="AQ376" s="27">
        <v>0.91982715018982808</v>
      </c>
      <c r="AR376" s="27">
        <v>0.91339276761595656</v>
      </c>
      <c r="AS376" s="27">
        <v>0.90886359664481065</v>
      </c>
      <c r="AT376" s="27">
        <v>0.85013563097787903</v>
      </c>
      <c r="AU376" s="27">
        <v>0.70780834944191451</v>
      </c>
      <c r="AW376" s="1">
        <v>13.441300595464142</v>
      </c>
      <c r="AX376" s="1">
        <v>15.381001614357027</v>
      </c>
      <c r="AY376" s="2">
        <v>1554842.287685208</v>
      </c>
      <c r="AZ376" s="1">
        <v>15.171521362176341</v>
      </c>
      <c r="BA376" s="1">
        <v>17.091034586454903</v>
      </c>
      <c r="BB376" s="2">
        <v>1230059.3620834928</v>
      </c>
      <c r="BC376" s="2">
        <f t="shared" si="42"/>
        <v>-324782.92560171522</v>
      </c>
      <c r="BD376" s="292">
        <f t="shared" si="43"/>
        <v>1.7302207667121987</v>
      </c>
      <c r="BF376" s="170">
        <f t="shared" si="38"/>
        <v>595765.80758905457</v>
      </c>
      <c r="BG376" s="2">
        <f t="shared" si="39"/>
        <v>1197384.0558647215</v>
      </c>
      <c r="BI376">
        <f t="shared" si="40"/>
        <v>0</v>
      </c>
      <c r="BJ376" s="95">
        <f t="shared" si="41"/>
        <v>1</v>
      </c>
      <c r="BP376" s="217">
        <f t="shared" si="44"/>
        <v>1197384.0558647215</v>
      </c>
    </row>
    <row r="377" spans="1:68">
      <c r="A377" s="11">
        <v>371</v>
      </c>
      <c r="C377" s="27">
        <v>0.92385759385117294</v>
      </c>
      <c r="D377" s="27">
        <v>7.6142406148827016E-2</v>
      </c>
      <c r="E377" s="27">
        <v>0</v>
      </c>
      <c r="F377" s="27">
        <v>0.85279833703238483</v>
      </c>
      <c r="G377" s="27">
        <v>0.14720166296761517</v>
      </c>
      <c r="H377" s="27">
        <v>0</v>
      </c>
      <c r="I377" s="27">
        <v>0.75558821917915753</v>
      </c>
      <c r="J377" s="27">
        <v>0.2444117808208425</v>
      </c>
      <c r="K377" s="27">
        <v>0</v>
      </c>
      <c r="L377" s="27">
        <v>0.1469219203758278</v>
      </c>
      <c r="M377" s="27">
        <v>0.5199734421485962</v>
      </c>
      <c r="N377" s="27">
        <v>0.333104637475576</v>
      </c>
      <c r="O377" s="27">
        <v>-11.350278716245136</v>
      </c>
      <c r="P377" s="27">
        <v>3.6430090946513768E-2</v>
      </c>
      <c r="Q377" s="27">
        <v>5.4341905056558236E-5</v>
      </c>
      <c r="R377" s="27">
        <v>1.0829350049588859</v>
      </c>
      <c r="S377" s="154"/>
      <c r="T377">
        <v>1.0624188830342085</v>
      </c>
      <c r="U377">
        <v>2.2869491238911905</v>
      </c>
      <c r="V377">
        <v>2.9476978274451104</v>
      </c>
      <c r="W377">
        <v>1</v>
      </c>
      <c r="Y377" s="2">
        <v>1401.6997657230427</v>
      </c>
      <c r="Z377" s="2">
        <v>660.68411303322898</v>
      </c>
      <c r="AA377" s="2">
        <v>6993.5551795870033</v>
      </c>
      <c r="AB377" s="2">
        <v>3793.0475082168505</v>
      </c>
      <c r="AC377" s="2">
        <v>775.69919015782273</v>
      </c>
      <c r="AD377" s="2">
        <v>2472.2278298802394</v>
      </c>
      <c r="AE377" s="2">
        <v>572.90918291783646</v>
      </c>
      <c r="AF377" s="2">
        <v>828.57493083612417</v>
      </c>
      <c r="AG377" s="2">
        <v>142.82112008151907</v>
      </c>
      <c r="AH377" s="2">
        <v>290.31896918504555</v>
      </c>
      <c r="AI377" s="2">
        <v>553847.46327818441</v>
      </c>
      <c r="AJ377" s="2">
        <v>523903.35189031955</v>
      </c>
      <c r="AL377" s="27">
        <v>0.91562165227618608</v>
      </c>
      <c r="AM377" s="27">
        <v>0.92012645769794354</v>
      </c>
      <c r="AN377" s="27">
        <v>0.90799532760502832</v>
      </c>
      <c r="AO377" s="27">
        <v>0.89587086981828978</v>
      </c>
      <c r="AP377" s="27">
        <v>0.83480226235936494</v>
      </c>
      <c r="AQ377" s="27">
        <v>0.91562165227618608</v>
      </c>
      <c r="AR377" s="27">
        <v>0.92012645769794354</v>
      </c>
      <c r="AS377" s="27">
        <v>0.90799532760502832</v>
      </c>
      <c r="AT377" s="27">
        <v>0.89587086981828978</v>
      </c>
      <c r="AU377" s="27">
        <v>0.83480226235936494</v>
      </c>
      <c r="AW377" s="1">
        <v>14.037607054935936</v>
      </c>
      <c r="AX377" s="1">
        <v>15.656176461056051</v>
      </c>
      <c r="AY377" s="2">
        <v>2325796.2757423073</v>
      </c>
      <c r="AZ377" s="1">
        <v>15.846817336488588</v>
      </c>
      <c r="BA377" s="1">
        <v>17.530556696775513</v>
      </c>
      <c r="BB377" s="2">
        <v>1790154.0195458364</v>
      </c>
      <c r="BC377" s="2">
        <f t="shared" si="42"/>
        <v>-535642.25619647093</v>
      </c>
      <c r="BD377" s="292">
        <f t="shared" si="43"/>
        <v>1.8092102815526516</v>
      </c>
      <c r="BF377" s="170">
        <f t="shared" si="38"/>
        <v>-79779.146952557378</v>
      </c>
      <c r="BG377" s="2">
        <f t="shared" si="39"/>
        <v>745336.75429233769</v>
      </c>
      <c r="BI377">
        <f t="shared" si="40"/>
        <v>0</v>
      </c>
      <c r="BJ377" s="95">
        <f t="shared" si="41"/>
        <v>1</v>
      </c>
      <c r="BP377" s="217">
        <f t="shared" si="44"/>
        <v>745336.75429233769</v>
      </c>
    </row>
    <row r="378" spans="1:68">
      <c r="A378" s="11">
        <v>372</v>
      </c>
      <c r="C378" s="27">
        <v>0.92313476012565165</v>
      </c>
      <c r="D378" s="27">
        <v>7.6865239874348346E-2</v>
      </c>
      <c r="E378" s="27">
        <v>0</v>
      </c>
      <c r="F378" s="27">
        <v>0.86040694061268008</v>
      </c>
      <c r="G378" s="27">
        <v>0.13959305938731989</v>
      </c>
      <c r="H378" s="27">
        <v>0</v>
      </c>
      <c r="I378" s="27">
        <v>0.74890185689229039</v>
      </c>
      <c r="J378" s="27">
        <v>0.25109814310770961</v>
      </c>
      <c r="K378" s="27">
        <v>0</v>
      </c>
      <c r="L378" s="27">
        <v>0.23183544246437104</v>
      </c>
      <c r="M378" s="27">
        <v>0.43720821594329612</v>
      </c>
      <c r="N378" s="27">
        <v>0.33095634159233278</v>
      </c>
      <c r="O378" s="27">
        <v>-11.1312490664405</v>
      </c>
      <c r="P378" s="27">
        <v>3.625744542026442E-2</v>
      </c>
      <c r="Q378" s="27">
        <v>6.7159756005848891E-5</v>
      </c>
      <c r="R378" s="27">
        <v>1.0582456860395608</v>
      </c>
      <c r="S378" s="154"/>
      <c r="T378">
        <v>1.108523818375615</v>
      </c>
      <c r="U378">
        <v>2.3176435055010329</v>
      </c>
      <c r="V378">
        <v>3.2670443728059766</v>
      </c>
      <c r="W378">
        <v>1</v>
      </c>
      <c r="Y378" s="2">
        <v>731.79388922058229</v>
      </c>
      <c r="Z378" s="2">
        <v>5972.2434667706575</v>
      </c>
      <c r="AA378" s="2">
        <v>1761.2371311725981</v>
      </c>
      <c r="AB378" s="2">
        <v>5027.4657502629343</v>
      </c>
      <c r="AC378" s="2">
        <v>134.54462918773436</v>
      </c>
      <c r="AD378" s="2">
        <v>830.78976748275102</v>
      </c>
      <c r="AE378" s="2">
        <v>596.53669837670532</v>
      </c>
      <c r="AF378" s="2">
        <v>1086.4757487189399</v>
      </c>
      <c r="AG378" s="2">
        <v>164.85960281939168</v>
      </c>
      <c r="AH378" s="2">
        <v>434.93779891220123</v>
      </c>
      <c r="AI378" s="2">
        <v>421531.13240637153</v>
      </c>
      <c r="AJ378" s="2">
        <v>391975.78332973283</v>
      </c>
      <c r="AL378" s="27">
        <v>0.91719458442097479</v>
      </c>
      <c r="AM378" s="27">
        <v>0.91615805238352199</v>
      </c>
      <c r="AN378" s="27">
        <v>0.90826795243480651</v>
      </c>
      <c r="AO378" s="27">
        <v>0.85801433768916446</v>
      </c>
      <c r="AP378" s="27">
        <v>0.60547049475417114</v>
      </c>
      <c r="AQ378" s="27">
        <v>0.91719458442097479</v>
      </c>
      <c r="AR378" s="27">
        <v>0.91615805238352199</v>
      </c>
      <c r="AS378" s="27">
        <v>0.90826795243480651</v>
      </c>
      <c r="AT378" s="27">
        <v>0.85801433768916446</v>
      </c>
      <c r="AU378" s="27">
        <v>0.60547049475417114</v>
      </c>
      <c r="AW378" s="1">
        <v>12.949163884321544</v>
      </c>
      <c r="AX378" s="1">
        <v>15.334743822256305</v>
      </c>
      <c r="AY378" s="2">
        <v>1742010.2708868633</v>
      </c>
      <c r="AZ378" s="1">
        <v>15.252550997878396</v>
      </c>
      <c r="BA378" s="1">
        <v>17.455952234127146</v>
      </c>
      <c r="BB378" s="2">
        <v>1232077.5842715867</v>
      </c>
      <c r="BC378" s="2">
        <f t="shared" si="42"/>
        <v>-509932.68661527662</v>
      </c>
      <c r="BD378" s="292">
        <f t="shared" si="43"/>
        <v>2.3033871135568518</v>
      </c>
      <c r="BF378" s="170">
        <f t="shared" si="38"/>
        <v>329855.95060458384</v>
      </c>
      <c r="BG378" s="2">
        <f t="shared" si="39"/>
        <v>1208330.5753889566</v>
      </c>
      <c r="BI378">
        <f t="shared" si="40"/>
        <v>0</v>
      </c>
      <c r="BJ378" s="95">
        <f t="shared" si="41"/>
        <v>1</v>
      </c>
      <c r="BP378" s="217">
        <f t="shared" si="44"/>
        <v>1208330.5753889566</v>
      </c>
    </row>
    <row r="379" spans="1:68">
      <c r="A379" s="11">
        <v>373</v>
      </c>
      <c r="C379" s="27">
        <v>0.91956873026477948</v>
      </c>
      <c r="D379" s="27">
        <v>8.0431269735220523E-2</v>
      </c>
      <c r="E379" s="27">
        <v>0</v>
      </c>
      <c r="F379" s="27">
        <v>0.85426090026852997</v>
      </c>
      <c r="G379" s="27">
        <v>0.14573909973147003</v>
      </c>
      <c r="H379" s="27">
        <v>0</v>
      </c>
      <c r="I379" s="27">
        <v>0.7464956694550835</v>
      </c>
      <c r="J379" s="27">
        <v>0.2535043305449165</v>
      </c>
      <c r="K379" s="27">
        <v>0</v>
      </c>
      <c r="L379" s="27">
        <v>8.2364244260969888E-2</v>
      </c>
      <c r="M379" s="27">
        <v>0.53216865552747949</v>
      </c>
      <c r="N379" s="27">
        <v>0.38546710021155062</v>
      </c>
      <c r="O379" s="27">
        <v>-11.022207840797298</v>
      </c>
      <c r="P379" s="27">
        <v>3.290553825922244E-2</v>
      </c>
      <c r="Q379" s="27">
        <v>6.5061652740765105E-5</v>
      </c>
      <c r="R379" s="27">
        <v>1.0668745307689083</v>
      </c>
      <c r="S379" s="154"/>
      <c r="T379">
        <v>0.94188493723086153</v>
      </c>
      <c r="U379">
        <v>2.2288795118113671</v>
      </c>
      <c r="V379">
        <v>3.1295720063655557</v>
      </c>
      <c r="W379">
        <v>1</v>
      </c>
      <c r="Y379" s="2">
        <v>157.61759503853185</v>
      </c>
      <c r="Z379" s="2">
        <v>4399.2381413938665</v>
      </c>
      <c r="AA379" s="2">
        <v>2298.7230665772454</v>
      </c>
      <c r="AB379" s="2">
        <v>6269.5341000576273</v>
      </c>
      <c r="AC379" s="2">
        <v>1335.5314017717865</v>
      </c>
      <c r="AD379" s="2">
        <v>1485.4585888923784</v>
      </c>
      <c r="AE379" s="2">
        <v>598.42805694656693</v>
      </c>
      <c r="AF379" s="2">
        <v>865.09580668246838</v>
      </c>
      <c r="AG379" s="2">
        <v>113.80775343170785</v>
      </c>
      <c r="AH379" s="2">
        <v>326.06157757734945</v>
      </c>
      <c r="AI379" s="2">
        <v>538743.15997186431</v>
      </c>
      <c r="AJ379" s="2">
        <v>513507.15338839963</v>
      </c>
      <c r="AL379" s="27">
        <v>0.91815027964617546</v>
      </c>
      <c r="AM379" s="27">
        <v>0.90949220956363153</v>
      </c>
      <c r="AN379" s="27">
        <v>0.90804999503588757</v>
      </c>
      <c r="AO379" s="27">
        <v>0.85110442109240458</v>
      </c>
      <c r="AP379" s="27">
        <v>0.70511062778255096</v>
      </c>
      <c r="AQ379" s="27">
        <v>0.91815027964617546</v>
      </c>
      <c r="AR379" s="27">
        <v>0.90949220956363153</v>
      </c>
      <c r="AS379" s="27">
        <v>0.90804999503588757</v>
      </c>
      <c r="AT379" s="27">
        <v>0.85110442109240458</v>
      </c>
      <c r="AU379" s="27">
        <v>0.70511062778255096</v>
      </c>
      <c r="AW379" s="1">
        <v>13.564254045777266</v>
      </c>
      <c r="AX379" s="1">
        <v>15.600031198589598</v>
      </c>
      <c r="AY379" s="2">
        <v>2140028.9340528725</v>
      </c>
      <c r="AZ379" s="1">
        <v>15.239054451320669</v>
      </c>
      <c r="BA379" s="1">
        <v>17.243067601331582</v>
      </c>
      <c r="BB379" s="2">
        <v>1674847.321022976</v>
      </c>
      <c r="BC379" s="2">
        <f t="shared" si="42"/>
        <v>-465181.61302989651</v>
      </c>
      <c r="BD379" s="292">
        <f t="shared" si="43"/>
        <v>1.6748004055434027</v>
      </c>
      <c r="BF379" s="170">
        <f t="shared" si="38"/>
        <v>30251.713271490298</v>
      </c>
      <c r="BG379" s="2">
        <f t="shared" si="39"/>
        <v>763401.39118833118</v>
      </c>
      <c r="BI379">
        <f t="shared" si="40"/>
        <v>0</v>
      </c>
      <c r="BJ379" s="95">
        <f t="shared" si="41"/>
        <v>1</v>
      </c>
      <c r="BP379" s="217">
        <f t="shared" si="44"/>
        <v>763401.39118833118</v>
      </c>
    </row>
    <row r="380" spans="1:68">
      <c r="A380" s="11">
        <v>374</v>
      </c>
      <c r="C380" s="27">
        <v>0.92007448330345809</v>
      </c>
      <c r="D380" s="27">
        <v>7.9925516696541909E-2</v>
      </c>
      <c r="E380" s="27">
        <v>0</v>
      </c>
      <c r="F380" s="27">
        <v>0.85245488264901526</v>
      </c>
      <c r="G380" s="27">
        <v>0.14754511735098474</v>
      </c>
      <c r="H380" s="27">
        <v>0</v>
      </c>
      <c r="I380" s="27">
        <v>0.7368322254128834</v>
      </c>
      <c r="J380" s="27">
        <v>0.2631677745871166</v>
      </c>
      <c r="K380" s="27">
        <v>0</v>
      </c>
      <c r="L380" s="27">
        <v>0.10324828075985337</v>
      </c>
      <c r="M380" s="27">
        <v>0.51666695399567264</v>
      </c>
      <c r="N380" s="27">
        <v>0.38008476524447399</v>
      </c>
      <c r="O380" s="27">
        <v>-11.188385739699219</v>
      </c>
      <c r="P380" s="27">
        <v>3.4974474487183223E-2</v>
      </c>
      <c r="Q380" s="27">
        <v>6.0102578656972357E-5</v>
      </c>
      <c r="R380" s="27">
        <v>1.0744703528986379</v>
      </c>
      <c r="S380" s="154"/>
      <c r="T380">
        <v>1.0215350350131052</v>
      </c>
      <c r="U380">
        <v>2.265869703302628</v>
      </c>
      <c r="V380">
        <v>2.9503498849223466</v>
      </c>
      <c r="W380">
        <v>1</v>
      </c>
      <c r="Y380" s="2">
        <v>669.02028694617343</v>
      </c>
      <c r="Z380" s="2">
        <v>22073.984221332339</v>
      </c>
      <c r="AA380" s="2">
        <v>1033.6220234044638</v>
      </c>
      <c r="AB380" s="2">
        <v>4014.9516433510971</v>
      </c>
      <c r="AC380" s="2">
        <v>719.00603356454997</v>
      </c>
      <c r="AD380" s="2">
        <v>3085.3901462369649</v>
      </c>
      <c r="AE380" s="2">
        <v>566.69744412202522</v>
      </c>
      <c r="AF380" s="2">
        <v>1198.9826148624074</v>
      </c>
      <c r="AG380" s="2">
        <v>115.81476009898445</v>
      </c>
      <c r="AH380" s="2">
        <v>175.46737424971599</v>
      </c>
      <c r="AI380" s="2">
        <v>522022.39718435804</v>
      </c>
      <c r="AJ380" s="2">
        <v>490552.14860148641</v>
      </c>
      <c r="AL380" s="27">
        <v>0.91854387856511477</v>
      </c>
      <c r="AM380" s="27">
        <v>0.91120768114728312</v>
      </c>
      <c r="AN380" s="27">
        <v>0.90611522071674699</v>
      </c>
      <c r="AO380" s="27">
        <v>0.85848086037866989</v>
      </c>
      <c r="AP380" s="27">
        <v>0.73280064237373554</v>
      </c>
      <c r="AQ380" s="27">
        <v>0.91854387856511477</v>
      </c>
      <c r="AR380" s="27">
        <v>0.91120768114728312</v>
      </c>
      <c r="AS380" s="27">
        <v>0.90611522071674699</v>
      </c>
      <c r="AT380" s="27">
        <v>0.85848086037866989</v>
      </c>
      <c r="AU380" s="27">
        <v>0.73280064237373554</v>
      </c>
      <c r="AW380" s="1">
        <v>13.423966923999815</v>
      </c>
      <c r="AX380" s="1">
        <v>15.362867370278193</v>
      </c>
      <c r="AY380" s="2">
        <v>2344920.5721099228</v>
      </c>
      <c r="AZ380" s="1">
        <v>15.273296823932235</v>
      </c>
      <c r="BA380" s="1">
        <v>17.198553722092218</v>
      </c>
      <c r="BB380" s="2">
        <v>1584034.3701534541</v>
      </c>
      <c r="BC380" s="2">
        <f t="shared" si="42"/>
        <v>-760886.20195646863</v>
      </c>
      <c r="BD380" s="292">
        <f t="shared" si="43"/>
        <v>1.8493298999324193</v>
      </c>
      <c r="BF380" s="170">
        <f t="shared" si="38"/>
        <v>-197085.86426995229</v>
      </c>
      <c r="BG380" s="2">
        <f t="shared" si="39"/>
        <v>859693.12167570321</v>
      </c>
      <c r="BI380">
        <f t="shared" si="40"/>
        <v>0</v>
      </c>
      <c r="BJ380" s="95">
        <f t="shared" si="41"/>
        <v>1</v>
      </c>
      <c r="BP380" s="217">
        <f t="shared" si="44"/>
        <v>859693.12167570321</v>
      </c>
    </row>
    <row r="381" spans="1:68">
      <c r="A381" s="11">
        <v>375</v>
      </c>
      <c r="C381" s="27">
        <v>0.9224029656566628</v>
      </c>
      <c r="D381" s="27">
        <v>7.7597034343337201E-2</v>
      </c>
      <c r="E381" s="27">
        <v>0</v>
      </c>
      <c r="F381" s="27">
        <v>0.85516019233983631</v>
      </c>
      <c r="G381" s="27">
        <v>0.14483980766016369</v>
      </c>
      <c r="H381" s="27">
        <v>0</v>
      </c>
      <c r="I381" s="27">
        <v>0.74451061674484387</v>
      </c>
      <c r="J381" s="27">
        <v>0.25548938325515613</v>
      </c>
      <c r="K381" s="27">
        <v>0</v>
      </c>
      <c r="L381" s="27">
        <v>6.9402208367816409E-2</v>
      </c>
      <c r="M381" s="27">
        <v>0.52958788575016125</v>
      </c>
      <c r="N381" s="27">
        <v>0.40100990588202234</v>
      </c>
      <c r="O381" s="27">
        <v>-11.078773076432546</v>
      </c>
      <c r="P381" s="27">
        <v>3.1862592613561135E-2</v>
      </c>
      <c r="Q381" s="27">
        <v>5.8848501556543412E-5</v>
      </c>
      <c r="R381" s="27">
        <v>1.0768687940840254</v>
      </c>
      <c r="S381" s="154"/>
      <c r="T381">
        <v>1.1254171203855035</v>
      </c>
      <c r="U381">
        <v>2.1523054280136611</v>
      </c>
      <c r="V381">
        <v>2.9321458222072763</v>
      </c>
      <c r="W381">
        <v>1</v>
      </c>
      <c r="Y381" s="2">
        <v>513.3817966756003</v>
      </c>
      <c r="Z381" s="2">
        <v>371.57662558745398</v>
      </c>
      <c r="AA381" s="2">
        <v>528.49589563577138</v>
      </c>
      <c r="AB381" s="2">
        <v>10280.623731880571</v>
      </c>
      <c r="AC381" s="2">
        <v>525.57921195652102</v>
      </c>
      <c r="AD381" s="2">
        <v>518.64407482212061</v>
      </c>
      <c r="AE381" s="2">
        <v>551.5715267264311</v>
      </c>
      <c r="AF381" s="2">
        <v>1038.4394160987356</v>
      </c>
      <c r="AG381" s="2">
        <v>33.592398805878879</v>
      </c>
      <c r="AH381" s="2">
        <v>630.88360185630165</v>
      </c>
      <c r="AI381" s="2">
        <v>394381.99788854789</v>
      </c>
      <c r="AJ381" s="2">
        <v>367494.61579694349</v>
      </c>
      <c r="AL381" s="27">
        <v>0.91789935665295674</v>
      </c>
      <c r="AM381" s="27">
        <v>0.91667859358200543</v>
      </c>
      <c r="AN381" s="27">
        <v>0.9100354943315494</v>
      </c>
      <c r="AO381" s="27">
        <v>0.86134228750776276</v>
      </c>
      <c r="AP381" s="27">
        <v>0.74571987290565167</v>
      </c>
      <c r="AQ381" s="27">
        <v>0.91789935665295674</v>
      </c>
      <c r="AR381" s="27">
        <v>0.91667859358200543</v>
      </c>
      <c r="AS381" s="27">
        <v>0.9100354943315494</v>
      </c>
      <c r="AT381" s="27">
        <v>0.86134228750776276</v>
      </c>
      <c r="AU381" s="27">
        <v>0.74571987290565167</v>
      </c>
      <c r="AW381" s="1">
        <v>13.329230140505677</v>
      </c>
      <c r="AX381" s="1">
        <v>15.205260638731978</v>
      </c>
      <c r="AY381" s="2">
        <v>1553431.0151118697</v>
      </c>
      <c r="AZ381" s="1">
        <v>15.410121241148399</v>
      </c>
      <c r="BA381" s="1">
        <v>17.270225873006204</v>
      </c>
      <c r="BB381" s="2">
        <v>1244092.7649824882</v>
      </c>
      <c r="BC381" s="2">
        <f t="shared" si="42"/>
        <v>-309338.25012938143</v>
      </c>
      <c r="BD381" s="292">
        <f t="shared" si="43"/>
        <v>2.080891100642722</v>
      </c>
      <c r="BF381" s="170">
        <f t="shared" si="38"/>
        <v>579245.80736903846</v>
      </c>
      <c r="BG381" s="2">
        <f t="shared" si="39"/>
        <v>1221526.6336012555</v>
      </c>
      <c r="BI381">
        <f t="shared" si="40"/>
        <v>0</v>
      </c>
      <c r="BJ381" s="95">
        <f t="shared" si="41"/>
        <v>1</v>
      </c>
      <c r="BP381" s="217">
        <f t="shared" si="44"/>
        <v>1221526.6336012555</v>
      </c>
    </row>
    <row r="382" spans="1:68">
      <c r="A382" s="11">
        <v>376</v>
      </c>
      <c r="C382" s="27">
        <v>0.92601370572617148</v>
      </c>
      <c r="D382" s="27">
        <v>7.3986294273828565E-2</v>
      </c>
      <c r="E382" s="27">
        <v>0</v>
      </c>
      <c r="F382" s="27">
        <v>0.85678294892941986</v>
      </c>
      <c r="G382" s="27">
        <v>0.14321705107058014</v>
      </c>
      <c r="H382" s="27">
        <v>0</v>
      </c>
      <c r="I382" s="27">
        <v>0.75345281927903207</v>
      </c>
      <c r="J382" s="27">
        <v>0.24654718072096796</v>
      </c>
      <c r="K382" s="27">
        <v>0</v>
      </c>
      <c r="L382" s="27">
        <v>8.9503661320259387E-2</v>
      </c>
      <c r="M382" s="27">
        <v>0.54418879126437147</v>
      </c>
      <c r="N382" s="27">
        <v>0.36630754741536914</v>
      </c>
      <c r="O382" s="27">
        <v>-10.985953828322648</v>
      </c>
      <c r="P382" s="27">
        <v>3.4197537637190689E-2</v>
      </c>
      <c r="Q382" s="27">
        <v>7.1225671656317406E-5</v>
      </c>
      <c r="R382" s="27">
        <v>1.0484084327556369</v>
      </c>
      <c r="S382" s="154"/>
      <c r="T382">
        <v>0.99715427010553004</v>
      </c>
      <c r="U382">
        <v>2.3159705004156974</v>
      </c>
      <c r="V382">
        <v>2.9390592268176352</v>
      </c>
      <c r="W382">
        <v>1</v>
      </c>
      <c r="Y382" s="2">
        <v>315.25422177847929</v>
      </c>
      <c r="Z382" s="2">
        <v>3260.0165829194466</v>
      </c>
      <c r="AA382" s="2">
        <v>1681.1761315692534</v>
      </c>
      <c r="AB382" s="2">
        <v>8084.8319911697099</v>
      </c>
      <c r="AC382" s="2">
        <v>769.38437860396971</v>
      </c>
      <c r="AD382" s="2">
        <v>117.58989938271169</v>
      </c>
      <c r="AE382" s="2">
        <v>629.93998752396635</v>
      </c>
      <c r="AF382" s="2">
        <v>939.00718257154654</v>
      </c>
      <c r="AG382" s="2">
        <v>267.36566090857815</v>
      </c>
      <c r="AH382" s="2">
        <v>313.35520861499788</v>
      </c>
      <c r="AI382" s="2">
        <v>405755.77881430194</v>
      </c>
      <c r="AJ382" s="2">
        <v>376350.1772856263</v>
      </c>
      <c r="AL382" s="27">
        <v>0.91230932614404003</v>
      </c>
      <c r="AM382" s="27">
        <v>0.91441548964389729</v>
      </c>
      <c r="AN382" s="27">
        <v>0.90169523154167952</v>
      </c>
      <c r="AO382" s="27">
        <v>0.85876156691905525</v>
      </c>
      <c r="AP382" s="27">
        <v>0.66306896567555285</v>
      </c>
      <c r="AQ382" s="27">
        <v>0.91230932614404003</v>
      </c>
      <c r="AR382" s="27">
        <v>0.91441548964389729</v>
      </c>
      <c r="AS382" s="27">
        <v>0.90169523154167952</v>
      </c>
      <c r="AT382" s="27">
        <v>0.85876156691905525</v>
      </c>
      <c r="AU382" s="27">
        <v>0.66306896567555285</v>
      </c>
      <c r="AW382" s="1">
        <v>13.621181111718204</v>
      </c>
      <c r="AX382" s="1">
        <v>15.901878497198886</v>
      </c>
      <c r="AY382" s="2">
        <v>1649221.1852859287</v>
      </c>
      <c r="AZ382" s="1">
        <v>15.423335005242329</v>
      </c>
      <c r="BA382" s="1">
        <v>17.600987884065866</v>
      </c>
      <c r="BB382" s="2">
        <v>1286843.4770116862</v>
      </c>
      <c r="BC382" s="2">
        <f t="shared" si="42"/>
        <v>-362377.70827424247</v>
      </c>
      <c r="BD382" s="292">
        <f t="shared" si="43"/>
        <v>1.8021538935241246</v>
      </c>
      <c r="BF382" s="170">
        <f t="shared" si="38"/>
        <v>530167.79258898413</v>
      </c>
      <c r="BG382" s="2">
        <f t="shared" si="39"/>
        <v>1180890.1238270863</v>
      </c>
      <c r="BI382">
        <f t="shared" si="40"/>
        <v>0</v>
      </c>
      <c r="BJ382" s="95">
        <f t="shared" si="41"/>
        <v>1</v>
      </c>
      <c r="BP382" s="217">
        <f t="shared" si="44"/>
        <v>1180890.1238270863</v>
      </c>
    </row>
    <row r="383" spans="1:68">
      <c r="A383" s="11">
        <v>377</v>
      </c>
      <c r="C383" s="27">
        <v>0.92599686754872146</v>
      </c>
      <c r="D383" s="27">
        <v>7.4003132451278514E-2</v>
      </c>
      <c r="E383" s="27">
        <v>0</v>
      </c>
      <c r="F383" s="27">
        <v>0.85618894600562312</v>
      </c>
      <c r="G383" s="27">
        <v>0.14381105399437688</v>
      </c>
      <c r="H383" s="27">
        <v>0</v>
      </c>
      <c r="I383" s="27">
        <v>0.74961215465560027</v>
      </c>
      <c r="J383" s="27">
        <v>0.25038784534439973</v>
      </c>
      <c r="K383" s="27">
        <v>0</v>
      </c>
      <c r="L383" s="27">
        <v>0.14156159972709281</v>
      </c>
      <c r="M383" s="27">
        <v>0.49460309685171822</v>
      </c>
      <c r="N383" s="27">
        <v>0.36383530342118897</v>
      </c>
      <c r="O383" s="27">
        <v>-11.073534042049232</v>
      </c>
      <c r="P383" s="27">
        <v>3.3152638740231416E-2</v>
      </c>
      <c r="Q383" s="27">
        <v>6.2451318110662014E-5</v>
      </c>
      <c r="R383" s="27">
        <v>1.0707862013669907</v>
      </c>
      <c r="S383" s="154"/>
      <c r="T383">
        <v>1.0791559178222752</v>
      </c>
      <c r="U383">
        <v>2.2577717761005305</v>
      </c>
      <c r="V383">
        <v>2.8930125506458406</v>
      </c>
      <c r="W383">
        <v>1</v>
      </c>
      <c r="Y383" s="2">
        <v>166.42387273955219</v>
      </c>
      <c r="Z383" s="2">
        <v>1986.8921268069146</v>
      </c>
      <c r="AA383" s="2">
        <v>1438.6019442719164</v>
      </c>
      <c r="AB383" s="2">
        <v>3388.5542133218169</v>
      </c>
      <c r="AC383" s="2">
        <v>401.91697024263323</v>
      </c>
      <c r="AD383" s="2">
        <v>2497.9485833306176</v>
      </c>
      <c r="AE383" s="2">
        <v>632.21683715916799</v>
      </c>
      <c r="AF383" s="2">
        <v>959.44995765111435</v>
      </c>
      <c r="AG383" s="2">
        <v>108.41027385187435</v>
      </c>
      <c r="AH383" s="2">
        <v>188.71228044724782</v>
      </c>
      <c r="AI383" s="2">
        <v>432077.70351590979</v>
      </c>
      <c r="AJ383" s="2">
        <v>393779.35561396484</v>
      </c>
      <c r="AL383" s="27">
        <v>0.91594281759637075</v>
      </c>
      <c r="AM383" s="27">
        <v>0.9101342420256926</v>
      </c>
      <c r="AN383" s="27">
        <v>0.91148472002361824</v>
      </c>
      <c r="AO383" s="27">
        <v>0.88202894440112933</v>
      </c>
      <c r="AP383" s="27">
        <v>0.73901027709885114</v>
      </c>
      <c r="AQ383" s="27">
        <v>0.91594281759637075</v>
      </c>
      <c r="AR383" s="27">
        <v>0.9101342420256926</v>
      </c>
      <c r="AS383" s="27">
        <v>0.91148472002361824</v>
      </c>
      <c r="AT383" s="27">
        <v>0.88202894440112933</v>
      </c>
      <c r="AU383" s="27">
        <v>0.73901027709885114</v>
      </c>
      <c r="AW383" s="1">
        <v>13.581499704674263</v>
      </c>
      <c r="AX383" s="1">
        <v>15.503766551757092</v>
      </c>
      <c r="AY383" s="2">
        <v>1633458.9134702457</v>
      </c>
      <c r="AZ383" s="1">
        <v>15.536066385220648</v>
      </c>
      <c r="BA383" s="1">
        <v>17.44658785621581</v>
      </c>
      <c r="BB383" s="2">
        <v>1218376.928891408</v>
      </c>
      <c r="BC383" s="2">
        <f t="shared" si="42"/>
        <v>-415081.98457883764</v>
      </c>
      <c r="BD383" s="292">
        <f t="shared" si="43"/>
        <v>1.9545666805463853</v>
      </c>
      <c r="BF383" s="170">
        <f t="shared" si="38"/>
        <v>539581.03927763621</v>
      </c>
      <c r="BG383" s="2">
        <f t="shared" si="39"/>
        <v>1267393.6927438958</v>
      </c>
      <c r="BI383">
        <f t="shared" si="40"/>
        <v>0</v>
      </c>
      <c r="BJ383" s="95">
        <f t="shared" si="41"/>
        <v>1</v>
      </c>
      <c r="BP383" s="217">
        <f t="shared" si="44"/>
        <v>1267393.6927438958</v>
      </c>
    </row>
    <row r="384" spans="1:68">
      <c r="A384" s="11">
        <v>378</v>
      </c>
      <c r="C384" s="27">
        <v>0.92683811551596007</v>
      </c>
      <c r="D384" s="27">
        <v>7.3161884484039957E-2</v>
      </c>
      <c r="E384" s="27">
        <v>0</v>
      </c>
      <c r="F384" s="27">
        <v>0.85848259384325787</v>
      </c>
      <c r="G384" s="27">
        <v>0.14151740615674208</v>
      </c>
      <c r="H384" s="27">
        <v>0</v>
      </c>
      <c r="I384" s="27">
        <v>0.74906502632475191</v>
      </c>
      <c r="J384" s="27">
        <v>0.25093497367524809</v>
      </c>
      <c r="K384" s="27">
        <v>0</v>
      </c>
      <c r="L384" s="27">
        <v>0.17706862095084208</v>
      </c>
      <c r="M384" s="27">
        <v>0.44192557432390328</v>
      </c>
      <c r="N384" s="27">
        <v>0.38100580472525469</v>
      </c>
      <c r="O384" s="27">
        <v>-10.954657030313825</v>
      </c>
      <c r="P384" s="27">
        <v>3.7246991295044864E-2</v>
      </c>
      <c r="Q384" s="27">
        <v>8.3531780316792651E-5</v>
      </c>
      <c r="R384" s="27">
        <v>1.0250698414600603</v>
      </c>
      <c r="S384" s="154"/>
      <c r="T384">
        <v>1.050078697272699</v>
      </c>
      <c r="U384">
        <v>2.3158015802403238</v>
      </c>
      <c r="V384">
        <v>2.9862041680601386</v>
      </c>
      <c r="W384">
        <v>1</v>
      </c>
      <c r="Y384" s="2">
        <v>38.31659876632326</v>
      </c>
      <c r="Z384" s="2">
        <v>234.39419764271852</v>
      </c>
      <c r="AA384" s="2">
        <v>1357.3602315362891</v>
      </c>
      <c r="AB384" s="2">
        <v>2678.9550026630359</v>
      </c>
      <c r="AC384" s="2">
        <v>1691.5356054368121</v>
      </c>
      <c r="AD384" s="2">
        <v>834.60926286052745</v>
      </c>
      <c r="AE384" s="2">
        <v>566.54149807636588</v>
      </c>
      <c r="AF384" s="2">
        <v>1213.823352549073</v>
      </c>
      <c r="AG384" s="2">
        <v>83.920854559301461</v>
      </c>
      <c r="AH384" s="2">
        <v>234.16808502337628</v>
      </c>
      <c r="AI384" s="2">
        <v>463127.2362559695</v>
      </c>
      <c r="AJ384" s="2">
        <v>441751.23337080138</v>
      </c>
      <c r="AL384" s="27">
        <v>0.92027518540895747</v>
      </c>
      <c r="AM384" s="27">
        <v>0.9157879435686449</v>
      </c>
      <c r="AN384" s="27">
        <v>0.91756947277362877</v>
      </c>
      <c r="AO384" s="27">
        <v>0.89367856773227883</v>
      </c>
      <c r="AP384" s="27">
        <v>0.74726750546407605</v>
      </c>
      <c r="AQ384" s="27">
        <v>0.92027518540895747</v>
      </c>
      <c r="AR384" s="27">
        <v>0.9157879435686449</v>
      </c>
      <c r="AS384" s="27">
        <v>0.91756947277362877</v>
      </c>
      <c r="AT384" s="27">
        <v>0.89367856773227883</v>
      </c>
      <c r="AU384" s="27">
        <v>0.74726750546407605</v>
      </c>
      <c r="AW384" s="1">
        <v>13.730146285359613</v>
      </c>
      <c r="AX384" s="1">
        <v>15.547572307970885</v>
      </c>
      <c r="AY384" s="2">
        <v>1763259.2465622399</v>
      </c>
      <c r="AZ384" s="1">
        <v>15.655193775983248</v>
      </c>
      <c r="BA384" s="1">
        <v>17.457845065888328</v>
      </c>
      <c r="BB384" s="2">
        <v>1277738.3550957111</v>
      </c>
      <c r="BC384" s="2">
        <f t="shared" si="42"/>
        <v>-485520.89146652888</v>
      </c>
      <c r="BD384" s="292">
        <f t="shared" si="43"/>
        <v>1.9250474906236352</v>
      </c>
      <c r="BF384" s="170">
        <f t="shared" si="38"/>
        <v>433564.15909529827</v>
      </c>
      <c r="BG384" s="2">
        <f t="shared" si="39"/>
        <v>1227092.6490616086</v>
      </c>
      <c r="BI384">
        <f t="shared" si="40"/>
        <v>0</v>
      </c>
      <c r="BJ384" s="95">
        <f t="shared" si="41"/>
        <v>1</v>
      </c>
      <c r="BP384" s="217">
        <f t="shared" si="44"/>
        <v>1227092.6490616086</v>
      </c>
    </row>
    <row r="385" spans="1:68">
      <c r="A385" s="11">
        <v>379</v>
      </c>
      <c r="C385" s="27">
        <v>0.92134058246688577</v>
      </c>
      <c r="D385" s="27">
        <v>7.8659417533114229E-2</v>
      </c>
      <c r="E385" s="27">
        <v>0</v>
      </c>
      <c r="F385" s="27">
        <v>0.85496926317903443</v>
      </c>
      <c r="G385" s="27">
        <v>0.14503073682096557</v>
      </c>
      <c r="H385" s="27">
        <v>0</v>
      </c>
      <c r="I385" s="27">
        <v>0.74860869023275756</v>
      </c>
      <c r="J385" s="27">
        <v>0.25139130976724244</v>
      </c>
      <c r="K385" s="27">
        <v>0</v>
      </c>
      <c r="L385" s="27">
        <v>0.11216629556661906</v>
      </c>
      <c r="M385" s="27">
        <v>0.50398033540954268</v>
      </c>
      <c r="N385" s="27">
        <v>0.38385336902383826</v>
      </c>
      <c r="O385" s="27">
        <v>-11.135084551384834</v>
      </c>
      <c r="P385" s="27">
        <v>3.8257743165761422E-2</v>
      </c>
      <c r="Q385" s="27">
        <v>7.2766175104289562E-5</v>
      </c>
      <c r="R385" s="27">
        <v>1.0411547882371786</v>
      </c>
      <c r="S385" s="154"/>
      <c r="T385">
        <v>1.0127348476221281</v>
      </c>
      <c r="U385">
        <v>2.3071836926291209</v>
      </c>
      <c r="V385">
        <v>3.0325835619705397</v>
      </c>
      <c r="W385">
        <v>1</v>
      </c>
      <c r="Y385" s="2">
        <v>193.22347470811582</v>
      </c>
      <c r="Z385" s="2">
        <v>7640.7672963567438</v>
      </c>
      <c r="AA385" s="2">
        <v>753.41051060683003</v>
      </c>
      <c r="AB385" s="2">
        <v>8812.2992970460655</v>
      </c>
      <c r="AC385" s="2">
        <v>1216.6173184252707</v>
      </c>
      <c r="AD385" s="2">
        <v>1698.8188624945469</v>
      </c>
      <c r="AE385" s="2">
        <v>553.24019598705354</v>
      </c>
      <c r="AF385" s="2">
        <v>1183.1308640354198</v>
      </c>
      <c r="AG385" s="2">
        <v>223.29454163349104</v>
      </c>
      <c r="AH385" s="2">
        <v>433.98850169392512</v>
      </c>
      <c r="AI385" s="2">
        <v>458825.7903646254</v>
      </c>
      <c r="AJ385" s="2">
        <v>425097.97909323114</v>
      </c>
      <c r="AL385" s="27">
        <v>0.91456369030232509</v>
      </c>
      <c r="AM385" s="27">
        <v>0.91645369850566127</v>
      </c>
      <c r="AN385" s="27">
        <v>0.9085447105792952</v>
      </c>
      <c r="AO385" s="27">
        <v>0.8661152870967479</v>
      </c>
      <c r="AP385" s="27">
        <v>0.75459749891211281</v>
      </c>
      <c r="AQ385" s="27">
        <v>0.91456369030232509</v>
      </c>
      <c r="AR385" s="27">
        <v>0.91645369850566127</v>
      </c>
      <c r="AS385" s="27">
        <v>0.9085447105792952</v>
      </c>
      <c r="AT385" s="27">
        <v>0.8661152870967479</v>
      </c>
      <c r="AU385" s="27">
        <v>0.75459749891211281</v>
      </c>
      <c r="AW385" s="1">
        <v>13.639533553142607</v>
      </c>
      <c r="AX385" s="1">
        <v>15.548246259941662</v>
      </c>
      <c r="AY385" s="2">
        <v>1926577.3954778777</v>
      </c>
      <c r="AZ385" s="1">
        <v>15.472099351436142</v>
      </c>
      <c r="BA385" s="1">
        <v>17.368623106706227</v>
      </c>
      <c r="BB385" s="2">
        <v>1461613.89708334</v>
      </c>
      <c r="BC385" s="2">
        <f t="shared" si="42"/>
        <v>-464963.49839453772</v>
      </c>
      <c r="BD385" s="292">
        <f t="shared" si="43"/>
        <v>1.8325657982935351</v>
      </c>
      <c r="BF385" s="170">
        <f t="shared" si="38"/>
        <v>255747.97302493942</v>
      </c>
      <c r="BG385" s="2">
        <f t="shared" si="39"/>
        <v>1013921.9991464426</v>
      </c>
      <c r="BI385">
        <f t="shared" si="40"/>
        <v>0</v>
      </c>
      <c r="BJ385" s="95">
        <f t="shared" si="41"/>
        <v>1</v>
      </c>
      <c r="BP385" s="217">
        <f t="shared" si="44"/>
        <v>1013921.9991464426</v>
      </c>
    </row>
    <row r="386" spans="1:68">
      <c r="A386" s="11">
        <v>380</v>
      </c>
      <c r="C386" s="27">
        <v>0.92482991638859346</v>
      </c>
      <c r="D386" s="27">
        <v>7.5170083611406507E-2</v>
      </c>
      <c r="E386" s="27">
        <v>0</v>
      </c>
      <c r="F386" s="27">
        <v>0.85812757219188918</v>
      </c>
      <c r="G386" s="27">
        <v>0.14187242780811085</v>
      </c>
      <c r="H386" s="27">
        <v>0</v>
      </c>
      <c r="I386" s="27">
        <v>0.74996017686882932</v>
      </c>
      <c r="J386" s="27">
        <v>0.25003982313117068</v>
      </c>
      <c r="K386" s="27">
        <v>0</v>
      </c>
      <c r="L386" s="27">
        <v>6.376851613062573E-2</v>
      </c>
      <c r="M386" s="27">
        <v>0.52276602994838306</v>
      </c>
      <c r="N386" s="27">
        <v>0.41346545392099121</v>
      </c>
      <c r="O386" s="27">
        <v>-10.917760743661423</v>
      </c>
      <c r="P386" s="27">
        <v>3.2216405554840621E-2</v>
      </c>
      <c r="Q386" s="27">
        <v>7.0164244776284976E-5</v>
      </c>
      <c r="R386" s="27">
        <v>1.0617610714734926</v>
      </c>
      <c r="S386" s="154"/>
      <c r="T386">
        <v>1.0351169797291815</v>
      </c>
      <c r="U386">
        <v>2.1716677078445255</v>
      </c>
      <c r="V386">
        <v>2.9482996968296367</v>
      </c>
      <c r="W386">
        <v>1</v>
      </c>
      <c r="Y386" s="2">
        <v>321.28030497175587</v>
      </c>
      <c r="Z386" s="2">
        <v>4494.8960768551706</v>
      </c>
      <c r="AA386" s="2">
        <v>3166.0738238421354</v>
      </c>
      <c r="AB386" s="2">
        <v>8991.0293249328424</v>
      </c>
      <c r="AC386" s="2">
        <v>875.09491148702534</v>
      </c>
      <c r="AD386" s="2">
        <v>317.04799247283648</v>
      </c>
      <c r="AE386" s="2">
        <v>577.46312326682437</v>
      </c>
      <c r="AF386" s="2">
        <v>819.31522155003984</v>
      </c>
      <c r="AG386" s="2">
        <v>136.07676237210288</v>
      </c>
      <c r="AH386" s="2">
        <v>427.18280983018093</v>
      </c>
      <c r="AI386" s="2">
        <v>579299.99902586872</v>
      </c>
      <c r="AJ386" s="2">
        <v>534610.12286157603</v>
      </c>
      <c r="AL386" s="27">
        <v>0.92146422379291915</v>
      </c>
      <c r="AM386" s="27">
        <v>0.91632289881719597</v>
      </c>
      <c r="AN386" s="27">
        <v>0.90815049273652892</v>
      </c>
      <c r="AO386" s="27">
        <v>0.83749053268383089</v>
      </c>
      <c r="AP386" s="27">
        <v>0.70458479521863504</v>
      </c>
      <c r="AQ386" s="27">
        <v>0.92146422379291915</v>
      </c>
      <c r="AR386" s="27">
        <v>0.91632289881719597</v>
      </c>
      <c r="AS386" s="27">
        <v>0.90815049273652892</v>
      </c>
      <c r="AT386" s="27">
        <v>0.83749053268383089</v>
      </c>
      <c r="AU386" s="27">
        <v>0.70458479521863504</v>
      </c>
      <c r="AW386" s="1">
        <v>13.495616758388396</v>
      </c>
      <c r="AX386" s="1">
        <v>15.454689705819064</v>
      </c>
      <c r="AY386" s="2">
        <v>2123046.9715853804</v>
      </c>
      <c r="AZ386" s="1">
        <v>15.405013975087014</v>
      </c>
      <c r="BA386" s="1">
        <v>17.319362007268577</v>
      </c>
      <c r="BB386" s="2">
        <v>1643259.3100272373</v>
      </c>
      <c r="BC386" s="2">
        <f t="shared" si="42"/>
        <v>-479787.6615581431</v>
      </c>
      <c r="BD386" s="292">
        <f t="shared" si="43"/>
        <v>1.9093972166986184</v>
      </c>
      <c r="BF386" s="170">
        <f t="shared" si="38"/>
        <v>36251.709756762721</v>
      </c>
      <c r="BG386" s="2">
        <f t="shared" si="39"/>
        <v>821542.92598668509</v>
      </c>
      <c r="BI386">
        <f t="shared" si="40"/>
        <v>0</v>
      </c>
      <c r="BJ386" s="95">
        <f t="shared" si="41"/>
        <v>1</v>
      </c>
      <c r="BP386" s="217">
        <f t="shared" si="44"/>
        <v>821542.92598668509</v>
      </c>
    </row>
    <row r="387" spans="1:68">
      <c r="A387" s="11">
        <v>381</v>
      </c>
      <c r="C387" s="27">
        <v>0.92026835001009233</v>
      </c>
      <c r="D387" s="27">
        <v>7.9731649989907671E-2</v>
      </c>
      <c r="E387" s="27">
        <v>0</v>
      </c>
      <c r="F387" s="27">
        <v>0.86005263978601909</v>
      </c>
      <c r="G387" s="27">
        <v>0.13994736021398094</v>
      </c>
      <c r="H387" s="27">
        <v>0</v>
      </c>
      <c r="I387" s="27">
        <v>0.74966424848946822</v>
      </c>
      <c r="J387" s="27">
        <v>0.25033575151053178</v>
      </c>
      <c r="K387" s="27">
        <v>0</v>
      </c>
      <c r="L387" s="27">
        <v>0.14816380927408307</v>
      </c>
      <c r="M387" s="27">
        <v>0.49768638109583668</v>
      </c>
      <c r="N387" s="27">
        <v>0.35414980963008019</v>
      </c>
      <c r="O387" s="27">
        <v>-11.223412013602205</v>
      </c>
      <c r="P387" s="27">
        <v>3.412364128137757E-2</v>
      </c>
      <c r="Q387" s="27">
        <v>5.5996628198420993E-5</v>
      </c>
      <c r="R387" s="27">
        <v>1.0900222888455793</v>
      </c>
      <c r="S387" s="154"/>
      <c r="T387">
        <v>0.95739625798622663</v>
      </c>
      <c r="U387">
        <v>2.2576569192211657</v>
      </c>
      <c r="V387">
        <v>3.0507214624412753</v>
      </c>
      <c r="W387">
        <v>1</v>
      </c>
      <c r="Y387" s="2">
        <v>1000.0997258565282</v>
      </c>
      <c r="Z387" s="2">
        <v>614.11737261629298</v>
      </c>
      <c r="AA387" s="2">
        <v>1366.82162509926</v>
      </c>
      <c r="AB387" s="2">
        <v>6535.3215839521145</v>
      </c>
      <c r="AC387" s="2">
        <v>763.3247756597799</v>
      </c>
      <c r="AD387" s="2">
        <v>1284.5901454705297</v>
      </c>
      <c r="AE387" s="2">
        <v>517.31445731169856</v>
      </c>
      <c r="AF387" s="2">
        <v>978.02961781393071</v>
      </c>
      <c r="AG387" s="2">
        <v>199.75580167521201</v>
      </c>
      <c r="AH387" s="2">
        <v>875.43258323060559</v>
      </c>
      <c r="AI387" s="2">
        <v>480075.56161674799</v>
      </c>
      <c r="AJ387" s="2">
        <v>442907.98696270655</v>
      </c>
      <c r="AL387" s="27">
        <v>0.91313097673987176</v>
      </c>
      <c r="AM387" s="27">
        <v>0.91170047869713011</v>
      </c>
      <c r="AN387" s="27">
        <v>0.90871347253274903</v>
      </c>
      <c r="AO387" s="27">
        <v>0.89747478363384314</v>
      </c>
      <c r="AP387" s="27">
        <v>0.61068455646640341</v>
      </c>
      <c r="AQ387" s="27">
        <v>0.91313097673987176</v>
      </c>
      <c r="AR387" s="27">
        <v>0.91170047869713011</v>
      </c>
      <c r="AS387" s="27">
        <v>0.90871347253274903</v>
      </c>
      <c r="AT387" s="27">
        <v>0.89747478363384314</v>
      </c>
      <c r="AU387" s="27">
        <v>0.61068455646640341</v>
      </c>
      <c r="AW387" s="1">
        <v>13.260954067440798</v>
      </c>
      <c r="AX387" s="1">
        <v>15.589789743572469</v>
      </c>
      <c r="AY387" s="2">
        <v>1757885.1138646738</v>
      </c>
      <c r="AZ387" s="1">
        <v>15.092943799201246</v>
      </c>
      <c r="BA387" s="1">
        <v>17.308461189008636</v>
      </c>
      <c r="BB387" s="2">
        <v>1407768.860161836</v>
      </c>
      <c r="BC387" s="2">
        <f t="shared" si="42"/>
        <v>-350116.25370283774</v>
      </c>
      <c r="BD387" s="292">
        <f t="shared" si="43"/>
        <v>1.8319897317604479</v>
      </c>
      <c r="BF387" s="170">
        <f t="shared" si="38"/>
        <v>363867.5369258537</v>
      </c>
      <c r="BG387" s="2">
        <f t="shared" si="39"/>
        <v>1007102.1477103631</v>
      </c>
      <c r="BI387">
        <f t="shared" si="40"/>
        <v>0</v>
      </c>
      <c r="BJ387" s="95">
        <f t="shared" si="41"/>
        <v>1</v>
      </c>
      <c r="BP387" s="217">
        <f t="shared" si="44"/>
        <v>1007102.1477103631</v>
      </c>
    </row>
    <row r="388" spans="1:68">
      <c r="A388" s="11">
        <v>382</v>
      </c>
      <c r="C388" s="27">
        <v>0.92191257782139435</v>
      </c>
      <c r="D388" s="27">
        <v>7.8087422178605648E-2</v>
      </c>
      <c r="E388" s="27">
        <v>0</v>
      </c>
      <c r="F388" s="27">
        <v>0.85574825518223829</v>
      </c>
      <c r="G388" s="27">
        <v>0.14425174481776171</v>
      </c>
      <c r="H388" s="27">
        <v>0</v>
      </c>
      <c r="I388" s="27">
        <v>0.75002444643978317</v>
      </c>
      <c r="J388" s="27">
        <v>0.24997555356021683</v>
      </c>
      <c r="K388" s="27">
        <v>0</v>
      </c>
      <c r="L388" s="27">
        <v>8.6356203737646131E-2</v>
      </c>
      <c r="M388" s="27">
        <v>0.54126759614836562</v>
      </c>
      <c r="N388" s="27">
        <v>0.37237620011398825</v>
      </c>
      <c r="O388" s="27">
        <v>-11.230926515356114</v>
      </c>
      <c r="P388" s="27">
        <v>3.4390542822650277E-2</v>
      </c>
      <c r="Q388" s="27">
        <v>5.6203938873427208E-5</v>
      </c>
      <c r="R388" s="27">
        <v>1.0932093471029882</v>
      </c>
      <c r="S388" s="154"/>
      <c r="T388">
        <v>1.0130211858925808</v>
      </c>
      <c r="U388">
        <v>2.327843823194776</v>
      </c>
      <c r="V388">
        <v>2.7133421162608893</v>
      </c>
      <c r="W388">
        <v>1</v>
      </c>
      <c r="Y388" s="2">
        <v>76.104382450815905</v>
      </c>
      <c r="Z388" s="2">
        <v>657.16980654504266</v>
      </c>
      <c r="AA388" s="2">
        <v>526.94588495799542</v>
      </c>
      <c r="AB388" s="2">
        <v>7140.14311184488</v>
      </c>
      <c r="AC388" s="2">
        <v>1208.5186254889111</v>
      </c>
      <c r="AD388" s="2">
        <v>2153.0201659588561</v>
      </c>
      <c r="AE388" s="2">
        <v>497.49783520868397</v>
      </c>
      <c r="AF388" s="2">
        <v>931.96415824872952</v>
      </c>
      <c r="AG388" s="2">
        <v>176.36693768013555</v>
      </c>
      <c r="AH388" s="2">
        <v>491.29418468616217</v>
      </c>
      <c r="AI388" s="2">
        <v>357002.68242492201</v>
      </c>
      <c r="AJ388" s="2">
        <v>336471.73777043395</v>
      </c>
      <c r="AL388" s="27">
        <v>0.92126369668357699</v>
      </c>
      <c r="AM388" s="27">
        <v>0.9197923303557114</v>
      </c>
      <c r="AN388" s="27">
        <v>0.90943948094922156</v>
      </c>
      <c r="AO388" s="27">
        <v>0.85803384369868474</v>
      </c>
      <c r="AP388" s="27">
        <v>0.80446653084548891</v>
      </c>
      <c r="AQ388" s="27">
        <v>0.92126369668357699</v>
      </c>
      <c r="AR388" s="27">
        <v>0.9197923303557114</v>
      </c>
      <c r="AS388" s="27">
        <v>0.90943948094922156</v>
      </c>
      <c r="AT388" s="27">
        <v>0.85803384369868474</v>
      </c>
      <c r="AU388" s="27">
        <v>0.80446653084548891</v>
      </c>
      <c r="AW388" s="1">
        <v>13.810532707450742</v>
      </c>
      <c r="AX388" s="1">
        <v>15.458441041297501</v>
      </c>
      <c r="AY388" s="2">
        <v>1365905.688225698</v>
      </c>
      <c r="AZ388" s="1">
        <v>15.602828766768839</v>
      </c>
      <c r="BA388" s="1">
        <v>17.289777762910187</v>
      </c>
      <c r="BB388" s="2">
        <v>1120029.0069921305</v>
      </c>
      <c r="BC388" s="2">
        <f t="shared" si="42"/>
        <v>-245876.68123356742</v>
      </c>
      <c r="BD388" s="292">
        <f t="shared" si="43"/>
        <v>1.7922960593180974</v>
      </c>
      <c r="BF388" s="170">
        <f t="shared" si="38"/>
        <v>843779.54496642086</v>
      </c>
      <c r="BG388" s="2">
        <f t="shared" si="39"/>
        <v>1376423.5956908837</v>
      </c>
      <c r="BI388">
        <f t="shared" si="40"/>
        <v>0</v>
      </c>
      <c r="BJ388" s="95">
        <f t="shared" si="41"/>
        <v>1</v>
      </c>
      <c r="BP388" s="217">
        <f t="shared" si="44"/>
        <v>1376423.5956908837</v>
      </c>
    </row>
    <row r="389" spans="1:68">
      <c r="A389" s="11">
        <v>383</v>
      </c>
      <c r="C389" s="27">
        <v>0.92275532172922692</v>
      </c>
      <c r="D389" s="27">
        <v>7.7244678270773082E-2</v>
      </c>
      <c r="E389" s="27">
        <v>0</v>
      </c>
      <c r="F389" s="27">
        <v>0.86321710934346196</v>
      </c>
      <c r="G389" s="27">
        <v>0.13678289065653806</v>
      </c>
      <c r="H389" s="27">
        <v>0</v>
      </c>
      <c r="I389" s="27">
        <v>0.74898134524399851</v>
      </c>
      <c r="J389" s="27">
        <v>0.25101865475600149</v>
      </c>
      <c r="K389" s="27">
        <v>0</v>
      </c>
      <c r="L389" s="27">
        <v>5.2646654703466189E-2</v>
      </c>
      <c r="M389" s="27">
        <v>0.56107297559374869</v>
      </c>
      <c r="N389" s="27">
        <v>0.38628036970278512</v>
      </c>
      <c r="O389" s="27">
        <v>-11.148805974944962</v>
      </c>
      <c r="P389" s="27">
        <v>3.5657900560443351E-2</v>
      </c>
      <c r="Q389" s="27">
        <v>6.4349966056400515E-5</v>
      </c>
      <c r="R389" s="27">
        <v>1.0630243594181723</v>
      </c>
      <c r="S389" s="154"/>
      <c r="T389">
        <v>0.88373359815597685</v>
      </c>
      <c r="U389">
        <v>2.2682166293471382</v>
      </c>
      <c r="V389">
        <v>3.047598716743142</v>
      </c>
      <c r="W389">
        <v>1</v>
      </c>
      <c r="Y389" s="2">
        <v>438.71785640237306</v>
      </c>
      <c r="Z389" s="2">
        <v>8934.759487036752</v>
      </c>
      <c r="AA389" s="2">
        <v>259.59839234130231</v>
      </c>
      <c r="AB389" s="2">
        <v>2736.9601197844868</v>
      </c>
      <c r="AC389" s="2">
        <v>5238.3905441546503</v>
      </c>
      <c r="AD389" s="2">
        <v>852.23112556628882</v>
      </c>
      <c r="AE389" s="2">
        <v>560.37160188045391</v>
      </c>
      <c r="AF389" s="2">
        <v>1168.0160087725214</v>
      </c>
      <c r="AG389" s="2">
        <v>108.09708418353488</v>
      </c>
      <c r="AH389" s="2">
        <v>156.31275089415004</v>
      </c>
      <c r="AI389" s="2">
        <v>541713.40216467285</v>
      </c>
      <c r="AJ389" s="2">
        <v>495808.68248463643</v>
      </c>
      <c r="AL389" s="27">
        <v>0.91390205701502114</v>
      </c>
      <c r="AM389" s="27">
        <v>0.91922479394151113</v>
      </c>
      <c r="AN389" s="27">
        <v>0.91515911434908737</v>
      </c>
      <c r="AO389" s="27">
        <v>0.89848869191999636</v>
      </c>
      <c r="AP389" s="27">
        <v>0.62488398647811194</v>
      </c>
      <c r="AQ389" s="27">
        <v>0.91390205701502114</v>
      </c>
      <c r="AR389" s="27">
        <v>0.91922479394151113</v>
      </c>
      <c r="AS389" s="27">
        <v>0.91515911434908737</v>
      </c>
      <c r="AT389" s="27">
        <v>0.89848869191999636</v>
      </c>
      <c r="AU389" s="27">
        <v>0.62488398647811194</v>
      </c>
      <c r="AW389" s="1">
        <v>13.761800492056565</v>
      </c>
      <c r="AX389" s="1">
        <v>16.063671312432923</v>
      </c>
      <c r="AY389" s="2">
        <v>2156831.7032877235</v>
      </c>
      <c r="AZ389" s="1">
        <v>15.322579965435265</v>
      </c>
      <c r="BA389" s="1">
        <v>17.499856522993667</v>
      </c>
      <c r="BB389" s="2">
        <v>1520625.7295623804</v>
      </c>
      <c r="BC389" s="2">
        <f t="shared" si="42"/>
        <v>-636205.97372534312</v>
      </c>
      <c r="BD389" s="292">
        <f t="shared" si="43"/>
        <v>1.5607794733786999</v>
      </c>
      <c r="BF389" s="170">
        <f t="shared" si="38"/>
        <v>45056.37544132676</v>
      </c>
      <c r="BG389" s="2">
        <f t="shared" si="39"/>
        <v>930987.0649072621</v>
      </c>
      <c r="BI389">
        <f t="shared" si="40"/>
        <v>0</v>
      </c>
      <c r="BJ389" s="95">
        <f t="shared" si="41"/>
        <v>1</v>
      </c>
      <c r="BP389" s="217">
        <f t="shared" si="44"/>
        <v>930987.0649072621</v>
      </c>
    </row>
    <row r="390" spans="1:68">
      <c r="A390" s="11">
        <v>384</v>
      </c>
      <c r="C390" s="27">
        <v>0.92364384778736008</v>
      </c>
      <c r="D390" s="27">
        <v>7.6356152212639944E-2</v>
      </c>
      <c r="E390" s="27">
        <v>0</v>
      </c>
      <c r="F390" s="27">
        <v>0.85573815622234262</v>
      </c>
      <c r="G390" s="27">
        <v>0.14426184377765738</v>
      </c>
      <c r="H390" s="27">
        <v>0</v>
      </c>
      <c r="I390" s="27">
        <v>0.75414754927065819</v>
      </c>
      <c r="J390" s="27">
        <v>0.24585245072934186</v>
      </c>
      <c r="K390" s="27">
        <v>0</v>
      </c>
      <c r="L390" s="27">
        <v>-2.6215900407763337E-3</v>
      </c>
      <c r="M390" s="27">
        <v>0.55724221305594268</v>
      </c>
      <c r="N390" s="27">
        <v>0.44537937698483365</v>
      </c>
      <c r="O390" s="27">
        <v>-11.433708455484743</v>
      </c>
      <c r="P390" s="27">
        <v>3.4491152094296637E-2</v>
      </c>
      <c r="Q390" s="27">
        <v>4.608237198537986E-5</v>
      </c>
      <c r="R390" s="27">
        <v>1.1085181127174311</v>
      </c>
      <c r="S390" s="154"/>
      <c r="T390">
        <v>0.98386373828262885</v>
      </c>
      <c r="U390">
        <v>2.2599831735248697</v>
      </c>
      <c r="V390">
        <v>2.9466346909377288</v>
      </c>
      <c r="W390">
        <v>1</v>
      </c>
      <c r="Y390" s="2">
        <v>1633.5244574434007</v>
      </c>
      <c r="Z390" s="2">
        <v>827.71204865412324</v>
      </c>
      <c r="AA390" s="2">
        <v>356.97160045012248</v>
      </c>
      <c r="AB390" s="2">
        <v>3356.3905536688148</v>
      </c>
      <c r="AC390" s="2">
        <v>1425.4483864670945</v>
      </c>
      <c r="AD390" s="2">
        <v>195.66881572899399</v>
      </c>
      <c r="AE390" s="2">
        <v>565.58305805425255</v>
      </c>
      <c r="AF390" s="2">
        <v>1115.4969361704191</v>
      </c>
      <c r="AG390" s="2">
        <v>139.98608346675073</v>
      </c>
      <c r="AH390" s="2">
        <v>273.30331473908444</v>
      </c>
      <c r="AI390" s="2">
        <v>465381.89141494554</v>
      </c>
      <c r="AJ390" s="2">
        <v>426265.20146346901</v>
      </c>
      <c r="AL390" s="27">
        <v>0.91667443994056241</v>
      </c>
      <c r="AM390" s="27">
        <v>0.92127877399136426</v>
      </c>
      <c r="AN390" s="27">
        <v>0.90389488653925865</v>
      </c>
      <c r="AO390" s="27">
        <v>0.84093956731253772</v>
      </c>
      <c r="AP390" s="27">
        <v>0.67336562792964494</v>
      </c>
      <c r="AQ390" s="27">
        <v>0.91667443994056241</v>
      </c>
      <c r="AR390" s="27">
        <v>0.92127877399136426</v>
      </c>
      <c r="AS390" s="27">
        <v>0.90389488653925865</v>
      </c>
      <c r="AT390" s="27">
        <v>0.84093956731253772</v>
      </c>
      <c r="AU390" s="27">
        <v>0.67336562792964494</v>
      </c>
      <c r="AW390" s="1">
        <v>13.359470818858931</v>
      </c>
      <c r="AX390" s="1">
        <v>15.428894056304776</v>
      </c>
      <c r="AY390" s="2">
        <v>1649563.8073015814</v>
      </c>
      <c r="AZ390" s="1">
        <v>15.218240902280398</v>
      </c>
      <c r="BA390" s="1">
        <v>17.220662686059075</v>
      </c>
      <c r="BB390" s="2">
        <v>1210529.3249058621</v>
      </c>
      <c r="BC390" s="2">
        <f t="shared" si="42"/>
        <v>-439034.48239571927</v>
      </c>
      <c r="BD390" s="292">
        <f t="shared" si="43"/>
        <v>1.8587700834214669</v>
      </c>
      <c r="BF390" s="170">
        <f t="shared" si="38"/>
        <v>487951.52371584764</v>
      </c>
      <c r="BG390" s="2">
        <f t="shared" si="39"/>
        <v>1224389.2194590014</v>
      </c>
      <c r="BI390">
        <f t="shared" si="40"/>
        <v>0</v>
      </c>
      <c r="BJ390" s="95">
        <f t="shared" si="41"/>
        <v>1</v>
      </c>
      <c r="BP390" s="217">
        <f t="shared" si="44"/>
        <v>1224389.2194590014</v>
      </c>
    </row>
    <row r="391" spans="1:68">
      <c r="A391" s="11">
        <v>385</v>
      </c>
      <c r="C391" s="27">
        <v>0.92245694138873469</v>
      </c>
      <c r="D391" s="27">
        <v>7.7543058611265314E-2</v>
      </c>
      <c r="E391" s="27">
        <v>0</v>
      </c>
      <c r="F391" s="27">
        <v>0.85700457185745593</v>
      </c>
      <c r="G391" s="27">
        <v>0.14299542814254407</v>
      </c>
      <c r="H391" s="27">
        <v>0</v>
      </c>
      <c r="I391" s="27">
        <v>0.75130135623183603</v>
      </c>
      <c r="J391" s="27">
        <v>0.24869864376816403</v>
      </c>
      <c r="K391" s="27">
        <v>0</v>
      </c>
      <c r="L391" s="27">
        <v>0.14240897708017658</v>
      </c>
      <c r="M391" s="27">
        <v>0.48374457419192418</v>
      </c>
      <c r="N391" s="27">
        <v>0.37384644872789924</v>
      </c>
      <c r="O391" s="27">
        <v>-11.163166441864306</v>
      </c>
      <c r="P391" s="27">
        <v>3.539429460316125E-2</v>
      </c>
      <c r="Q391" s="27">
        <v>6.273405796708816E-5</v>
      </c>
      <c r="R391" s="27">
        <v>1.0688703414116303</v>
      </c>
      <c r="S391" s="154"/>
      <c r="T391">
        <v>0.93766426370173783</v>
      </c>
      <c r="U391">
        <v>2.2344370937377778</v>
      </c>
      <c r="V391">
        <v>2.9818230412527158</v>
      </c>
      <c r="W391">
        <v>1</v>
      </c>
      <c r="Y391" s="2">
        <v>638.48532482916812</v>
      </c>
      <c r="Z391" s="2">
        <v>1557.8298725079678</v>
      </c>
      <c r="AA391" s="2">
        <v>453.64940846838635</v>
      </c>
      <c r="AB391" s="2">
        <v>2109.8558002538739</v>
      </c>
      <c r="AC391" s="2">
        <v>1404.2085540450867</v>
      </c>
      <c r="AD391" s="2">
        <v>532.20630817809035</v>
      </c>
      <c r="AE391" s="2">
        <v>566.23946248429456</v>
      </c>
      <c r="AF391" s="2">
        <v>1057.4989921710858</v>
      </c>
      <c r="AG391" s="2">
        <v>136.17598634887841</v>
      </c>
      <c r="AH391" s="2">
        <v>379.9172840749971</v>
      </c>
      <c r="AI391" s="2">
        <v>506843.94670966588</v>
      </c>
      <c r="AJ391" s="2">
        <v>483409.27767271531</v>
      </c>
      <c r="AL391" s="27">
        <v>0.91750065608407727</v>
      </c>
      <c r="AM391" s="27">
        <v>0.91536982530793998</v>
      </c>
      <c r="AN391" s="27">
        <v>0.9024372169437227</v>
      </c>
      <c r="AO391" s="27">
        <v>0.83878396518909504</v>
      </c>
      <c r="AP391" s="27">
        <v>0.72511548093474665</v>
      </c>
      <c r="AQ391" s="27">
        <v>0.91750065608407727</v>
      </c>
      <c r="AR391" s="27">
        <v>0.91536982530793998</v>
      </c>
      <c r="AS391" s="27">
        <v>0.9024372169437227</v>
      </c>
      <c r="AT391" s="27">
        <v>0.83878396518909504</v>
      </c>
      <c r="AU391" s="27">
        <v>0.72511548093474665</v>
      </c>
      <c r="AW391" s="1">
        <v>13.765441411965901</v>
      </c>
      <c r="AX391" s="1">
        <v>15.722600552042257</v>
      </c>
      <c r="AY391" s="2">
        <v>1889634.9021813979</v>
      </c>
      <c r="AZ391" s="1">
        <v>15.39110176995977</v>
      </c>
      <c r="BA391" s="1">
        <v>17.330736677603941</v>
      </c>
      <c r="BB391" s="2">
        <v>1401918.2861524229</v>
      </c>
      <c r="BC391" s="2">
        <f t="shared" si="42"/>
        <v>-487716.616028975</v>
      </c>
      <c r="BD391" s="292">
        <f t="shared" si="43"/>
        <v>1.6256603579938691</v>
      </c>
      <c r="BF391" s="170">
        <f t="shared" ref="BF391:BF454" si="45">AW391*Threshold-AY391</f>
        <v>312835.72373314598</v>
      </c>
      <c r="BG391" s="2">
        <f t="shared" ref="BG391:BG454" si="46">AZ391*Threshold-BB391</f>
        <v>1060657.9970411402</v>
      </c>
      <c r="BI391">
        <f t="shared" ref="BI391:BI454" si="47">IF(MAX($BF391:$BG391)=$BF391,1,0)</f>
        <v>0</v>
      </c>
      <c r="BJ391" s="95">
        <f t="shared" ref="BJ391:BJ454" si="48">IF(MAX($BF391:$BG391)=$BF391,0,1)</f>
        <v>1</v>
      </c>
      <c r="BP391" s="217">
        <f t="shared" si="44"/>
        <v>1060657.9970411402</v>
      </c>
    </row>
    <row r="392" spans="1:68">
      <c r="A392" s="11">
        <v>386</v>
      </c>
      <c r="C392" s="27">
        <v>0.92211874017307571</v>
      </c>
      <c r="D392" s="27">
        <v>7.7881259826924287E-2</v>
      </c>
      <c r="E392" s="27">
        <v>0</v>
      </c>
      <c r="F392" s="27">
        <v>0.85649473689211508</v>
      </c>
      <c r="G392" s="27">
        <v>0.14350526310788492</v>
      </c>
      <c r="H392" s="27">
        <v>0</v>
      </c>
      <c r="I392" s="27">
        <v>0.74936367707859397</v>
      </c>
      <c r="J392" s="27">
        <v>0.25063632292140603</v>
      </c>
      <c r="K392" s="27">
        <v>0</v>
      </c>
      <c r="L392" s="27">
        <v>0.17850625691206906</v>
      </c>
      <c r="M392" s="27">
        <v>0.46885562960555344</v>
      </c>
      <c r="N392" s="27">
        <v>0.35263811348237745</v>
      </c>
      <c r="O392" s="27">
        <v>-11.119206798606477</v>
      </c>
      <c r="P392" s="27">
        <v>3.7337313501511211E-2</v>
      </c>
      <c r="Q392" s="27">
        <v>7.1127278452949512E-5</v>
      </c>
      <c r="R392" s="27">
        <v>1.0488973669242712</v>
      </c>
      <c r="S392" s="154"/>
      <c r="T392">
        <v>0.91158165935758839</v>
      </c>
      <c r="U392">
        <v>2.2557586642535381</v>
      </c>
      <c r="V392">
        <v>3.0006320494614349</v>
      </c>
      <c r="W392">
        <v>1</v>
      </c>
      <c r="Y392" s="2">
        <v>380.23208178060321</v>
      </c>
      <c r="Z392" s="2">
        <v>3461.0314327616825</v>
      </c>
      <c r="AA392" s="2">
        <v>477.635570892207</v>
      </c>
      <c r="AB392" s="2">
        <v>1869.8617850353946</v>
      </c>
      <c r="AC392" s="2">
        <v>281.77000775476267</v>
      </c>
      <c r="AD392" s="2">
        <v>284.0219624209688</v>
      </c>
      <c r="AE392" s="2">
        <v>611.83039903830002</v>
      </c>
      <c r="AF392" s="2">
        <v>999.49647379095086</v>
      </c>
      <c r="AG392" s="2">
        <v>106.27420785515064</v>
      </c>
      <c r="AH392" s="2">
        <v>365.26113248905006</v>
      </c>
      <c r="AI392" s="2">
        <v>523919.50772042747</v>
      </c>
      <c r="AJ392" s="2">
        <v>491435.73811465543</v>
      </c>
      <c r="AL392" s="27">
        <v>0.92030905606404168</v>
      </c>
      <c r="AM392" s="27">
        <v>0.91342184815065164</v>
      </c>
      <c r="AN392" s="27">
        <v>0.90975557126836959</v>
      </c>
      <c r="AO392" s="27">
        <v>0.89974136282759987</v>
      </c>
      <c r="AP392" s="27">
        <v>0.75627571018681472</v>
      </c>
      <c r="AQ392" s="27">
        <v>0.92030905606404168</v>
      </c>
      <c r="AR392" s="27">
        <v>0.91342184815065164</v>
      </c>
      <c r="AS392" s="27">
        <v>0.90975557126836959</v>
      </c>
      <c r="AT392" s="27">
        <v>0.89974136282759987</v>
      </c>
      <c r="AU392" s="27">
        <v>0.75627571018681472</v>
      </c>
      <c r="AW392" s="1">
        <v>14.078795334868664</v>
      </c>
      <c r="AX392" s="1">
        <v>15.898961725901723</v>
      </c>
      <c r="AY392" s="2">
        <v>1978221.6521868673</v>
      </c>
      <c r="AZ392" s="1">
        <v>15.576080352737351</v>
      </c>
      <c r="BA392" s="1">
        <v>17.403309961841327</v>
      </c>
      <c r="BB392" s="2">
        <v>1469720.2625216476</v>
      </c>
      <c r="BC392" s="2">
        <f t="shared" ref="BC392:BC455" si="49">BB392-AY392</f>
        <v>-508501.3896652197</v>
      </c>
      <c r="BD392" s="292">
        <f t="shared" ref="BD392:BD455" si="50">AZ392-AW392</f>
        <v>1.4972850178686876</v>
      </c>
      <c r="BF392" s="170">
        <f t="shared" si="45"/>
        <v>274385.60139211873</v>
      </c>
      <c r="BG392" s="2">
        <f t="shared" si="46"/>
        <v>1022452.5939163284</v>
      </c>
      <c r="BI392">
        <f t="shared" si="47"/>
        <v>0</v>
      </c>
      <c r="BJ392" s="95">
        <f t="shared" si="48"/>
        <v>1</v>
      </c>
      <c r="BP392" s="217">
        <f t="shared" ref="BP392:BP455" si="51">MAX(BF392,BG392)</f>
        <v>1022452.5939163284</v>
      </c>
    </row>
    <row r="393" spans="1:68">
      <c r="A393" s="11">
        <v>387</v>
      </c>
      <c r="C393" s="27">
        <v>0.92309128551957109</v>
      </c>
      <c r="D393" s="27">
        <v>7.6908714480428908E-2</v>
      </c>
      <c r="E393" s="27">
        <v>0</v>
      </c>
      <c r="F393" s="27">
        <v>0.85932576988561982</v>
      </c>
      <c r="G393" s="27">
        <v>0.14067423011438021</v>
      </c>
      <c r="H393" s="27">
        <v>0</v>
      </c>
      <c r="I393" s="27">
        <v>0.75053929037876177</v>
      </c>
      <c r="J393" s="27">
        <v>0.24946070962123826</v>
      </c>
      <c r="K393" s="27">
        <v>0</v>
      </c>
      <c r="L393" s="27">
        <v>0.20012208044137864</v>
      </c>
      <c r="M393" s="27">
        <v>0.48710410873536375</v>
      </c>
      <c r="N393" s="27">
        <v>0.31277381082325756</v>
      </c>
      <c r="O393" s="27">
        <v>-11.231344543165962</v>
      </c>
      <c r="P393" s="27">
        <v>3.545643356527204E-2</v>
      </c>
      <c r="Q393" s="27">
        <v>5.8752648011208321E-5</v>
      </c>
      <c r="R393" s="27">
        <v>1.0832183338059502</v>
      </c>
      <c r="S393" s="154"/>
      <c r="T393">
        <v>0.93297339572395765</v>
      </c>
      <c r="U393">
        <v>2.2408750341488819</v>
      </c>
      <c r="V393">
        <v>2.8729580782739594</v>
      </c>
      <c r="W393">
        <v>1</v>
      </c>
      <c r="Y393" s="2">
        <v>2767.9019310624099</v>
      </c>
      <c r="Z393" s="2">
        <v>5127.4662858593392</v>
      </c>
      <c r="AA393" s="2">
        <v>1770.2755195432383</v>
      </c>
      <c r="AB393" s="2">
        <v>5068.945613371835</v>
      </c>
      <c r="AC393" s="2">
        <v>583.5883364409143</v>
      </c>
      <c r="AD393" s="2">
        <v>278.85965137550363</v>
      </c>
      <c r="AE393" s="2">
        <v>500.13765544144883</v>
      </c>
      <c r="AF393" s="2">
        <v>1020.8146582270654</v>
      </c>
      <c r="AG393" s="2">
        <v>47.548173279090896</v>
      </c>
      <c r="AH393" s="2">
        <v>285.52841296375493</v>
      </c>
      <c r="AI393" s="2">
        <v>712650.63125185308</v>
      </c>
      <c r="AJ393" s="2">
        <v>670625.41772070224</v>
      </c>
      <c r="AL393" s="27">
        <v>0.91697658629147083</v>
      </c>
      <c r="AM393" s="27">
        <v>0.91905444805373659</v>
      </c>
      <c r="AN393" s="27">
        <v>0.90406445311055927</v>
      </c>
      <c r="AO393" s="27">
        <v>0.87509514918001052</v>
      </c>
      <c r="AP393" s="27">
        <v>0.74552198703461625</v>
      </c>
      <c r="AQ393" s="27">
        <v>0.91697658629147083</v>
      </c>
      <c r="AR393" s="27">
        <v>0.91905444805373659</v>
      </c>
      <c r="AS393" s="27">
        <v>0.90406445311055927</v>
      </c>
      <c r="AT393" s="27">
        <v>0.87509514918001052</v>
      </c>
      <c r="AU393" s="27">
        <v>0.74552198703461625</v>
      </c>
      <c r="AW393" s="1">
        <v>14.065389541174637</v>
      </c>
      <c r="AX393" s="1">
        <v>15.973885539370066</v>
      </c>
      <c r="AY393" s="2">
        <v>2744986.5739444052</v>
      </c>
      <c r="AZ393" s="1">
        <v>15.613286574249864</v>
      </c>
      <c r="BA393" s="1">
        <v>17.506264169900334</v>
      </c>
      <c r="BB393" s="2">
        <v>2043928.3783284316</v>
      </c>
      <c r="BC393" s="2">
        <f t="shared" si="49"/>
        <v>-701058.19561597356</v>
      </c>
      <c r="BD393" s="292">
        <f t="shared" si="50"/>
        <v>1.5478970330752269</v>
      </c>
      <c r="BF393" s="170">
        <f t="shared" si="45"/>
        <v>-494524.24735646322</v>
      </c>
      <c r="BG393" s="2">
        <f t="shared" si="46"/>
        <v>454197.47355154646</v>
      </c>
      <c r="BI393">
        <f t="shared" si="47"/>
        <v>0</v>
      </c>
      <c r="BJ393" s="95">
        <f t="shared" si="48"/>
        <v>1</v>
      </c>
      <c r="BP393" s="217">
        <f t="shared" si="51"/>
        <v>454197.47355154646</v>
      </c>
    </row>
    <row r="394" spans="1:68">
      <c r="A394" s="11">
        <v>388</v>
      </c>
      <c r="C394" s="27">
        <v>0.92307150903767443</v>
      </c>
      <c r="D394" s="27">
        <v>7.6928490962325569E-2</v>
      </c>
      <c r="E394" s="27">
        <v>0</v>
      </c>
      <c r="F394" s="27">
        <v>0.85789637100344085</v>
      </c>
      <c r="G394" s="27">
        <v>0.14210362899655918</v>
      </c>
      <c r="H394" s="27">
        <v>0</v>
      </c>
      <c r="I394" s="27">
        <v>0.75251475605683316</v>
      </c>
      <c r="J394" s="27">
        <v>0.24748524394316682</v>
      </c>
      <c r="K394" s="27">
        <v>0</v>
      </c>
      <c r="L394" s="27">
        <v>0.12922105668994438</v>
      </c>
      <c r="M394" s="27">
        <v>0.55503955498532243</v>
      </c>
      <c r="N394" s="27">
        <v>0.31573938832473319</v>
      </c>
      <c r="O394" s="27">
        <v>-10.965505939631607</v>
      </c>
      <c r="P394" s="27">
        <v>3.5976208470556215E-2</v>
      </c>
      <c r="Q394" s="27">
        <v>7.8335851682378839E-5</v>
      </c>
      <c r="R394" s="27">
        <v>1.0398413069523773</v>
      </c>
      <c r="S394" s="154"/>
      <c r="T394">
        <v>0.93903867060301971</v>
      </c>
      <c r="U394">
        <v>2.2890298016251789</v>
      </c>
      <c r="V394">
        <v>2.9508525441421978</v>
      </c>
      <c r="W394">
        <v>1</v>
      </c>
      <c r="Y394" s="2">
        <v>3114.9344016014315</v>
      </c>
      <c r="Z394" s="2">
        <v>3484.9804276381524</v>
      </c>
      <c r="AA394" s="2">
        <v>83.114381192692093</v>
      </c>
      <c r="AB394" s="2">
        <v>856.86163736301341</v>
      </c>
      <c r="AC394" s="2">
        <v>387.19009848968795</v>
      </c>
      <c r="AD394" s="2">
        <v>2060.0859106907756</v>
      </c>
      <c r="AE394" s="2">
        <v>554.8115678811555</v>
      </c>
      <c r="AF394" s="2">
        <v>829.86571573984668</v>
      </c>
      <c r="AG394" s="2">
        <v>67.742915436607575</v>
      </c>
      <c r="AH394" s="2">
        <v>685.45159016428568</v>
      </c>
      <c r="AI394" s="2">
        <v>573593.02011255035</v>
      </c>
      <c r="AJ394" s="2">
        <v>516362.15542141529</v>
      </c>
      <c r="AL394" s="27">
        <v>0.92377751318132273</v>
      </c>
      <c r="AM394" s="27">
        <v>0.91508658013633482</v>
      </c>
      <c r="AN394" s="27">
        <v>0.91495203957708027</v>
      </c>
      <c r="AO394" s="27">
        <v>0.78988341342792556</v>
      </c>
      <c r="AP394" s="27">
        <v>0.68621606920010425</v>
      </c>
      <c r="AQ394" s="27">
        <v>0.92377751318132273</v>
      </c>
      <c r="AR394" s="27">
        <v>0.91508658013633482</v>
      </c>
      <c r="AS394" s="27">
        <v>0.91495203957708027</v>
      </c>
      <c r="AT394" s="27">
        <v>0.78988341342792556</v>
      </c>
      <c r="AU394" s="27">
        <v>0.68621606920010425</v>
      </c>
      <c r="AW394" s="1">
        <v>14.011237417291767</v>
      </c>
      <c r="AX394" s="1">
        <v>16.199155825447864</v>
      </c>
      <c r="AY394" s="2">
        <v>2368739.5550191123</v>
      </c>
      <c r="AZ394" s="1">
        <v>15.620576180583811</v>
      </c>
      <c r="BA394" s="1">
        <v>17.699850573782928</v>
      </c>
      <c r="BB394" s="2">
        <v>1706067.2222565224</v>
      </c>
      <c r="BC394" s="2">
        <f t="shared" si="49"/>
        <v>-662672.33276258991</v>
      </c>
      <c r="BD394" s="292">
        <f t="shared" si="50"/>
        <v>1.609338763292044</v>
      </c>
      <c r="BF394" s="170">
        <f t="shared" si="45"/>
        <v>-126941.56825242983</v>
      </c>
      <c r="BG394" s="2">
        <f t="shared" si="46"/>
        <v>793224.96663688752</v>
      </c>
      <c r="BI394">
        <f t="shared" si="47"/>
        <v>0</v>
      </c>
      <c r="BJ394" s="95">
        <f t="shared" si="48"/>
        <v>1</v>
      </c>
      <c r="BP394" s="217">
        <f t="shared" si="51"/>
        <v>793224.96663688752</v>
      </c>
    </row>
    <row r="395" spans="1:68">
      <c r="A395" s="11">
        <v>389</v>
      </c>
      <c r="C395" s="27">
        <v>0.92424910047191611</v>
      </c>
      <c r="D395" s="27">
        <v>7.5750899528083865E-2</v>
      </c>
      <c r="E395" s="27">
        <v>0</v>
      </c>
      <c r="F395" s="27">
        <v>0.85539507822420391</v>
      </c>
      <c r="G395" s="27">
        <v>0.14460492177579609</v>
      </c>
      <c r="H395" s="27">
        <v>0</v>
      </c>
      <c r="I395" s="27">
        <v>0.74524710648538106</v>
      </c>
      <c r="J395" s="27">
        <v>0.25475289351461894</v>
      </c>
      <c r="K395" s="27">
        <v>0</v>
      </c>
      <c r="L395" s="27">
        <v>2.9410096289319232E-2</v>
      </c>
      <c r="M395" s="27">
        <v>0.52124617591264433</v>
      </c>
      <c r="N395" s="27">
        <v>0.44934372779803644</v>
      </c>
      <c r="O395" s="27">
        <v>-11.122166125987086</v>
      </c>
      <c r="P395" s="27">
        <v>3.6115463264808245E-2</v>
      </c>
      <c r="Q395" s="27">
        <v>6.7369600775089641E-5</v>
      </c>
      <c r="R395" s="27">
        <v>1.056019634674952</v>
      </c>
      <c r="S395" s="154"/>
      <c r="T395">
        <v>1.1085690138192927</v>
      </c>
      <c r="U395">
        <v>2.1614266296388234</v>
      </c>
      <c r="V395">
        <v>2.9464113583309377</v>
      </c>
      <c r="W395">
        <v>1</v>
      </c>
      <c r="Y395" s="2">
        <v>454.52376913560664</v>
      </c>
      <c r="Z395" s="2">
        <v>5548.154277121751</v>
      </c>
      <c r="AA395" s="2">
        <v>527.73880566535627</v>
      </c>
      <c r="AB395" s="2">
        <v>1671.7798242107294</v>
      </c>
      <c r="AC395" s="2">
        <v>180.59556267126524</v>
      </c>
      <c r="AD395" s="2">
        <v>376.22016353854639</v>
      </c>
      <c r="AE395" s="2">
        <v>595.23090781837698</v>
      </c>
      <c r="AF395" s="2">
        <v>1161.0159380172606</v>
      </c>
      <c r="AG395" s="2">
        <v>128.00194527660685</v>
      </c>
      <c r="AH395" s="2">
        <v>588.75864343685873</v>
      </c>
      <c r="AI395" s="2">
        <v>550460.29721204715</v>
      </c>
      <c r="AJ395" s="2">
        <v>508746.20682868414</v>
      </c>
      <c r="AL395" s="27">
        <v>0.9191973368541877</v>
      </c>
      <c r="AM395" s="27">
        <v>0.91733232633287221</v>
      </c>
      <c r="AN395" s="27">
        <v>0.91096635473124321</v>
      </c>
      <c r="AO395" s="27">
        <v>0.83183831156606769</v>
      </c>
      <c r="AP395" s="27">
        <v>0.64149659009784099</v>
      </c>
      <c r="AQ395" s="27">
        <v>0.9191973368541877</v>
      </c>
      <c r="AR395" s="27">
        <v>0.91733232633287221</v>
      </c>
      <c r="AS395" s="27">
        <v>0.91096635473124321</v>
      </c>
      <c r="AT395" s="27">
        <v>0.83183831156606769</v>
      </c>
      <c r="AU395" s="27">
        <v>0.64149659009784099</v>
      </c>
      <c r="AW395" s="1">
        <v>12.997617818546891</v>
      </c>
      <c r="AX395" s="1">
        <v>15.182550660046266</v>
      </c>
      <c r="AY395" s="2">
        <v>2109657.8592395214</v>
      </c>
      <c r="AZ395" s="1">
        <v>15.168783248327427</v>
      </c>
      <c r="BA395" s="1">
        <v>17.233238114170994</v>
      </c>
      <c r="BB395" s="2">
        <v>1436943.3340512349</v>
      </c>
      <c r="BC395" s="2">
        <f t="shared" si="49"/>
        <v>-672714.52518828656</v>
      </c>
      <c r="BD395" s="292">
        <f t="shared" si="50"/>
        <v>2.1711654297805367</v>
      </c>
      <c r="BF395" s="170">
        <f t="shared" si="45"/>
        <v>-30039.008272018982</v>
      </c>
      <c r="BG395" s="2">
        <f t="shared" si="46"/>
        <v>990061.9856811536</v>
      </c>
      <c r="BI395">
        <f t="shared" si="47"/>
        <v>0</v>
      </c>
      <c r="BJ395" s="95">
        <f t="shared" si="48"/>
        <v>1</v>
      </c>
      <c r="BP395" s="217">
        <f t="shared" si="51"/>
        <v>990061.9856811536</v>
      </c>
    </row>
    <row r="396" spans="1:68">
      <c r="A396" s="11">
        <v>390</v>
      </c>
      <c r="C396" s="27">
        <v>0.92391589137081309</v>
      </c>
      <c r="D396" s="27">
        <v>7.6084108629186908E-2</v>
      </c>
      <c r="E396" s="27">
        <v>0</v>
      </c>
      <c r="F396" s="27">
        <v>0.85506079063797114</v>
      </c>
      <c r="G396" s="27">
        <v>0.14493920936202886</v>
      </c>
      <c r="H396" s="27">
        <v>0</v>
      </c>
      <c r="I396" s="27">
        <v>0.75065310393747708</v>
      </c>
      <c r="J396" s="27">
        <v>0.24934689606252286</v>
      </c>
      <c r="K396" s="27">
        <v>0</v>
      </c>
      <c r="L396" s="27">
        <v>6.5440081703987962E-2</v>
      </c>
      <c r="M396" s="27">
        <v>0.53006521734158518</v>
      </c>
      <c r="N396" s="27">
        <v>0.40449470095442686</v>
      </c>
      <c r="O396" s="27">
        <v>-11.519938826872574</v>
      </c>
      <c r="P396" s="27">
        <v>3.6872757395026726E-2</v>
      </c>
      <c r="Q396" s="27">
        <v>4.6722579162956767E-5</v>
      </c>
      <c r="R396" s="27">
        <v>1.1118170316014484</v>
      </c>
      <c r="S396" s="154"/>
      <c r="T396">
        <v>0.91576995843486486</v>
      </c>
      <c r="U396">
        <v>2.2134998669155199</v>
      </c>
      <c r="V396">
        <v>3.0120944384126784</v>
      </c>
      <c r="W396">
        <v>1</v>
      </c>
      <c r="Y396" s="2">
        <v>63.652462645986795</v>
      </c>
      <c r="Z396" s="2">
        <v>1435.2811039091748</v>
      </c>
      <c r="AA396" s="2">
        <v>413.54655686811549</v>
      </c>
      <c r="AB396" s="2">
        <v>9412.7687354615864</v>
      </c>
      <c r="AC396" s="2">
        <v>984.516102329246</v>
      </c>
      <c r="AD396" s="2">
        <v>263.31350880130333</v>
      </c>
      <c r="AE396" s="2">
        <v>586.92247881421326</v>
      </c>
      <c r="AF396" s="2">
        <v>888.17018434318857</v>
      </c>
      <c r="AG396" s="2">
        <v>139.46130981784648</v>
      </c>
      <c r="AH396" s="2">
        <v>420.32949770092841</v>
      </c>
      <c r="AI396" s="2">
        <v>505031.0758313344</v>
      </c>
      <c r="AJ396" s="2">
        <v>458752.18389233894</v>
      </c>
      <c r="AL396" s="27">
        <v>0.91571086133611979</v>
      </c>
      <c r="AM396" s="27">
        <v>0.91511946048724879</v>
      </c>
      <c r="AN396" s="27">
        <v>0.90880739480895056</v>
      </c>
      <c r="AO396" s="27">
        <v>0.86531011241545974</v>
      </c>
      <c r="AP396" s="27">
        <v>0.71789802717958873</v>
      </c>
      <c r="AQ396" s="27">
        <v>0.91571086133611979</v>
      </c>
      <c r="AR396" s="27">
        <v>0.91511946048724879</v>
      </c>
      <c r="AS396" s="27">
        <v>0.90880739480895056</v>
      </c>
      <c r="AT396" s="27">
        <v>0.86531011241545974</v>
      </c>
      <c r="AU396" s="27">
        <v>0.71789802717958873</v>
      </c>
      <c r="AW396" s="1">
        <v>13.746735604225428</v>
      </c>
      <c r="AX396" s="1">
        <v>15.682896111870219</v>
      </c>
      <c r="AY396" s="2">
        <v>1684428.0796110011</v>
      </c>
      <c r="AZ396" s="1">
        <v>15.314871548306936</v>
      </c>
      <c r="BA396" s="1">
        <v>17.236330798199038</v>
      </c>
      <c r="BB396" s="2">
        <v>1397956.7327138695</v>
      </c>
      <c r="BC396" s="2">
        <f t="shared" si="49"/>
        <v>-286471.34689713153</v>
      </c>
      <c r="BD396" s="292">
        <f t="shared" si="50"/>
        <v>1.5681359440815079</v>
      </c>
      <c r="BF396" s="170">
        <f t="shared" si="45"/>
        <v>515049.6170650674</v>
      </c>
      <c r="BG396" s="2">
        <f t="shared" si="46"/>
        <v>1052422.7150152402</v>
      </c>
      <c r="BI396">
        <f t="shared" si="47"/>
        <v>0</v>
      </c>
      <c r="BJ396" s="95">
        <f t="shared" si="48"/>
        <v>1</v>
      </c>
      <c r="BP396" s="217">
        <f t="shared" si="51"/>
        <v>1052422.7150152402</v>
      </c>
    </row>
    <row r="397" spans="1:68">
      <c r="A397" s="11">
        <v>391</v>
      </c>
      <c r="C397" s="27">
        <v>0.92235450319023415</v>
      </c>
      <c r="D397" s="27">
        <v>7.7645496809765846E-2</v>
      </c>
      <c r="E397" s="27">
        <v>0</v>
      </c>
      <c r="F397" s="27">
        <v>0.85319351198136972</v>
      </c>
      <c r="G397" s="27">
        <v>0.14680648801863028</v>
      </c>
      <c r="H397" s="27">
        <v>0</v>
      </c>
      <c r="I397" s="27">
        <v>0.74927815519687269</v>
      </c>
      <c r="J397" s="27">
        <v>0.25072184480312731</v>
      </c>
      <c r="K397" s="27">
        <v>0</v>
      </c>
      <c r="L397" s="27">
        <v>0.11612959929145261</v>
      </c>
      <c r="M397" s="27">
        <v>0.56009901926785588</v>
      </c>
      <c r="N397" s="27">
        <v>0.32377138144069151</v>
      </c>
      <c r="O397" s="27">
        <v>-11.067274605581929</v>
      </c>
      <c r="P397" s="27">
        <v>3.5847765546330367E-2</v>
      </c>
      <c r="Q397" s="27">
        <v>7.0375282828429557E-5</v>
      </c>
      <c r="R397" s="27">
        <v>1.0502131282729827</v>
      </c>
      <c r="S397" s="154"/>
      <c r="T397">
        <v>0.89506425152499214</v>
      </c>
      <c r="U397">
        <v>2.2366620210646602</v>
      </c>
      <c r="V397">
        <v>3.1449077787752557</v>
      </c>
      <c r="W397">
        <v>1</v>
      </c>
      <c r="Y397" s="2">
        <v>189.37318350600549</v>
      </c>
      <c r="Z397" s="2">
        <v>3332.8129118313682</v>
      </c>
      <c r="AA397" s="2">
        <v>1045.958448789261</v>
      </c>
      <c r="AB397" s="2">
        <v>4777.475050390065</v>
      </c>
      <c r="AC397" s="2">
        <v>1249.6769922146527</v>
      </c>
      <c r="AD397" s="2">
        <v>788.88649487930752</v>
      </c>
      <c r="AE397" s="2">
        <v>575.74579805580652</v>
      </c>
      <c r="AF397" s="2">
        <v>974.95696331761872</v>
      </c>
      <c r="AG397" s="2">
        <v>87.157493759639351</v>
      </c>
      <c r="AH397" s="2">
        <v>499.07097107201412</v>
      </c>
      <c r="AI397" s="2">
        <v>400026.69040729606</v>
      </c>
      <c r="AJ397" s="2">
        <v>377964.0353214785</v>
      </c>
      <c r="AL397" s="27">
        <v>0.91284530536579978</v>
      </c>
      <c r="AM397" s="27">
        <v>0.91711817721303457</v>
      </c>
      <c r="AN397" s="27">
        <v>0.90740077506764472</v>
      </c>
      <c r="AO397" s="27">
        <v>0.84571725364055395</v>
      </c>
      <c r="AP397" s="27">
        <v>0.66288244384451311</v>
      </c>
      <c r="AQ397" s="27">
        <v>0.91284530536579978</v>
      </c>
      <c r="AR397" s="27">
        <v>0.91711817721303457</v>
      </c>
      <c r="AS397" s="27">
        <v>0.90740077506764472</v>
      </c>
      <c r="AT397" s="27">
        <v>0.84571725364055395</v>
      </c>
      <c r="AU397" s="27">
        <v>0.66288244384451311</v>
      </c>
      <c r="AW397" s="1">
        <v>13.911525967851343</v>
      </c>
      <c r="AX397" s="1">
        <v>16.2411206016832</v>
      </c>
      <c r="AY397" s="2">
        <v>1705260.1935144956</v>
      </c>
      <c r="AZ397" s="1">
        <v>15.39438355157068</v>
      </c>
      <c r="BA397" s="1">
        <v>17.614377383587925</v>
      </c>
      <c r="BB397" s="2">
        <v>1345111.6142074075</v>
      </c>
      <c r="BC397" s="2">
        <f t="shared" si="49"/>
        <v>-360148.57930708816</v>
      </c>
      <c r="BD397" s="292">
        <f t="shared" si="50"/>
        <v>1.482857583719337</v>
      </c>
      <c r="BF397" s="170">
        <f t="shared" si="45"/>
        <v>520583.96134171914</v>
      </c>
      <c r="BG397" s="2">
        <f t="shared" si="46"/>
        <v>1117989.7540439013</v>
      </c>
      <c r="BI397">
        <f t="shared" si="47"/>
        <v>0</v>
      </c>
      <c r="BJ397" s="95">
        <f t="shared" si="48"/>
        <v>1</v>
      </c>
      <c r="BP397" s="217">
        <f t="shared" si="51"/>
        <v>1117989.7540439013</v>
      </c>
    </row>
    <row r="398" spans="1:68">
      <c r="A398" s="11">
        <v>392</v>
      </c>
      <c r="C398" s="27">
        <v>0.92554221131822934</v>
      </c>
      <c r="D398" s="27">
        <v>7.4457788681770679E-2</v>
      </c>
      <c r="E398" s="27">
        <v>0</v>
      </c>
      <c r="F398" s="27">
        <v>0.85700504052200388</v>
      </c>
      <c r="G398" s="27">
        <v>0.14299495947799612</v>
      </c>
      <c r="H398" s="27">
        <v>0</v>
      </c>
      <c r="I398" s="27">
        <v>0.75429869528115401</v>
      </c>
      <c r="J398" s="27">
        <v>0.24570130471884596</v>
      </c>
      <c r="K398" s="27">
        <v>0</v>
      </c>
      <c r="L398" s="27">
        <v>0.15641853090024849</v>
      </c>
      <c r="M398" s="27">
        <v>0.48982852503364677</v>
      </c>
      <c r="N398" s="27">
        <v>0.3537529440661048</v>
      </c>
      <c r="O398" s="27">
        <v>-11.105621164045397</v>
      </c>
      <c r="P398" s="27">
        <v>3.4996627083569098E-2</v>
      </c>
      <c r="Q398" s="27">
        <v>6.5349365543361043E-5</v>
      </c>
      <c r="R398" s="27">
        <v>1.0626785762454161</v>
      </c>
      <c r="S398" s="154"/>
      <c r="T398">
        <v>0.93872039511428984</v>
      </c>
      <c r="U398">
        <v>2.2756222793173424</v>
      </c>
      <c r="V398">
        <v>3.2035119745851328</v>
      </c>
      <c r="W398">
        <v>1</v>
      </c>
      <c r="Y398" s="2">
        <v>10.616179240525977</v>
      </c>
      <c r="Z398" s="2">
        <v>387.0599626083411</v>
      </c>
      <c r="AA398" s="2">
        <v>46.192033242245195</v>
      </c>
      <c r="AB398" s="2">
        <v>721.97569096274208</v>
      </c>
      <c r="AC398" s="2">
        <v>1071.0561718219142</v>
      </c>
      <c r="AD398" s="2">
        <v>1040.1693288121246</v>
      </c>
      <c r="AE398" s="2">
        <v>579.78794859190054</v>
      </c>
      <c r="AF398" s="2">
        <v>1039.8180830330305</v>
      </c>
      <c r="AG398" s="2">
        <v>134.12248853893493</v>
      </c>
      <c r="AH398" s="2">
        <v>191.13539734425888</v>
      </c>
      <c r="AI398" s="2">
        <v>532359.9989737235</v>
      </c>
      <c r="AJ398" s="2">
        <v>479308.49886295752</v>
      </c>
      <c r="AL398" s="27">
        <v>0.92436797040950203</v>
      </c>
      <c r="AM398" s="27">
        <v>0.91543874342953291</v>
      </c>
      <c r="AN398" s="27">
        <v>0.91460172752794677</v>
      </c>
      <c r="AO398" s="27">
        <v>0.85474763921648178</v>
      </c>
      <c r="AP398" s="27">
        <v>0.76489180471429796</v>
      </c>
      <c r="AQ398" s="27">
        <v>0.92436797040950203</v>
      </c>
      <c r="AR398" s="27">
        <v>0.91543874342953291</v>
      </c>
      <c r="AS398" s="27">
        <v>0.91460172752794677</v>
      </c>
      <c r="AT398" s="27">
        <v>0.85474763921648178</v>
      </c>
      <c r="AU398" s="27">
        <v>0.76489180471429796</v>
      </c>
      <c r="AW398" s="1">
        <v>14.132956954316201</v>
      </c>
      <c r="AX398" s="1">
        <v>15.907540169321081</v>
      </c>
      <c r="AY398" s="2">
        <v>1889578.7249603269</v>
      </c>
      <c r="AZ398" s="1">
        <v>15.734008661177752</v>
      </c>
      <c r="BA398" s="1">
        <v>17.507946234579038</v>
      </c>
      <c r="BB398" s="2">
        <v>1382928.8877869335</v>
      </c>
      <c r="BC398" s="2">
        <f t="shared" si="49"/>
        <v>-506649.83717339346</v>
      </c>
      <c r="BD398" s="292">
        <f t="shared" si="50"/>
        <v>1.6010517068615506</v>
      </c>
      <c r="BF398" s="170">
        <f t="shared" si="45"/>
        <v>371694.38773026527</v>
      </c>
      <c r="BG398" s="2">
        <f t="shared" si="46"/>
        <v>1134512.4980015068</v>
      </c>
      <c r="BI398">
        <f t="shared" si="47"/>
        <v>0</v>
      </c>
      <c r="BJ398" s="95">
        <f t="shared" si="48"/>
        <v>1</v>
      </c>
      <c r="BP398" s="217">
        <f t="shared" si="51"/>
        <v>1134512.4980015068</v>
      </c>
    </row>
    <row r="399" spans="1:68">
      <c r="A399" s="11">
        <v>393</v>
      </c>
      <c r="C399" s="27">
        <v>0.92699554549520369</v>
      </c>
      <c r="D399" s="27">
        <v>7.3004454504796368E-2</v>
      </c>
      <c r="E399" s="27">
        <v>0</v>
      </c>
      <c r="F399" s="27">
        <v>0.86315345643232888</v>
      </c>
      <c r="G399" s="27">
        <v>0.13684654356767109</v>
      </c>
      <c r="H399" s="27">
        <v>0</v>
      </c>
      <c r="I399" s="27">
        <v>0.74871826552716669</v>
      </c>
      <c r="J399" s="27">
        <v>0.25128173447283331</v>
      </c>
      <c r="K399" s="27">
        <v>0</v>
      </c>
      <c r="L399" s="27">
        <v>9.6790161461681179E-2</v>
      </c>
      <c r="M399" s="27">
        <v>0.52677749192035372</v>
      </c>
      <c r="N399" s="27">
        <v>0.3764323466179651</v>
      </c>
      <c r="O399" s="27">
        <v>-10.765913823563881</v>
      </c>
      <c r="P399" s="27">
        <v>3.2503636880669262E-2</v>
      </c>
      <c r="Q399" s="27">
        <v>8.2661130325772499E-5</v>
      </c>
      <c r="R399" s="27">
        <v>1.0422373883095608</v>
      </c>
      <c r="S399" s="154"/>
      <c r="T399">
        <v>1.0031987267647811</v>
      </c>
      <c r="U399">
        <v>2.2987127495693738</v>
      </c>
      <c r="V399">
        <v>2.8688251548123724</v>
      </c>
      <c r="W399">
        <v>1</v>
      </c>
      <c r="Y399" s="2">
        <v>7.6031206071618875</v>
      </c>
      <c r="Z399" s="2">
        <v>3053.2283146954519</v>
      </c>
      <c r="AA399" s="2">
        <v>1013.580669414241</v>
      </c>
      <c r="AB399" s="2">
        <v>5564.8585411247323</v>
      </c>
      <c r="AC399" s="2">
        <v>1681.278779940928</v>
      </c>
      <c r="AD399" s="2">
        <v>569.6747007834133</v>
      </c>
      <c r="AE399" s="2">
        <v>493.48466209425618</v>
      </c>
      <c r="AF399" s="2">
        <v>1190.898044394095</v>
      </c>
      <c r="AG399" s="2">
        <v>121.53730890419139</v>
      </c>
      <c r="AH399" s="2">
        <v>374.8573409037636</v>
      </c>
      <c r="AI399" s="2">
        <v>529022.27704068599</v>
      </c>
      <c r="AJ399" s="2">
        <v>503377.36555879714</v>
      </c>
      <c r="AL399" s="27">
        <v>0.91881640817336552</v>
      </c>
      <c r="AM399" s="27">
        <v>0.91813592937951882</v>
      </c>
      <c r="AN399" s="27">
        <v>0.9152725996163753</v>
      </c>
      <c r="AO399" s="27">
        <v>0.87607092033967038</v>
      </c>
      <c r="AP399" s="27">
        <v>0.70074043821388698</v>
      </c>
      <c r="AQ399" s="27">
        <v>0.91881640817336552</v>
      </c>
      <c r="AR399" s="27">
        <v>0.91813592937951882</v>
      </c>
      <c r="AS399" s="27">
        <v>0.9152725996163753</v>
      </c>
      <c r="AT399" s="27">
        <v>0.87607092033967038</v>
      </c>
      <c r="AU399" s="27">
        <v>0.70074043821388698</v>
      </c>
      <c r="AW399" s="1">
        <v>13.78969375785058</v>
      </c>
      <c r="AX399" s="1">
        <v>15.795747927319745</v>
      </c>
      <c r="AY399" s="2">
        <v>2035352.5786137478</v>
      </c>
      <c r="AZ399" s="1">
        <v>15.611005234577249</v>
      </c>
      <c r="BA399" s="1">
        <v>17.550945312732903</v>
      </c>
      <c r="BB399" s="2">
        <v>1510115.560111464</v>
      </c>
      <c r="BC399" s="2">
        <f t="shared" si="49"/>
        <v>-525237.01850228384</v>
      </c>
      <c r="BD399" s="292">
        <f t="shared" si="50"/>
        <v>1.8213114767266685</v>
      </c>
      <c r="BF399" s="170">
        <f t="shared" si="45"/>
        <v>170998.42264234507</v>
      </c>
      <c r="BG399" s="2">
        <f t="shared" si="46"/>
        <v>987645.27742089564</v>
      </c>
      <c r="BI399">
        <f t="shared" si="47"/>
        <v>0</v>
      </c>
      <c r="BJ399" s="95">
        <f t="shared" si="48"/>
        <v>1</v>
      </c>
      <c r="BP399" s="217">
        <f t="shared" si="51"/>
        <v>987645.27742089564</v>
      </c>
    </row>
    <row r="400" spans="1:68">
      <c r="A400" s="11">
        <v>394</v>
      </c>
      <c r="C400" s="27">
        <v>0.92229864352211444</v>
      </c>
      <c r="D400" s="27">
        <v>7.7701356477885564E-2</v>
      </c>
      <c r="E400" s="27">
        <v>0</v>
      </c>
      <c r="F400" s="27">
        <v>0.85776916362292566</v>
      </c>
      <c r="G400" s="27">
        <v>0.14223083637707437</v>
      </c>
      <c r="H400" s="27">
        <v>0</v>
      </c>
      <c r="I400" s="27">
        <v>0.75236924695845087</v>
      </c>
      <c r="J400" s="27">
        <v>0.24763075304154908</v>
      </c>
      <c r="K400" s="27">
        <v>0</v>
      </c>
      <c r="L400" s="27">
        <v>7.2958812558971853E-2</v>
      </c>
      <c r="M400" s="27">
        <v>0.48588003084080233</v>
      </c>
      <c r="N400" s="27">
        <v>0.44116115660022581</v>
      </c>
      <c r="O400" s="27">
        <v>-11.619597502932184</v>
      </c>
      <c r="P400" s="27">
        <v>3.5680848814612642E-2</v>
      </c>
      <c r="Q400" s="27">
        <v>4.0225805005532674E-5</v>
      </c>
      <c r="R400" s="27">
        <v>1.1288741607467252</v>
      </c>
      <c r="S400" s="154"/>
      <c r="T400">
        <v>0.97023221733084419</v>
      </c>
      <c r="U400">
        <v>2.3512613529902739</v>
      </c>
      <c r="V400">
        <v>3.142437138729326</v>
      </c>
      <c r="W400">
        <v>1</v>
      </c>
      <c r="Y400" s="2">
        <v>4.269070347287796</v>
      </c>
      <c r="Z400" s="2">
        <v>1627.7689837082219</v>
      </c>
      <c r="AA400" s="2">
        <v>1311.0989093159308</v>
      </c>
      <c r="AB400" s="2">
        <v>8648.3021048187456</v>
      </c>
      <c r="AC400" s="2">
        <v>506.49196349025243</v>
      </c>
      <c r="AD400" s="2">
        <v>196.1633871149273</v>
      </c>
      <c r="AE400" s="2">
        <v>542.03259889227695</v>
      </c>
      <c r="AF400" s="2">
        <v>939.83757718537049</v>
      </c>
      <c r="AG400" s="2">
        <v>111.22280328617484</v>
      </c>
      <c r="AH400" s="2">
        <v>389.39186290894236</v>
      </c>
      <c r="AI400" s="2">
        <v>424366.98621613276</v>
      </c>
      <c r="AJ400" s="2">
        <v>389522.91459376336</v>
      </c>
      <c r="AL400" s="27">
        <v>0.91367815432328736</v>
      </c>
      <c r="AM400" s="27">
        <v>0.91549628816794515</v>
      </c>
      <c r="AN400" s="27">
        <v>0.90833938153767935</v>
      </c>
      <c r="AO400" s="27">
        <v>0.8837858688800484</v>
      </c>
      <c r="AP400" s="27">
        <v>0.70378941319658606</v>
      </c>
      <c r="AQ400" s="27">
        <v>0.91367815432328736</v>
      </c>
      <c r="AR400" s="27">
        <v>0.91549628816794515</v>
      </c>
      <c r="AS400" s="27">
        <v>0.90833938153767935</v>
      </c>
      <c r="AT400" s="27">
        <v>0.8837858688800484</v>
      </c>
      <c r="AU400" s="27">
        <v>0.70378941319658606</v>
      </c>
      <c r="AW400" s="1">
        <v>13.22897206217673</v>
      </c>
      <c r="AX400" s="1">
        <v>15.147263493352051</v>
      </c>
      <c r="AY400" s="2">
        <v>1379300.3012716721</v>
      </c>
      <c r="AZ400" s="1">
        <v>15.141687980658517</v>
      </c>
      <c r="BA400" s="1">
        <v>17.050883158049142</v>
      </c>
      <c r="BB400" s="2">
        <v>1133946.2248838029</v>
      </c>
      <c r="BC400" s="2">
        <f t="shared" si="49"/>
        <v>-245354.07638786919</v>
      </c>
      <c r="BD400" s="292">
        <f t="shared" si="50"/>
        <v>1.912715918481787</v>
      </c>
      <c r="BF400" s="170">
        <f t="shared" si="45"/>
        <v>737335.22867660481</v>
      </c>
      <c r="BG400" s="2">
        <f t="shared" si="46"/>
        <v>1288723.8520215598</v>
      </c>
      <c r="BI400">
        <f t="shared" si="47"/>
        <v>0</v>
      </c>
      <c r="BJ400" s="95">
        <f t="shared" si="48"/>
        <v>1</v>
      </c>
      <c r="BP400" s="217">
        <f t="shared" si="51"/>
        <v>1288723.8520215598</v>
      </c>
    </row>
    <row r="401" spans="1:68">
      <c r="A401" s="11">
        <v>395</v>
      </c>
      <c r="C401" s="27">
        <v>0.92030474072727986</v>
      </c>
      <c r="D401" s="27">
        <v>7.9695259272720143E-2</v>
      </c>
      <c r="E401" s="27">
        <v>0</v>
      </c>
      <c r="F401" s="27">
        <v>0.85560458717894039</v>
      </c>
      <c r="G401" s="27">
        <v>0.14439541282105961</v>
      </c>
      <c r="H401" s="27">
        <v>0</v>
      </c>
      <c r="I401" s="27">
        <v>0.74877736025299013</v>
      </c>
      <c r="J401" s="27">
        <v>0.25122263974700987</v>
      </c>
      <c r="K401" s="27">
        <v>0</v>
      </c>
      <c r="L401" s="27">
        <v>0.16388676709713718</v>
      </c>
      <c r="M401" s="27">
        <v>0.50762423532083156</v>
      </c>
      <c r="N401" s="27">
        <v>0.32848899758203126</v>
      </c>
      <c r="O401" s="27">
        <v>-11.261973237867837</v>
      </c>
      <c r="P401" s="27">
        <v>3.708204597207309E-2</v>
      </c>
      <c r="Q401" s="27">
        <v>6.1006672956721833E-5</v>
      </c>
      <c r="R401" s="27">
        <v>1.0739180709207747</v>
      </c>
      <c r="S401" s="154"/>
      <c r="T401">
        <v>1.018168067449746</v>
      </c>
      <c r="U401">
        <v>2.2583056084890711</v>
      </c>
      <c r="V401">
        <v>2.976060231896879</v>
      </c>
      <c r="W401">
        <v>1</v>
      </c>
      <c r="Y401" s="2">
        <v>552.63758900417395</v>
      </c>
      <c r="Z401" s="2">
        <v>452.15520072373766</v>
      </c>
      <c r="AA401" s="2">
        <v>1944.6845940223125</v>
      </c>
      <c r="AB401" s="2">
        <v>2490.4136651109557</v>
      </c>
      <c r="AC401" s="2">
        <v>916.35066954964691</v>
      </c>
      <c r="AD401" s="2">
        <v>551.71952936591799</v>
      </c>
      <c r="AE401" s="2">
        <v>634.09727052311302</v>
      </c>
      <c r="AF401" s="2">
        <v>1027.6552019050903</v>
      </c>
      <c r="AG401" s="2">
        <v>87.24261794539116</v>
      </c>
      <c r="AH401" s="2">
        <v>320.88243772160484</v>
      </c>
      <c r="AI401" s="2">
        <v>535217.85890310584</v>
      </c>
      <c r="AJ401" s="2">
        <v>502876.98324129876</v>
      </c>
      <c r="AL401" s="27">
        <v>0.91930684260824824</v>
      </c>
      <c r="AM401" s="27">
        <v>0.91473666576927148</v>
      </c>
      <c r="AN401" s="27">
        <v>0.91267714048745208</v>
      </c>
      <c r="AO401" s="27">
        <v>0.86806707448099074</v>
      </c>
      <c r="AP401" s="27">
        <v>0.68450614583373737</v>
      </c>
      <c r="AQ401" s="27">
        <v>0.91930684260824824</v>
      </c>
      <c r="AR401" s="27">
        <v>0.91473666576927148</v>
      </c>
      <c r="AS401" s="27">
        <v>0.91267714048745208</v>
      </c>
      <c r="AT401" s="27">
        <v>0.86806707448099074</v>
      </c>
      <c r="AU401" s="27">
        <v>0.68450614583373737</v>
      </c>
      <c r="AW401" s="1">
        <v>13.491658734446739</v>
      </c>
      <c r="AX401" s="1">
        <v>15.6198636191238</v>
      </c>
      <c r="AY401" s="2">
        <v>2184878.2994806427</v>
      </c>
      <c r="AZ401" s="1">
        <v>15.379474753234204</v>
      </c>
      <c r="BA401" s="1">
        <v>17.418199963678326</v>
      </c>
      <c r="BB401" s="2">
        <v>1605382.7245958485</v>
      </c>
      <c r="BC401" s="2">
        <f t="shared" si="49"/>
        <v>-579495.57488479419</v>
      </c>
      <c r="BD401" s="292">
        <f t="shared" si="50"/>
        <v>1.8878160187874649</v>
      </c>
      <c r="BF401" s="170">
        <f t="shared" si="45"/>
        <v>-26212.90196916461</v>
      </c>
      <c r="BG401" s="2">
        <f t="shared" si="46"/>
        <v>855333.23592162412</v>
      </c>
      <c r="BI401">
        <f t="shared" si="47"/>
        <v>0</v>
      </c>
      <c r="BJ401" s="95">
        <f t="shared" si="48"/>
        <v>1</v>
      </c>
      <c r="BP401" s="217">
        <f t="shared" si="51"/>
        <v>855333.23592162412</v>
      </c>
    </row>
    <row r="402" spans="1:68">
      <c r="A402" s="11">
        <v>396</v>
      </c>
      <c r="C402" s="27">
        <v>0.92280241787680295</v>
      </c>
      <c r="D402" s="27">
        <v>7.719758212319705E-2</v>
      </c>
      <c r="E402" s="27">
        <v>0</v>
      </c>
      <c r="F402" s="27">
        <v>0.85925462676002573</v>
      </c>
      <c r="G402" s="27">
        <v>0.14074537323997424</v>
      </c>
      <c r="H402" s="27">
        <v>0</v>
      </c>
      <c r="I402" s="27">
        <v>0.74892493688878303</v>
      </c>
      <c r="J402" s="27">
        <v>0.25107506311121697</v>
      </c>
      <c r="K402" s="27">
        <v>0</v>
      </c>
      <c r="L402" s="27">
        <v>0.20045435758953362</v>
      </c>
      <c r="M402" s="27">
        <v>0.46139573732950101</v>
      </c>
      <c r="N402" s="27">
        <v>0.33814990508096537</v>
      </c>
      <c r="O402" s="27">
        <v>-11.065492542673777</v>
      </c>
      <c r="P402" s="27">
        <v>3.9193856230190817E-2</v>
      </c>
      <c r="Q402" s="27">
        <v>8.1138695212773344E-5</v>
      </c>
      <c r="R402" s="27">
        <v>1.0341801764225014</v>
      </c>
      <c r="S402" s="154"/>
      <c r="T402">
        <v>1.0008377782294038</v>
      </c>
      <c r="U402">
        <v>2.3205953294095765</v>
      </c>
      <c r="V402">
        <v>2.9577661146378822</v>
      </c>
      <c r="W402">
        <v>1</v>
      </c>
      <c r="Y402" s="2">
        <v>171.22989381953246</v>
      </c>
      <c r="Z402" s="2">
        <v>5477.1428106358626</v>
      </c>
      <c r="AA402" s="2">
        <v>1880.431657144728</v>
      </c>
      <c r="AB402" s="2">
        <v>1837.9246870011232</v>
      </c>
      <c r="AC402" s="2">
        <v>2045.1524887893061</v>
      </c>
      <c r="AD402" s="2">
        <v>2382.6903593489601</v>
      </c>
      <c r="AE402" s="2">
        <v>629.59326875647594</v>
      </c>
      <c r="AF402" s="2">
        <v>954.54360251324454</v>
      </c>
      <c r="AG402" s="2">
        <v>164.70597096913551</v>
      </c>
      <c r="AH402" s="2">
        <v>482.24788497128429</v>
      </c>
      <c r="AI402" s="2">
        <v>446151.86989422963</v>
      </c>
      <c r="AJ402" s="2">
        <v>423774.36161451059</v>
      </c>
      <c r="AL402" s="27">
        <v>0.90968302336299078</v>
      </c>
      <c r="AM402" s="27">
        <v>0.91803032777929394</v>
      </c>
      <c r="AN402" s="27">
        <v>0.91896187016963615</v>
      </c>
      <c r="AO402" s="27">
        <v>0.85661233711944629</v>
      </c>
      <c r="AP402" s="27">
        <v>0.7372327931649254</v>
      </c>
      <c r="AQ402" s="27">
        <v>0.90968302336299078</v>
      </c>
      <c r="AR402" s="27">
        <v>0.91803032777929394</v>
      </c>
      <c r="AS402" s="27">
        <v>0.91896187016963615</v>
      </c>
      <c r="AT402" s="27">
        <v>0.85661233711944629</v>
      </c>
      <c r="AU402" s="27">
        <v>0.7372327931649254</v>
      </c>
      <c r="AW402" s="1">
        <v>13.711593476013578</v>
      </c>
      <c r="AX402" s="1">
        <v>15.722066754010903</v>
      </c>
      <c r="AY402" s="2">
        <v>1857805.2595852776</v>
      </c>
      <c r="AZ402" s="1">
        <v>15.525482514154611</v>
      </c>
      <c r="BA402" s="1">
        <v>17.489983612422183</v>
      </c>
      <c r="BB402" s="2">
        <v>1338311.9741648906</v>
      </c>
      <c r="BC402" s="2">
        <f t="shared" si="49"/>
        <v>-519493.28542038705</v>
      </c>
      <c r="BD402" s="292">
        <f t="shared" si="50"/>
        <v>1.8138890381410331</v>
      </c>
      <c r="BF402" s="170">
        <f t="shared" si="45"/>
        <v>336049.69657689473</v>
      </c>
      <c r="BG402" s="2">
        <f t="shared" si="46"/>
        <v>1145765.2280998472</v>
      </c>
      <c r="BI402">
        <f t="shared" si="47"/>
        <v>0</v>
      </c>
      <c r="BJ402" s="95">
        <f t="shared" si="48"/>
        <v>1</v>
      </c>
      <c r="BP402" s="217">
        <f t="shared" si="51"/>
        <v>1145765.2280998472</v>
      </c>
    </row>
    <row r="403" spans="1:68">
      <c r="A403" s="11">
        <v>397</v>
      </c>
      <c r="C403" s="27">
        <v>0.92313996499641315</v>
      </c>
      <c r="D403" s="27">
        <v>7.6860035003586846E-2</v>
      </c>
      <c r="E403" s="27">
        <v>0</v>
      </c>
      <c r="F403" s="27">
        <v>0.86038391457641772</v>
      </c>
      <c r="G403" s="27">
        <v>0.13961608542358228</v>
      </c>
      <c r="H403" s="27">
        <v>0</v>
      </c>
      <c r="I403" s="27">
        <v>0.74762316387149519</v>
      </c>
      <c r="J403" s="27">
        <v>0.25237683612850481</v>
      </c>
      <c r="K403" s="27">
        <v>0</v>
      </c>
      <c r="L403" s="27">
        <v>3.7956566684406168E-2</v>
      </c>
      <c r="M403" s="27">
        <v>0.53645041438774177</v>
      </c>
      <c r="N403" s="27">
        <v>0.42559301892785206</v>
      </c>
      <c r="O403" s="27">
        <v>-11.078499278070266</v>
      </c>
      <c r="P403" s="27">
        <v>3.4194306350505958E-2</v>
      </c>
      <c r="Q403" s="27">
        <v>6.4921064954393613E-5</v>
      </c>
      <c r="R403" s="27">
        <v>1.0752936333713614</v>
      </c>
      <c r="S403" s="154"/>
      <c r="T403">
        <v>0.99376874428090922</v>
      </c>
      <c r="U403">
        <v>2.2846510986792632</v>
      </c>
      <c r="V403">
        <v>2.9409874844682453</v>
      </c>
      <c r="W403">
        <v>1</v>
      </c>
      <c r="Y403" s="2">
        <v>120.3698642632598</v>
      </c>
      <c r="Z403" s="2">
        <v>2417.5192792145381</v>
      </c>
      <c r="AA403" s="2">
        <v>817.86103004071344</v>
      </c>
      <c r="AB403" s="2">
        <v>2785.9010941863958</v>
      </c>
      <c r="AC403" s="2">
        <v>984.43863078499908</v>
      </c>
      <c r="AD403" s="2">
        <v>146.1158003676799</v>
      </c>
      <c r="AE403" s="2">
        <v>527.07289665309543</v>
      </c>
      <c r="AF403" s="2">
        <v>1170.3957010564427</v>
      </c>
      <c r="AG403" s="2">
        <v>106.68155091201865</v>
      </c>
      <c r="AH403" s="2">
        <v>478.33221272123973</v>
      </c>
      <c r="AI403" s="2">
        <v>550875.66517969861</v>
      </c>
      <c r="AJ403" s="2">
        <v>515460.27343078773</v>
      </c>
      <c r="AL403" s="27">
        <v>0.91575242212876673</v>
      </c>
      <c r="AM403" s="27">
        <v>0.91799705924941855</v>
      </c>
      <c r="AN403" s="27">
        <v>0.8994058833435169</v>
      </c>
      <c r="AO403" s="27">
        <v>0.88190533674980331</v>
      </c>
      <c r="AP403" s="27">
        <v>0.68568615568909164</v>
      </c>
      <c r="AQ403" s="27">
        <v>0.91575242212876673</v>
      </c>
      <c r="AR403" s="27">
        <v>0.91799705924941855</v>
      </c>
      <c r="AS403" s="27">
        <v>0.8994058833435169</v>
      </c>
      <c r="AT403" s="27">
        <v>0.88190533674980331</v>
      </c>
      <c r="AU403" s="27">
        <v>0.68568615568909164</v>
      </c>
      <c r="AW403" s="1">
        <v>13.367399141934149</v>
      </c>
      <c r="AX403" s="1">
        <v>15.391457329643568</v>
      </c>
      <c r="AY403" s="2">
        <v>1970795.70177467</v>
      </c>
      <c r="AZ403" s="1">
        <v>15.251704514153072</v>
      </c>
      <c r="BA403" s="1">
        <v>17.235585720108528</v>
      </c>
      <c r="BB403" s="2">
        <v>1435358.9369889339</v>
      </c>
      <c r="BC403" s="2">
        <f t="shared" si="49"/>
        <v>-535436.7647857361</v>
      </c>
      <c r="BD403" s="292">
        <f t="shared" si="50"/>
        <v>1.8843053722189236</v>
      </c>
      <c r="BF403" s="170">
        <f t="shared" si="45"/>
        <v>167988.16093479353</v>
      </c>
      <c r="BG403" s="2">
        <f t="shared" si="46"/>
        <v>1004913.7852755575</v>
      </c>
      <c r="BI403">
        <f t="shared" si="47"/>
        <v>0</v>
      </c>
      <c r="BJ403" s="95">
        <f t="shared" si="48"/>
        <v>1</v>
      </c>
      <c r="BP403" s="217">
        <f t="shared" si="51"/>
        <v>1004913.7852755575</v>
      </c>
    </row>
    <row r="404" spans="1:68">
      <c r="A404" s="11">
        <v>398</v>
      </c>
      <c r="C404" s="27">
        <v>0.92363898092486763</v>
      </c>
      <c r="D404" s="27">
        <v>7.6361019075132403E-2</v>
      </c>
      <c r="E404" s="27">
        <v>0</v>
      </c>
      <c r="F404" s="27">
        <v>0.8539991917901868</v>
      </c>
      <c r="G404" s="27">
        <v>0.1460008082098132</v>
      </c>
      <c r="H404" s="27">
        <v>0</v>
      </c>
      <c r="I404" s="27">
        <v>0.75137692564089831</v>
      </c>
      <c r="J404" s="27">
        <v>0.24862307435910166</v>
      </c>
      <c r="K404" s="27">
        <v>0</v>
      </c>
      <c r="L404" s="27">
        <v>7.9286026039761315E-2</v>
      </c>
      <c r="M404" s="27">
        <v>0.51511637728450443</v>
      </c>
      <c r="N404" s="27">
        <v>0.40559759667573425</v>
      </c>
      <c r="O404" s="27">
        <v>-11.233322495655301</v>
      </c>
      <c r="P404" s="27">
        <v>3.5050815678133902E-2</v>
      </c>
      <c r="Q404" s="27">
        <v>5.7646084203447813E-5</v>
      </c>
      <c r="R404" s="27">
        <v>1.0858875497558436</v>
      </c>
      <c r="S404" s="154"/>
      <c r="T404">
        <v>1.1334871892490732</v>
      </c>
      <c r="U404">
        <v>2.2772030597702937</v>
      </c>
      <c r="V404">
        <v>3.086282209306237</v>
      </c>
      <c r="W404">
        <v>1</v>
      </c>
      <c r="Y404" s="2">
        <v>794.99085597061173</v>
      </c>
      <c r="Z404" s="2">
        <v>6114.2997413501689</v>
      </c>
      <c r="AA404" s="2">
        <v>109.23518912570871</v>
      </c>
      <c r="AB404" s="2">
        <v>2364.9463190228121</v>
      </c>
      <c r="AC404" s="2">
        <v>80.172156752109174</v>
      </c>
      <c r="AD404" s="2">
        <v>1920.665437813238</v>
      </c>
      <c r="AE404" s="2">
        <v>547.07730733662197</v>
      </c>
      <c r="AF404" s="2">
        <v>1303.6732761078852</v>
      </c>
      <c r="AG404" s="2">
        <v>135.141939091891</v>
      </c>
      <c r="AH404" s="2">
        <v>378.56203966434367</v>
      </c>
      <c r="AI404" s="2">
        <v>529160.12818621343</v>
      </c>
      <c r="AJ404" s="2">
        <v>470279.16050681629</v>
      </c>
      <c r="AL404" s="27">
        <v>0.91571791615651787</v>
      </c>
      <c r="AM404" s="27">
        <v>0.91628156868172905</v>
      </c>
      <c r="AN404" s="27">
        <v>0.91090058431236676</v>
      </c>
      <c r="AO404" s="27">
        <v>0.89618890511017435</v>
      </c>
      <c r="AP404" s="27">
        <v>0.6627739128273471</v>
      </c>
      <c r="AQ404" s="27">
        <v>0.91571791615651787</v>
      </c>
      <c r="AR404" s="27">
        <v>0.91628156868172905</v>
      </c>
      <c r="AS404" s="27">
        <v>0.91090058431236676</v>
      </c>
      <c r="AT404" s="27">
        <v>0.89618890511017435</v>
      </c>
      <c r="AU404" s="27">
        <v>0.6627739128273471</v>
      </c>
      <c r="AW404" s="1">
        <v>12.905367137327739</v>
      </c>
      <c r="AX404" s="1">
        <v>15.013379422393129</v>
      </c>
      <c r="AY404" s="2">
        <v>1985548.4095688034</v>
      </c>
      <c r="AZ404" s="1">
        <v>15.208876539420428</v>
      </c>
      <c r="BA404" s="1">
        <v>17.230193290384548</v>
      </c>
      <c r="BB404" s="2">
        <v>1349241.4027631362</v>
      </c>
      <c r="BC404" s="2">
        <f t="shared" si="49"/>
        <v>-636307.00680566719</v>
      </c>
      <c r="BD404" s="292">
        <f t="shared" si="50"/>
        <v>2.3035094020926898</v>
      </c>
      <c r="BF404" s="170">
        <f t="shared" si="45"/>
        <v>79310.332403634675</v>
      </c>
      <c r="BG404" s="2">
        <f t="shared" si="46"/>
        <v>1084178.8435441325</v>
      </c>
      <c r="BI404">
        <f t="shared" si="47"/>
        <v>0</v>
      </c>
      <c r="BJ404" s="95">
        <f t="shared" si="48"/>
        <v>1</v>
      </c>
      <c r="BP404" s="217">
        <f t="shared" si="51"/>
        <v>1084178.8435441325</v>
      </c>
    </row>
    <row r="405" spans="1:68">
      <c r="A405" s="11">
        <v>399</v>
      </c>
      <c r="C405" s="27">
        <v>0.92221306572870188</v>
      </c>
      <c r="D405" s="27">
        <v>7.7786934271298125E-2</v>
      </c>
      <c r="E405" s="27">
        <v>0</v>
      </c>
      <c r="F405" s="27">
        <v>0.86104368770793094</v>
      </c>
      <c r="G405" s="27">
        <v>0.13895631229206903</v>
      </c>
      <c r="H405" s="27">
        <v>0</v>
      </c>
      <c r="I405" s="27">
        <v>0.75719894855376657</v>
      </c>
      <c r="J405" s="27">
        <v>0.24280105144623346</v>
      </c>
      <c r="K405" s="27">
        <v>0</v>
      </c>
      <c r="L405" s="27">
        <v>0.16164897382200377</v>
      </c>
      <c r="M405" s="27">
        <v>0.46600603873409657</v>
      </c>
      <c r="N405" s="27">
        <v>0.37234498744389971</v>
      </c>
      <c r="O405" s="27">
        <v>-11.45299941152031</v>
      </c>
      <c r="P405" s="27">
        <v>3.0743578934969422E-2</v>
      </c>
      <c r="Q405" s="27">
        <v>3.8618887169622862E-5</v>
      </c>
      <c r="R405" s="27">
        <v>1.1371410405189262</v>
      </c>
      <c r="S405" s="154"/>
      <c r="T405">
        <v>1.0100205733576493</v>
      </c>
      <c r="U405">
        <v>2.2059249870855897</v>
      </c>
      <c r="V405">
        <v>3.0732414889743707</v>
      </c>
      <c r="W405">
        <v>1</v>
      </c>
      <c r="Y405" s="2">
        <v>317.59304888011934</v>
      </c>
      <c r="Z405" s="2">
        <v>2086.7586722431033</v>
      </c>
      <c r="AA405" s="2">
        <v>174.54974914460681</v>
      </c>
      <c r="AB405" s="2">
        <v>8662.3721399300812</v>
      </c>
      <c r="AC405" s="2">
        <v>735.30222016662992</v>
      </c>
      <c r="AD405" s="2">
        <v>1603.4839521012209</v>
      </c>
      <c r="AE405" s="2">
        <v>557.43333112330038</v>
      </c>
      <c r="AF405" s="2">
        <v>1353.6644474065597</v>
      </c>
      <c r="AG405" s="2">
        <v>114.21271905892236</v>
      </c>
      <c r="AH405" s="2">
        <v>669.20993821416891</v>
      </c>
      <c r="AI405" s="2">
        <v>635639.23591861397</v>
      </c>
      <c r="AJ405" s="2">
        <v>613738.81555867114</v>
      </c>
      <c r="AL405" s="27">
        <v>0.9174200464819825</v>
      </c>
      <c r="AM405" s="27">
        <v>0.91301115337105387</v>
      </c>
      <c r="AN405" s="27">
        <v>0.91388786020208046</v>
      </c>
      <c r="AO405" s="27">
        <v>0.86021934980408432</v>
      </c>
      <c r="AP405" s="27">
        <v>0.66412779813293099</v>
      </c>
      <c r="AQ405" s="27">
        <v>0.9174200464819825</v>
      </c>
      <c r="AR405" s="27">
        <v>0.91301115337105387</v>
      </c>
      <c r="AS405" s="27">
        <v>0.91388786020208046</v>
      </c>
      <c r="AT405" s="27">
        <v>0.86021934980408432</v>
      </c>
      <c r="AU405" s="27">
        <v>0.66412779813293099</v>
      </c>
      <c r="AW405" s="1">
        <v>13.248591453819015</v>
      </c>
      <c r="AX405" s="1">
        <v>15.305994402598303</v>
      </c>
      <c r="AY405" s="2">
        <v>2243707.7160982001</v>
      </c>
      <c r="AZ405" s="1">
        <v>15.229228438449201</v>
      </c>
      <c r="BA405" s="1">
        <v>17.224390816847848</v>
      </c>
      <c r="BB405" s="2">
        <v>1726400.7759993048</v>
      </c>
      <c r="BC405" s="2">
        <f t="shared" si="49"/>
        <v>-517306.94009889523</v>
      </c>
      <c r="BD405" s="292">
        <f t="shared" si="50"/>
        <v>1.9806369846301859</v>
      </c>
      <c r="BF405" s="170">
        <f t="shared" si="45"/>
        <v>-123933.08348715771</v>
      </c>
      <c r="BG405" s="2">
        <f t="shared" si="46"/>
        <v>710275.77415256761</v>
      </c>
      <c r="BI405">
        <f t="shared" si="47"/>
        <v>0</v>
      </c>
      <c r="BJ405" s="95">
        <f t="shared" si="48"/>
        <v>1</v>
      </c>
      <c r="BP405" s="217">
        <f t="shared" si="51"/>
        <v>710275.77415256761</v>
      </c>
    </row>
    <row r="406" spans="1:68">
      <c r="A406" s="11">
        <v>400</v>
      </c>
      <c r="C406" s="27">
        <v>0.92165036128892919</v>
      </c>
      <c r="D406" s="27">
        <v>7.8349638711070813E-2</v>
      </c>
      <c r="E406" s="27">
        <v>0</v>
      </c>
      <c r="F406" s="27">
        <v>0.85692562562820607</v>
      </c>
      <c r="G406" s="27">
        <v>0.14307437437179393</v>
      </c>
      <c r="H406" s="27">
        <v>0</v>
      </c>
      <c r="I406" s="27">
        <v>0.75736957306439479</v>
      </c>
      <c r="J406" s="27">
        <v>0.24263042693560519</v>
      </c>
      <c r="K406" s="27">
        <v>0</v>
      </c>
      <c r="L406" s="27">
        <v>0.10669053498117842</v>
      </c>
      <c r="M406" s="27">
        <v>0.5214745729686554</v>
      </c>
      <c r="N406" s="27">
        <v>0.37183489205016618</v>
      </c>
      <c r="O406" s="27">
        <v>-10.873543595200315</v>
      </c>
      <c r="P406" s="27">
        <v>2.8775001716942007E-2</v>
      </c>
      <c r="Q406" s="27">
        <v>6.3466806368781852E-5</v>
      </c>
      <c r="R406" s="27">
        <v>1.0804505244448412</v>
      </c>
      <c r="S406" s="154"/>
      <c r="T406">
        <v>1.080129449831545</v>
      </c>
      <c r="U406">
        <v>2.252059093803517</v>
      </c>
      <c r="V406">
        <v>3.1141116271522775</v>
      </c>
      <c r="W406">
        <v>1</v>
      </c>
      <c r="Y406" s="2">
        <v>1565.9352041862371</v>
      </c>
      <c r="Z406" s="2">
        <v>500.38791820359478</v>
      </c>
      <c r="AA406" s="2">
        <v>1971.4632724697829</v>
      </c>
      <c r="AB406" s="2">
        <v>9119.7368478605076</v>
      </c>
      <c r="AC406" s="2">
        <v>479.78250601570443</v>
      </c>
      <c r="AD406" s="2">
        <v>3469.3759236636151</v>
      </c>
      <c r="AE406" s="2">
        <v>536.8559378088022</v>
      </c>
      <c r="AF406" s="2">
        <v>1118.8549872902274</v>
      </c>
      <c r="AG406" s="2">
        <v>101.89914929800051</v>
      </c>
      <c r="AH406" s="2">
        <v>466.13654207249198</v>
      </c>
      <c r="AI406" s="2">
        <v>492250.79955238313</v>
      </c>
      <c r="AJ406" s="2">
        <v>475873.74910109479</v>
      </c>
      <c r="AL406" s="27">
        <v>0.91814102676286324</v>
      </c>
      <c r="AM406" s="27">
        <v>0.91396898594240517</v>
      </c>
      <c r="AN406" s="27">
        <v>0.91027355908245156</v>
      </c>
      <c r="AO406" s="27">
        <v>0.83917381304889938</v>
      </c>
      <c r="AP406" s="27">
        <v>0.66880417773908429</v>
      </c>
      <c r="AQ406" s="27">
        <v>0.91814102676286324</v>
      </c>
      <c r="AR406" s="27">
        <v>0.91396898594240517</v>
      </c>
      <c r="AS406" s="27">
        <v>0.91027355908245156</v>
      </c>
      <c r="AT406" s="27">
        <v>0.83917381304889938</v>
      </c>
      <c r="AU406" s="27">
        <v>0.66880417773908429</v>
      </c>
      <c r="AW406" s="1">
        <v>13.082858146487391</v>
      </c>
      <c r="AX406" s="1">
        <v>15.216504002664555</v>
      </c>
      <c r="AY406" s="2">
        <v>1956410.2640284633</v>
      </c>
      <c r="AZ406" s="1">
        <v>15.254996426032944</v>
      </c>
      <c r="BA406" s="1">
        <v>17.299630246541245</v>
      </c>
      <c r="BB406" s="2">
        <v>1558368.5714363442</v>
      </c>
      <c r="BC406" s="2">
        <f t="shared" si="49"/>
        <v>-398041.6925921191</v>
      </c>
      <c r="BD406" s="292">
        <f t="shared" si="50"/>
        <v>2.1721382795455533</v>
      </c>
      <c r="BF406" s="170">
        <f t="shared" si="45"/>
        <v>136847.03940951917</v>
      </c>
      <c r="BG406" s="2">
        <f t="shared" si="46"/>
        <v>882430.85672892677</v>
      </c>
      <c r="BI406">
        <f t="shared" si="47"/>
        <v>0</v>
      </c>
      <c r="BJ406" s="95">
        <f t="shared" si="48"/>
        <v>1</v>
      </c>
      <c r="BP406" s="217">
        <f t="shared" si="51"/>
        <v>882430.85672892677</v>
      </c>
    </row>
    <row r="407" spans="1:68">
      <c r="A407" s="11">
        <v>401</v>
      </c>
      <c r="C407" s="27">
        <v>0.92577902469841955</v>
      </c>
      <c r="D407" s="27">
        <v>7.4220975301580422E-2</v>
      </c>
      <c r="E407" s="27">
        <v>0</v>
      </c>
      <c r="F407" s="27">
        <v>0.86170042131842228</v>
      </c>
      <c r="G407" s="27">
        <v>0.13829957868157766</v>
      </c>
      <c r="H407" s="27">
        <v>0</v>
      </c>
      <c r="I407" s="27">
        <v>0.75303406558999486</v>
      </c>
      <c r="J407" s="27">
        <v>0.24696593441000517</v>
      </c>
      <c r="K407" s="27">
        <v>0</v>
      </c>
      <c r="L407" s="27">
        <v>0.12353713780243208</v>
      </c>
      <c r="M407" s="27">
        <v>0.51207740367972487</v>
      </c>
      <c r="N407" s="27">
        <v>0.36438545851784304</v>
      </c>
      <c r="O407" s="27">
        <v>-10.616455678525083</v>
      </c>
      <c r="P407" s="27">
        <v>3.2770657266622746E-2</v>
      </c>
      <c r="Q407" s="27">
        <v>9.7069040653506008E-5</v>
      </c>
      <c r="R407" s="27">
        <v>1.0162078256343376</v>
      </c>
      <c r="S407" s="154"/>
      <c r="T407">
        <v>0.81804525123700922</v>
      </c>
      <c r="U407">
        <v>2.1664852918523918</v>
      </c>
      <c r="V407">
        <v>3.0905262924414707</v>
      </c>
      <c r="W407">
        <v>1</v>
      </c>
      <c r="Y407" s="2">
        <v>1228.0314425726694</v>
      </c>
      <c r="Z407" s="2">
        <v>4980.2446980057484</v>
      </c>
      <c r="AA407" s="2">
        <v>5320.9792523979631</v>
      </c>
      <c r="AB407" s="2">
        <v>5251.6863865491714</v>
      </c>
      <c r="AC407" s="2">
        <v>2093.4063753027958</v>
      </c>
      <c r="AD407" s="2">
        <v>1289.0475212588433</v>
      </c>
      <c r="AE407" s="2">
        <v>530.74306284081513</v>
      </c>
      <c r="AF407" s="2">
        <v>990.73723871423999</v>
      </c>
      <c r="AG407" s="2">
        <v>77.565674961593373</v>
      </c>
      <c r="AH407" s="2">
        <v>333.56075726235707</v>
      </c>
      <c r="AI407" s="2">
        <v>580396.51141313417</v>
      </c>
      <c r="AJ407" s="2">
        <v>533057.89764387917</v>
      </c>
      <c r="AL407" s="27">
        <v>0.91736375061629127</v>
      </c>
      <c r="AM407" s="27">
        <v>0.91138363888975993</v>
      </c>
      <c r="AN407" s="27">
        <v>0.91273469546902697</v>
      </c>
      <c r="AO407" s="27">
        <v>0.90351940958411259</v>
      </c>
      <c r="AP407" s="27">
        <v>0.74267802754427759</v>
      </c>
      <c r="AQ407" s="27">
        <v>0.91736375061629127</v>
      </c>
      <c r="AR407" s="27">
        <v>0.91138363888975993</v>
      </c>
      <c r="AS407" s="27">
        <v>0.91273469546902697</v>
      </c>
      <c r="AT407" s="27">
        <v>0.90351940958411259</v>
      </c>
      <c r="AU407" s="27">
        <v>0.74267802754427759</v>
      </c>
      <c r="AW407" s="1">
        <v>14.548951568916895</v>
      </c>
      <c r="AX407" s="1">
        <v>16.448301195180427</v>
      </c>
      <c r="AY407" s="2">
        <v>2073529.2650535286</v>
      </c>
      <c r="AZ407" s="1">
        <v>15.705519811836488</v>
      </c>
      <c r="BA407" s="1">
        <v>17.603109136344546</v>
      </c>
      <c r="BB407" s="2">
        <v>1730154.3003467699</v>
      </c>
      <c r="BC407" s="2">
        <f t="shared" si="49"/>
        <v>-343374.96470675874</v>
      </c>
      <c r="BD407" s="292">
        <f t="shared" si="50"/>
        <v>1.1565682429195938</v>
      </c>
      <c r="BF407" s="170">
        <f t="shared" si="45"/>
        <v>254302.98597317445</v>
      </c>
      <c r="BG407" s="2">
        <f t="shared" si="46"/>
        <v>782728.86954706814</v>
      </c>
      <c r="BI407">
        <f t="shared" si="47"/>
        <v>0</v>
      </c>
      <c r="BJ407" s="95">
        <f t="shared" si="48"/>
        <v>1</v>
      </c>
      <c r="BP407" s="217">
        <f t="shared" si="51"/>
        <v>782728.86954706814</v>
      </c>
    </row>
    <row r="408" spans="1:68">
      <c r="A408" s="11">
        <v>402</v>
      </c>
      <c r="C408" s="27">
        <v>0.92349713077138196</v>
      </c>
      <c r="D408" s="27">
        <v>7.6502869228618084E-2</v>
      </c>
      <c r="E408" s="27">
        <v>0</v>
      </c>
      <c r="F408" s="27">
        <v>0.85568013859677594</v>
      </c>
      <c r="G408" s="27">
        <v>0.14431986140322406</v>
      </c>
      <c r="H408" s="27">
        <v>0</v>
      </c>
      <c r="I408" s="27">
        <v>0.753662776399048</v>
      </c>
      <c r="J408" s="27">
        <v>0.246337223600952</v>
      </c>
      <c r="K408" s="27">
        <v>0</v>
      </c>
      <c r="L408" s="27">
        <v>0.16474423218607326</v>
      </c>
      <c r="M408" s="27">
        <v>0.52442648690896287</v>
      </c>
      <c r="N408" s="27">
        <v>0.31082928090496387</v>
      </c>
      <c r="O408" s="27">
        <v>-11.175696707025669</v>
      </c>
      <c r="P408" s="27">
        <v>3.4609444871034845E-2</v>
      </c>
      <c r="Q408" s="27">
        <v>5.9943984562027757E-5</v>
      </c>
      <c r="R408" s="27">
        <v>1.0751124528774705</v>
      </c>
      <c r="S408" s="154"/>
      <c r="T408">
        <v>0.97471972054600486</v>
      </c>
      <c r="U408">
        <v>2.2195604103101667</v>
      </c>
      <c r="V408">
        <v>2.8472748900580203</v>
      </c>
      <c r="W408">
        <v>1</v>
      </c>
      <c r="Y408" s="2">
        <v>92.356913962241208</v>
      </c>
      <c r="Z408" s="2">
        <v>7053.985509973495</v>
      </c>
      <c r="AA408" s="2">
        <v>1214.1756379430631</v>
      </c>
      <c r="AB408" s="2">
        <v>1291.4234436721467</v>
      </c>
      <c r="AC408" s="2">
        <v>156.40288330556018</v>
      </c>
      <c r="AD408" s="2">
        <v>3482.0041662429594</v>
      </c>
      <c r="AE408" s="2">
        <v>594.49176112597058</v>
      </c>
      <c r="AF408" s="2">
        <v>1154.8561716613403</v>
      </c>
      <c r="AG408" s="2">
        <v>114.26962397035797</v>
      </c>
      <c r="AH408" s="2">
        <v>511.2747533921027</v>
      </c>
      <c r="AI408" s="2">
        <v>482205.111844984</v>
      </c>
      <c r="AJ408" s="2">
        <v>449913.24837759667</v>
      </c>
      <c r="AL408" s="27">
        <v>0.91458284066261852</v>
      </c>
      <c r="AM408" s="27">
        <v>0.91993039094187112</v>
      </c>
      <c r="AN408" s="27">
        <v>0.91005785387615867</v>
      </c>
      <c r="AO408" s="27">
        <v>0.88985759088478078</v>
      </c>
      <c r="AP408" s="27">
        <v>0.8037330006843999</v>
      </c>
      <c r="AQ408" s="27">
        <v>0.91458284066261852</v>
      </c>
      <c r="AR408" s="27">
        <v>0.91993039094187112</v>
      </c>
      <c r="AS408" s="27">
        <v>0.91005785387615867</v>
      </c>
      <c r="AT408" s="27">
        <v>0.88985759088478078</v>
      </c>
      <c r="AU408" s="27">
        <v>0.8037330006843999</v>
      </c>
      <c r="AW408" s="1">
        <v>14.259714255915901</v>
      </c>
      <c r="AX408" s="1">
        <v>16.019612785541753</v>
      </c>
      <c r="AY408" s="2">
        <v>2009775.4302797825</v>
      </c>
      <c r="AZ408" s="1">
        <v>15.822698101784407</v>
      </c>
      <c r="BA408" s="1">
        <v>17.602449057025048</v>
      </c>
      <c r="BB408" s="2">
        <v>1483722.3236955798</v>
      </c>
      <c r="BC408" s="2">
        <f t="shared" si="49"/>
        <v>-526053.10658420273</v>
      </c>
      <c r="BD408" s="292">
        <f t="shared" si="50"/>
        <v>1.5629838458685068</v>
      </c>
      <c r="BF408" s="170">
        <f t="shared" si="45"/>
        <v>271778.8506667614</v>
      </c>
      <c r="BG408" s="2">
        <f t="shared" si="46"/>
        <v>1047909.3725899255</v>
      </c>
      <c r="BI408">
        <f t="shared" si="47"/>
        <v>0</v>
      </c>
      <c r="BJ408" s="95">
        <f t="shared" si="48"/>
        <v>1</v>
      </c>
      <c r="BP408" s="217">
        <f t="shared" si="51"/>
        <v>1047909.3725899255</v>
      </c>
    </row>
    <row r="409" spans="1:68">
      <c r="A409" s="11">
        <v>403</v>
      </c>
      <c r="C409" s="27">
        <v>0.92676428030997893</v>
      </c>
      <c r="D409" s="27">
        <v>7.3235719690021017E-2</v>
      </c>
      <c r="E409" s="27">
        <v>0</v>
      </c>
      <c r="F409" s="27">
        <v>0.8556687792252563</v>
      </c>
      <c r="G409" s="27">
        <v>0.1443312207747437</v>
      </c>
      <c r="H409" s="27">
        <v>0</v>
      </c>
      <c r="I409" s="27">
        <v>0.74491444065509571</v>
      </c>
      <c r="J409" s="27">
        <v>0.25508555934490429</v>
      </c>
      <c r="K409" s="27">
        <v>0</v>
      </c>
      <c r="L409" s="27">
        <v>0.11333824113520108</v>
      </c>
      <c r="M409" s="27">
        <v>0.47894922446464272</v>
      </c>
      <c r="N409" s="27">
        <v>0.4077125344001562</v>
      </c>
      <c r="O409" s="27">
        <v>-11.428274780937963</v>
      </c>
      <c r="P409" s="27">
        <v>3.6216188615225395E-2</v>
      </c>
      <c r="Q409" s="27">
        <v>4.9814977850709592E-5</v>
      </c>
      <c r="R409" s="27">
        <v>1.0967910739855014</v>
      </c>
      <c r="S409" s="154"/>
      <c r="T409">
        <v>0.90901905780570424</v>
      </c>
      <c r="U409">
        <v>2.1812436246116391</v>
      </c>
      <c r="V409">
        <v>3.0677699191395558</v>
      </c>
      <c r="W409">
        <v>1</v>
      </c>
      <c r="Y409" s="2">
        <v>1054.1651666377584</v>
      </c>
      <c r="Z409" s="2">
        <v>1239.3448514495633</v>
      </c>
      <c r="AA409" s="2">
        <v>2042.5500927067897</v>
      </c>
      <c r="AB409" s="2">
        <v>149.05022787658987</v>
      </c>
      <c r="AC409" s="2">
        <v>1278.6085769349868</v>
      </c>
      <c r="AD409" s="2">
        <v>968.46953867877812</v>
      </c>
      <c r="AE409" s="2">
        <v>553.66882188976649</v>
      </c>
      <c r="AF409" s="2">
        <v>1033.1211981005692</v>
      </c>
      <c r="AG409" s="2">
        <v>163.72181193886297</v>
      </c>
      <c r="AH409" s="2">
        <v>363.09954630446026</v>
      </c>
      <c r="AI409" s="2">
        <v>666031.42070578435</v>
      </c>
      <c r="AJ409" s="2">
        <v>640253.49108535703</v>
      </c>
      <c r="AL409" s="27">
        <v>0.91662801964918839</v>
      </c>
      <c r="AM409" s="27">
        <v>0.91980808685531557</v>
      </c>
      <c r="AN409" s="27">
        <v>0.91600591712836632</v>
      </c>
      <c r="AO409" s="27">
        <v>0.91101916084489321</v>
      </c>
      <c r="AP409" s="27">
        <v>0.57395902027574763</v>
      </c>
      <c r="AQ409" s="27">
        <v>0.91662801964918839</v>
      </c>
      <c r="AR409" s="27">
        <v>0.91980808685531557</v>
      </c>
      <c r="AS409" s="27">
        <v>0.91600591712836632</v>
      </c>
      <c r="AT409" s="27">
        <v>0.91101916084489321</v>
      </c>
      <c r="AU409" s="27">
        <v>0.57395902027574763</v>
      </c>
      <c r="AW409" s="1">
        <v>13.511852966954528</v>
      </c>
      <c r="AX409" s="1">
        <v>15.784246513859857</v>
      </c>
      <c r="AY409" s="2">
        <v>2250694.4949490759</v>
      </c>
      <c r="AZ409" s="1">
        <v>15.125080781027881</v>
      </c>
      <c r="BA409" s="1">
        <v>17.27429526148839</v>
      </c>
      <c r="BB409" s="2">
        <v>1700297.2090771813</v>
      </c>
      <c r="BC409" s="2">
        <f t="shared" si="49"/>
        <v>-550397.28587189456</v>
      </c>
      <c r="BD409" s="292">
        <f t="shared" si="50"/>
        <v>1.6132278140733529</v>
      </c>
      <c r="BF409" s="170">
        <f t="shared" si="45"/>
        <v>-88798.020236351527</v>
      </c>
      <c r="BG409" s="2">
        <f t="shared" si="46"/>
        <v>719715.71588727972</v>
      </c>
      <c r="BI409">
        <f t="shared" si="47"/>
        <v>0</v>
      </c>
      <c r="BJ409" s="95">
        <f t="shared" si="48"/>
        <v>1</v>
      </c>
      <c r="BP409" s="217">
        <f t="shared" si="51"/>
        <v>719715.71588727972</v>
      </c>
    </row>
    <row r="410" spans="1:68">
      <c r="A410" s="11">
        <v>404</v>
      </c>
      <c r="C410" s="27">
        <v>0.92243408255149828</v>
      </c>
      <c r="D410" s="27">
        <v>7.756591744850172E-2</v>
      </c>
      <c r="E410" s="27">
        <v>0</v>
      </c>
      <c r="F410" s="27">
        <v>0.85650235623677795</v>
      </c>
      <c r="G410" s="27">
        <v>0.14349764376322205</v>
      </c>
      <c r="H410" s="27">
        <v>0</v>
      </c>
      <c r="I410" s="27">
        <v>0.74612066604563299</v>
      </c>
      <c r="J410" s="27">
        <v>0.25387933395436701</v>
      </c>
      <c r="K410" s="27">
        <v>0</v>
      </c>
      <c r="L410" s="27">
        <v>0.13815353213514403</v>
      </c>
      <c r="M410" s="27">
        <v>0.44881275047615576</v>
      </c>
      <c r="N410" s="27">
        <v>0.41303371738870021</v>
      </c>
      <c r="O410" s="27">
        <v>-11.088110654131881</v>
      </c>
      <c r="P410" s="27">
        <v>3.7999922699654805E-2</v>
      </c>
      <c r="Q410" s="27">
        <v>7.5444452516654673E-5</v>
      </c>
      <c r="R410" s="27">
        <v>1.0383988975196177</v>
      </c>
      <c r="S410" s="154"/>
      <c r="T410">
        <v>0.97835790051893412</v>
      </c>
      <c r="U410">
        <v>2.3221512841522705</v>
      </c>
      <c r="V410">
        <v>2.9614742858183587</v>
      </c>
      <c r="W410">
        <v>1</v>
      </c>
      <c r="Y410" s="2">
        <v>1079.924951718029</v>
      </c>
      <c r="Z410" s="2">
        <v>3971.1487264156144</v>
      </c>
      <c r="AA410" s="2">
        <v>276.34929355858702</v>
      </c>
      <c r="AB410" s="2">
        <v>6183.1611090718352</v>
      </c>
      <c r="AC410" s="2">
        <v>500.64655189616849</v>
      </c>
      <c r="AD410" s="2">
        <v>503.58377422227454</v>
      </c>
      <c r="AE410" s="2">
        <v>572.32963270804612</v>
      </c>
      <c r="AF410" s="2">
        <v>1036.4864420008964</v>
      </c>
      <c r="AG410" s="2">
        <v>86.321340918426714</v>
      </c>
      <c r="AH410" s="2">
        <v>197.87461126120274</v>
      </c>
      <c r="AI410" s="2">
        <v>521807.73694302072</v>
      </c>
      <c r="AJ410" s="2">
        <v>489026.3654043249</v>
      </c>
      <c r="AL410" s="27">
        <v>0.90878589879725014</v>
      </c>
      <c r="AM410" s="27">
        <v>0.91161094893062067</v>
      </c>
      <c r="AN410" s="27">
        <v>0.912753750659554</v>
      </c>
      <c r="AO410" s="27">
        <v>0.87207250422073912</v>
      </c>
      <c r="AP410" s="27">
        <v>0.67710702509540299</v>
      </c>
      <c r="AQ410" s="27">
        <v>0.90878589879725014</v>
      </c>
      <c r="AR410" s="27">
        <v>0.91161094893062067</v>
      </c>
      <c r="AS410" s="27">
        <v>0.912753750659554</v>
      </c>
      <c r="AT410" s="27">
        <v>0.87207250422073912</v>
      </c>
      <c r="AU410" s="27">
        <v>0.67710702509540299</v>
      </c>
      <c r="AW410" s="1">
        <v>13.291934820106142</v>
      </c>
      <c r="AX410" s="1">
        <v>15.420701873745251</v>
      </c>
      <c r="AY410" s="2">
        <v>1921623.436339766</v>
      </c>
      <c r="AZ410" s="1">
        <v>15.133588062953837</v>
      </c>
      <c r="BA410" s="1">
        <v>17.208262459541665</v>
      </c>
      <c r="BB410" s="2">
        <v>1435394.5263706569</v>
      </c>
      <c r="BC410" s="2">
        <f t="shared" si="49"/>
        <v>-486228.90996910911</v>
      </c>
      <c r="BD410" s="292">
        <f t="shared" si="50"/>
        <v>1.8416532428476948</v>
      </c>
      <c r="BF410" s="170">
        <f t="shared" si="45"/>
        <v>205086.13487721677</v>
      </c>
      <c r="BG410" s="2">
        <f t="shared" si="46"/>
        <v>985979.56370195723</v>
      </c>
      <c r="BI410">
        <f t="shared" si="47"/>
        <v>0</v>
      </c>
      <c r="BJ410" s="95">
        <f t="shared" si="48"/>
        <v>1</v>
      </c>
      <c r="BP410" s="217">
        <f t="shared" si="51"/>
        <v>985979.56370195723</v>
      </c>
    </row>
    <row r="411" spans="1:68">
      <c r="A411" s="11">
        <v>405</v>
      </c>
      <c r="C411" s="27">
        <v>0.92470104321448265</v>
      </c>
      <c r="D411" s="27">
        <v>7.5298956785517332E-2</v>
      </c>
      <c r="E411" s="27">
        <v>0</v>
      </c>
      <c r="F411" s="27">
        <v>0.85778226585713291</v>
      </c>
      <c r="G411" s="27">
        <v>0.14221773414286706</v>
      </c>
      <c r="H411" s="27">
        <v>0</v>
      </c>
      <c r="I411" s="27">
        <v>0.7614328956187999</v>
      </c>
      <c r="J411" s="27">
        <v>0.23856710438120016</v>
      </c>
      <c r="K411" s="27">
        <v>0</v>
      </c>
      <c r="L411" s="27">
        <v>0.17001059500857102</v>
      </c>
      <c r="M411" s="27">
        <v>0.51621425077127747</v>
      </c>
      <c r="N411" s="27">
        <v>0.31377515422015151</v>
      </c>
      <c r="O411" s="27">
        <v>-11.195046521186793</v>
      </c>
      <c r="P411" s="27">
        <v>3.5104527079971769E-2</v>
      </c>
      <c r="Q411" s="27">
        <v>6.0030584507304401E-5</v>
      </c>
      <c r="R411" s="27">
        <v>1.0727134331520221</v>
      </c>
      <c r="S411" s="154"/>
      <c r="T411">
        <v>1.0432644789536452</v>
      </c>
      <c r="U411">
        <v>2.2309730724769805</v>
      </c>
      <c r="V411">
        <v>3.1912767434946816</v>
      </c>
      <c r="W411">
        <v>1</v>
      </c>
      <c r="Y411" s="2">
        <v>1461.2049643997607</v>
      </c>
      <c r="Z411" s="2">
        <v>8907.130814360451</v>
      </c>
      <c r="AA411" s="2">
        <v>8.1363945817277887</v>
      </c>
      <c r="AB411" s="2">
        <v>2392.9616240556525</v>
      </c>
      <c r="AC411" s="2">
        <v>462.38222316050064</v>
      </c>
      <c r="AD411" s="2">
        <v>1227.3189617320991</v>
      </c>
      <c r="AE411" s="2">
        <v>591.12231683366588</v>
      </c>
      <c r="AF411" s="2">
        <v>971.79939824861094</v>
      </c>
      <c r="AG411" s="2">
        <v>115.36175467618537</v>
      </c>
      <c r="AH411" s="2">
        <v>366.92126010774541</v>
      </c>
      <c r="AI411" s="2">
        <v>575347.11981752631</v>
      </c>
      <c r="AJ411" s="2">
        <v>540642.33285526501</v>
      </c>
      <c r="AL411" s="27">
        <v>0.92144533488873848</v>
      </c>
      <c r="AM411" s="27">
        <v>0.90505147547009901</v>
      </c>
      <c r="AN411" s="27">
        <v>0.90777463102991574</v>
      </c>
      <c r="AO411" s="27">
        <v>0.89113512358448865</v>
      </c>
      <c r="AP411" s="27">
        <v>0.74654483102629976</v>
      </c>
      <c r="AQ411" s="27">
        <v>0.92144533488873848</v>
      </c>
      <c r="AR411" s="27">
        <v>0.90505147547009901</v>
      </c>
      <c r="AS411" s="27">
        <v>0.90777463102991574</v>
      </c>
      <c r="AT411" s="27">
        <v>0.89113512358448865</v>
      </c>
      <c r="AU411" s="27">
        <v>0.74654483102629976</v>
      </c>
      <c r="AW411" s="1">
        <v>13.921772203273161</v>
      </c>
      <c r="AX411" s="1">
        <v>15.849338022327796</v>
      </c>
      <c r="AY411" s="2">
        <v>2504905.6452926006</v>
      </c>
      <c r="AZ411" s="1">
        <v>15.761435903221463</v>
      </c>
      <c r="BA411" s="1">
        <v>17.676142862749224</v>
      </c>
      <c r="BB411" s="2">
        <v>1675772.9721068293</v>
      </c>
      <c r="BC411" s="2">
        <f t="shared" si="49"/>
        <v>-829132.67318577133</v>
      </c>
      <c r="BD411" s="292">
        <f t="shared" si="50"/>
        <v>1.8396636999483018</v>
      </c>
      <c r="BF411" s="170">
        <f t="shared" si="45"/>
        <v>-277422.09276889497</v>
      </c>
      <c r="BG411" s="2">
        <f t="shared" si="46"/>
        <v>846056.77240860462</v>
      </c>
      <c r="BI411">
        <f t="shared" si="47"/>
        <v>0</v>
      </c>
      <c r="BJ411" s="95">
        <f t="shared" si="48"/>
        <v>1</v>
      </c>
      <c r="BP411" s="217">
        <f t="shared" si="51"/>
        <v>846056.77240860462</v>
      </c>
    </row>
    <row r="412" spans="1:68">
      <c r="A412" s="11">
        <v>406</v>
      </c>
      <c r="C412" s="27">
        <v>0.92074812986418797</v>
      </c>
      <c r="D412" s="27">
        <v>7.925187013581203E-2</v>
      </c>
      <c r="E412" s="27">
        <v>0</v>
      </c>
      <c r="F412" s="27">
        <v>0.8502679223485401</v>
      </c>
      <c r="G412" s="27">
        <v>0.1497320776514599</v>
      </c>
      <c r="H412" s="27">
        <v>0</v>
      </c>
      <c r="I412" s="27">
        <v>0.754233385445224</v>
      </c>
      <c r="J412" s="27">
        <v>0.24576661455477603</v>
      </c>
      <c r="K412" s="27">
        <v>0</v>
      </c>
      <c r="L412" s="27">
        <v>0.10255304728022446</v>
      </c>
      <c r="M412" s="27">
        <v>0.53969366447780542</v>
      </c>
      <c r="N412" s="27">
        <v>0.35775328824197011</v>
      </c>
      <c r="O412" s="27">
        <v>-10.808992184199884</v>
      </c>
      <c r="P412" s="27">
        <v>3.2820081336232362E-2</v>
      </c>
      <c r="Q412" s="27">
        <v>8.0235157359830536E-5</v>
      </c>
      <c r="R412" s="27">
        <v>1.0424156820721935</v>
      </c>
      <c r="S412" s="154"/>
      <c r="T412">
        <v>0.92311145965072383</v>
      </c>
      <c r="U412">
        <v>2.2485432090003115</v>
      </c>
      <c r="V412">
        <v>3.1269221611872031</v>
      </c>
      <c r="W412">
        <v>1</v>
      </c>
      <c r="Y412" s="2">
        <v>228.61853447718335</v>
      </c>
      <c r="Z412" s="2">
        <v>3639.7222543085095</v>
      </c>
      <c r="AA412" s="2">
        <v>335.52825024172949</v>
      </c>
      <c r="AB412" s="2">
        <v>939.73389528148766</v>
      </c>
      <c r="AC412" s="2">
        <v>376.13645355498107</v>
      </c>
      <c r="AD412" s="2">
        <v>268.54167101419876</v>
      </c>
      <c r="AE412" s="2">
        <v>594.5363250726698</v>
      </c>
      <c r="AF412" s="2">
        <v>994.63624316579478</v>
      </c>
      <c r="AG412" s="2">
        <v>132.86326565464032</v>
      </c>
      <c r="AH412" s="2">
        <v>551.05706959220015</v>
      </c>
      <c r="AI412" s="2">
        <v>396506.79814161075</v>
      </c>
      <c r="AJ412" s="2">
        <v>371994.2147615407</v>
      </c>
      <c r="AL412" s="27">
        <v>0.91322209282640998</v>
      </c>
      <c r="AM412" s="27">
        <v>0.91887791178560796</v>
      </c>
      <c r="AN412" s="27">
        <v>0.90155007883774252</v>
      </c>
      <c r="AO412" s="27">
        <v>0.8939982066159905</v>
      </c>
      <c r="AP412" s="27">
        <v>0.73060552999431905</v>
      </c>
      <c r="AQ412" s="27">
        <v>0.91322209282640998</v>
      </c>
      <c r="AR412" s="27">
        <v>0.91887791178560796</v>
      </c>
      <c r="AS412" s="27">
        <v>0.90155007883774252</v>
      </c>
      <c r="AT412" s="27">
        <v>0.8939982066159905</v>
      </c>
      <c r="AU412" s="27">
        <v>0.73060552999431905</v>
      </c>
      <c r="AW412" s="1">
        <v>13.839932766596419</v>
      </c>
      <c r="AX412" s="1">
        <v>15.83859679794373</v>
      </c>
      <c r="AY412" s="2">
        <v>1602434.7488631555</v>
      </c>
      <c r="AZ412" s="1">
        <v>15.410914882454504</v>
      </c>
      <c r="BA412" s="1">
        <v>17.384363965965388</v>
      </c>
      <c r="BB412" s="2">
        <v>1176441.9644234492</v>
      </c>
      <c r="BC412" s="2">
        <f t="shared" si="49"/>
        <v>-425992.78443970624</v>
      </c>
      <c r="BD412" s="292">
        <f t="shared" si="50"/>
        <v>1.5709821158580848</v>
      </c>
      <c r="BF412" s="170">
        <f t="shared" si="45"/>
        <v>611954.49379227171</v>
      </c>
      <c r="BG412" s="2">
        <f t="shared" si="46"/>
        <v>1289304.4167692713</v>
      </c>
      <c r="BI412">
        <f t="shared" si="47"/>
        <v>0</v>
      </c>
      <c r="BJ412" s="95">
        <f t="shared" si="48"/>
        <v>1</v>
      </c>
      <c r="BP412" s="217">
        <f t="shared" si="51"/>
        <v>1289304.4167692713</v>
      </c>
    </row>
    <row r="413" spans="1:68">
      <c r="A413" s="11">
        <v>407</v>
      </c>
      <c r="C413" s="27">
        <v>0.92259987774480523</v>
      </c>
      <c r="D413" s="27">
        <v>7.740012225519477E-2</v>
      </c>
      <c r="E413" s="27">
        <v>0</v>
      </c>
      <c r="F413" s="27">
        <v>0.85600154324927413</v>
      </c>
      <c r="G413" s="27">
        <v>0.14399845675072587</v>
      </c>
      <c r="H413" s="27">
        <v>0</v>
      </c>
      <c r="I413" s="27">
        <v>0.75736901918554478</v>
      </c>
      <c r="J413" s="27">
        <v>0.24263098081445525</v>
      </c>
      <c r="K413" s="27">
        <v>0</v>
      </c>
      <c r="L413" s="27">
        <v>0.1221872248355832</v>
      </c>
      <c r="M413" s="27">
        <v>0.47906726552081402</v>
      </c>
      <c r="N413" s="27">
        <v>0.39874550964360278</v>
      </c>
      <c r="O413" s="27">
        <v>-11.273835146982096</v>
      </c>
      <c r="P413" s="27">
        <v>3.5140724815982918E-2</v>
      </c>
      <c r="Q413" s="27">
        <v>5.5566797368779046E-5</v>
      </c>
      <c r="R413" s="27">
        <v>1.0832969109429151</v>
      </c>
      <c r="S413" s="154"/>
      <c r="T413">
        <v>0.94078579217522484</v>
      </c>
      <c r="U413">
        <v>2.3148368798026282</v>
      </c>
      <c r="V413">
        <v>2.9186549206506713</v>
      </c>
      <c r="W413">
        <v>1</v>
      </c>
      <c r="Y413" s="2">
        <v>3596.4120213150582</v>
      </c>
      <c r="Z413" s="2">
        <v>455.60854069690146</v>
      </c>
      <c r="AA413" s="2">
        <v>2115.9750508596057</v>
      </c>
      <c r="AB413" s="2">
        <v>1459.5157028456053</v>
      </c>
      <c r="AC413" s="2">
        <v>1930.0596751485753</v>
      </c>
      <c r="AD413" s="2">
        <v>1657.0135442127528</v>
      </c>
      <c r="AE413" s="2">
        <v>564.34669590023816</v>
      </c>
      <c r="AF413" s="2">
        <v>1336.5009947059511</v>
      </c>
      <c r="AG413" s="2">
        <v>167.84235552249839</v>
      </c>
      <c r="AH413" s="2">
        <v>308.50071555795898</v>
      </c>
      <c r="AI413" s="2">
        <v>426474.31652843277</v>
      </c>
      <c r="AJ413" s="2">
        <v>375420.07022655895</v>
      </c>
      <c r="AL413" s="27">
        <v>0.91732858829693131</v>
      </c>
      <c r="AM413" s="27">
        <v>0.91508467293283524</v>
      </c>
      <c r="AN413" s="27">
        <v>0.91142103078451431</v>
      </c>
      <c r="AO413" s="27">
        <v>0.84480587570793764</v>
      </c>
      <c r="AP413" s="27">
        <v>0.6835796233616771</v>
      </c>
      <c r="AQ413" s="27">
        <v>0.91732858829693131</v>
      </c>
      <c r="AR413" s="27">
        <v>0.91508467293283524</v>
      </c>
      <c r="AS413" s="27">
        <v>0.91142103078451431</v>
      </c>
      <c r="AT413" s="27">
        <v>0.84480587570793764</v>
      </c>
      <c r="AU413" s="27">
        <v>0.6835796233616771</v>
      </c>
      <c r="AW413" s="1">
        <v>13.529520270647915</v>
      </c>
      <c r="AX413" s="1">
        <v>15.568555400394375</v>
      </c>
      <c r="AY413" s="2">
        <v>1468894.1813254117</v>
      </c>
      <c r="AZ413" s="1">
        <v>15.265218403596009</v>
      </c>
      <c r="BA413" s="1">
        <v>17.252720859002086</v>
      </c>
      <c r="BB413" s="2">
        <v>1103483.6861048238</v>
      </c>
      <c r="BC413" s="2">
        <f t="shared" si="49"/>
        <v>-365410.49522058782</v>
      </c>
      <c r="BD413" s="292">
        <f t="shared" si="50"/>
        <v>1.7356981329480945</v>
      </c>
      <c r="BF413" s="170">
        <f t="shared" si="45"/>
        <v>695829.0619782547</v>
      </c>
      <c r="BG413" s="2">
        <f t="shared" si="46"/>
        <v>1338951.2584705376</v>
      </c>
      <c r="BI413">
        <f t="shared" si="47"/>
        <v>0</v>
      </c>
      <c r="BJ413" s="95">
        <f t="shared" si="48"/>
        <v>1</v>
      </c>
      <c r="BP413" s="217">
        <f t="shared" si="51"/>
        <v>1338951.2584705376</v>
      </c>
    </row>
    <row r="414" spans="1:68">
      <c r="A414" s="11">
        <v>408</v>
      </c>
      <c r="C414" s="27">
        <v>0.92296008789139827</v>
      </c>
      <c r="D414" s="27">
        <v>7.7039912108601727E-2</v>
      </c>
      <c r="E414" s="27">
        <v>0</v>
      </c>
      <c r="F414" s="27">
        <v>0.86054376413727907</v>
      </c>
      <c r="G414" s="27">
        <v>0.13945623586272099</v>
      </c>
      <c r="H414" s="27">
        <v>0</v>
      </c>
      <c r="I414" s="27">
        <v>0.75279874124560753</v>
      </c>
      <c r="J414" s="27">
        <v>0.24720125875439247</v>
      </c>
      <c r="K414" s="27">
        <v>0</v>
      </c>
      <c r="L414" s="27">
        <v>0.21426450849471268</v>
      </c>
      <c r="M414" s="27">
        <v>0.46150760048867862</v>
      </c>
      <c r="N414" s="27">
        <v>0.32422789101660865</v>
      </c>
      <c r="O414" s="27">
        <v>-11.116538272118007</v>
      </c>
      <c r="P414" s="27">
        <v>3.334760002349952E-2</v>
      </c>
      <c r="Q414" s="27">
        <v>6.0314436528798046E-5</v>
      </c>
      <c r="R414" s="27">
        <v>1.0778336393849857</v>
      </c>
      <c r="S414" s="154"/>
      <c r="T414">
        <v>1.0042898256471182</v>
      </c>
      <c r="U414">
        <v>2.257857787243549</v>
      </c>
      <c r="V414">
        <v>3.1021295292074149</v>
      </c>
      <c r="W414">
        <v>1</v>
      </c>
      <c r="Y414" s="2">
        <v>1947.7488444894313</v>
      </c>
      <c r="Z414" s="2">
        <v>2252.1036198777342</v>
      </c>
      <c r="AA414" s="2">
        <v>222.75668694063424</v>
      </c>
      <c r="AB414" s="2">
        <v>8631.1367639383734</v>
      </c>
      <c r="AC414" s="2">
        <v>177.8613516174932</v>
      </c>
      <c r="AD414" s="2">
        <v>971.88765589702223</v>
      </c>
      <c r="AE414" s="2">
        <v>597.17612702586121</v>
      </c>
      <c r="AF414" s="2">
        <v>1478.7398470429378</v>
      </c>
      <c r="AG414" s="2">
        <v>181.88881031231122</v>
      </c>
      <c r="AH414" s="2">
        <v>326.39880729959293</v>
      </c>
      <c r="AI414" s="2">
        <v>505102.56856121583</v>
      </c>
      <c r="AJ414" s="2">
        <v>471950.04442304251</v>
      </c>
      <c r="AL414" s="27">
        <v>0.91114189234974485</v>
      </c>
      <c r="AM414" s="27">
        <v>0.92178515401741379</v>
      </c>
      <c r="AN414" s="27">
        <v>0.90608948774133213</v>
      </c>
      <c r="AO414" s="27">
        <v>0.88500273408380425</v>
      </c>
      <c r="AP414" s="27">
        <v>0.69441465080133868</v>
      </c>
      <c r="AQ414" s="27">
        <v>0.91114189234974485</v>
      </c>
      <c r="AR414" s="27">
        <v>0.92178515401741379</v>
      </c>
      <c r="AS414" s="27">
        <v>0.90608948774133213</v>
      </c>
      <c r="AT414" s="27">
        <v>0.88500273408380425</v>
      </c>
      <c r="AU414" s="27">
        <v>0.69441465080133868</v>
      </c>
      <c r="AW414" s="1">
        <v>13.562990825474248</v>
      </c>
      <c r="AX414" s="1">
        <v>15.65812216156341</v>
      </c>
      <c r="AY414" s="2">
        <v>1942690.302968601</v>
      </c>
      <c r="AZ414" s="1">
        <v>15.440807837489601</v>
      </c>
      <c r="BA414" s="1">
        <v>17.466931572714433</v>
      </c>
      <c r="BB414" s="2">
        <v>1492600.4346725936</v>
      </c>
      <c r="BC414" s="2">
        <f t="shared" si="49"/>
        <v>-450089.86829600739</v>
      </c>
      <c r="BD414" s="292">
        <f t="shared" si="50"/>
        <v>1.8778170120153526</v>
      </c>
      <c r="BF414" s="170">
        <f t="shared" si="45"/>
        <v>227388.22910727863</v>
      </c>
      <c r="BG414" s="2">
        <f t="shared" si="46"/>
        <v>977928.81932574231</v>
      </c>
      <c r="BI414">
        <f t="shared" si="47"/>
        <v>0</v>
      </c>
      <c r="BJ414" s="95">
        <f t="shared" si="48"/>
        <v>1</v>
      </c>
      <c r="BP414" s="217">
        <f t="shared" si="51"/>
        <v>977928.81932574231</v>
      </c>
    </row>
    <row r="415" spans="1:68">
      <c r="A415" s="11">
        <v>409</v>
      </c>
      <c r="C415" s="27">
        <v>0.9220692078278504</v>
      </c>
      <c r="D415" s="27">
        <v>7.7930792172149599E-2</v>
      </c>
      <c r="E415" s="27">
        <v>0</v>
      </c>
      <c r="F415" s="27">
        <v>0.85067794299995192</v>
      </c>
      <c r="G415" s="27">
        <v>0.14932205700004808</v>
      </c>
      <c r="H415" s="27">
        <v>0</v>
      </c>
      <c r="I415" s="27">
        <v>0.75192967467959726</v>
      </c>
      <c r="J415" s="27">
        <v>0.24807032532040274</v>
      </c>
      <c r="K415" s="27">
        <v>0</v>
      </c>
      <c r="L415" s="27">
        <v>0.10876514346759053</v>
      </c>
      <c r="M415" s="27">
        <v>0.528494544697514</v>
      </c>
      <c r="N415" s="27">
        <v>0.36274031183489547</v>
      </c>
      <c r="O415" s="27">
        <v>-11.480772795663876</v>
      </c>
      <c r="P415" s="27">
        <v>3.8153534844548628E-2</v>
      </c>
      <c r="Q415" s="27">
        <v>5.127412432343885E-5</v>
      </c>
      <c r="R415" s="27">
        <v>1.0785970028298291</v>
      </c>
      <c r="S415" s="154"/>
      <c r="T415">
        <v>1.0862657773682032</v>
      </c>
      <c r="U415">
        <v>2.3247391571280329</v>
      </c>
      <c r="V415">
        <v>2.8759001128816628</v>
      </c>
      <c r="W415">
        <v>1</v>
      </c>
      <c r="Y415" s="2">
        <v>13.887722282160563</v>
      </c>
      <c r="Z415" s="2">
        <v>1196.4731876655856</v>
      </c>
      <c r="AA415" s="2">
        <v>4125.3732378896084</v>
      </c>
      <c r="AB415" s="2">
        <v>8438.8606913223048</v>
      </c>
      <c r="AC415" s="2">
        <v>502.23353064728366</v>
      </c>
      <c r="AD415" s="2">
        <v>776.44026941786331</v>
      </c>
      <c r="AE415" s="2">
        <v>509.28584525051974</v>
      </c>
      <c r="AF415" s="2">
        <v>1086.1606686228972</v>
      </c>
      <c r="AG415" s="2">
        <v>165.36018319702927</v>
      </c>
      <c r="AH415" s="2">
        <v>238.5184782052695</v>
      </c>
      <c r="AI415" s="2">
        <v>507629.86118239048</v>
      </c>
      <c r="AJ415" s="2">
        <v>477294.2953107534</v>
      </c>
      <c r="AL415" s="27">
        <v>0.9210112890285983</v>
      </c>
      <c r="AM415" s="27">
        <v>0.913064875524768</v>
      </c>
      <c r="AN415" s="27">
        <v>0.90222598984522628</v>
      </c>
      <c r="AO415" s="27">
        <v>0.87827389324031324</v>
      </c>
      <c r="AP415" s="27">
        <v>0.69415215404823205</v>
      </c>
      <c r="AQ415" s="27">
        <v>0.9210112890285983</v>
      </c>
      <c r="AR415" s="27">
        <v>0.913064875524768</v>
      </c>
      <c r="AS415" s="27">
        <v>0.90222598984522628</v>
      </c>
      <c r="AT415" s="27">
        <v>0.87827389324031324</v>
      </c>
      <c r="AU415" s="27">
        <v>0.69415215404823205</v>
      </c>
      <c r="AW415" s="1">
        <v>13.399492337943764</v>
      </c>
      <c r="AX415" s="1">
        <v>15.516242526910537</v>
      </c>
      <c r="AY415" s="2">
        <v>2189077.6904271576</v>
      </c>
      <c r="AZ415" s="1">
        <v>15.420045598593465</v>
      </c>
      <c r="BA415" s="1">
        <v>17.451761088894113</v>
      </c>
      <c r="BB415" s="2">
        <v>1700716.42952777</v>
      </c>
      <c r="BC415" s="2">
        <f t="shared" si="49"/>
        <v>-488361.26089938753</v>
      </c>
      <c r="BD415" s="292">
        <f t="shared" si="50"/>
        <v>2.0205532606497005</v>
      </c>
      <c r="BF415" s="170">
        <f t="shared" si="45"/>
        <v>-45158.916356155183</v>
      </c>
      <c r="BG415" s="2">
        <f t="shared" si="46"/>
        <v>766490.86624718434</v>
      </c>
      <c r="BI415">
        <f t="shared" si="47"/>
        <v>0</v>
      </c>
      <c r="BJ415" s="95">
        <f t="shared" si="48"/>
        <v>1</v>
      </c>
      <c r="BP415" s="217">
        <f t="shared" si="51"/>
        <v>766490.86624718434</v>
      </c>
    </row>
    <row r="416" spans="1:68">
      <c r="A416" s="11">
        <v>410</v>
      </c>
      <c r="C416" s="27">
        <v>0.92523770778317271</v>
      </c>
      <c r="D416" s="27">
        <v>7.4762292216827259E-2</v>
      </c>
      <c r="E416" s="27">
        <v>0</v>
      </c>
      <c r="F416" s="27">
        <v>0.86307318642330644</v>
      </c>
      <c r="G416" s="27">
        <v>0.13692681357669356</v>
      </c>
      <c r="H416" s="27">
        <v>0</v>
      </c>
      <c r="I416" s="27">
        <v>0.74778669326307268</v>
      </c>
      <c r="J416" s="27">
        <v>0.25221330673692732</v>
      </c>
      <c r="K416" s="27">
        <v>0</v>
      </c>
      <c r="L416" s="27">
        <v>0.10646926888081898</v>
      </c>
      <c r="M416" s="27">
        <v>0.48650384803855101</v>
      </c>
      <c r="N416" s="27">
        <v>0.40702688308062995</v>
      </c>
      <c r="O416" s="27">
        <v>-10.882419020238668</v>
      </c>
      <c r="P416" s="27">
        <v>3.2140416214490757E-2</v>
      </c>
      <c r="Q416" s="27">
        <v>7.245669106410225E-5</v>
      </c>
      <c r="R416" s="27">
        <v>1.0633367577451951</v>
      </c>
      <c r="S416" s="154"/>
      <c r="T416">
        <v>0.8998055845204892</v>
      </c>
      <c r="U416">
        <v>2.1899493445068301</v>
      </c>
      <c r="V416">
        <v>3.2393691272834686</v>
      </c>
      <c r="W416">
        <v>1</v>
      </c>
      <c r="Y416" s="2">
        <v>488.82262726754391</v>
      </c>
      <c r="Z416" s="2">
        <v>4218.5523671781893</v>
      </c>
      <c r="AA416" s="2">
        <v>202.40478942864124</v>
      </c>
      <c r="AB416" s="2">
        <v>114.37308304242232</v>
      </c>
      <c r="AC416" s="2">
        <v>1490.5238510927122</v>
      </c>
      <c r="AD416" s="2">
        <v>1185.3741542954569</v>
      </c>
      <c r="AE416" s="2">
        <v>548.49409699013484</v>
      </c>
      <c r="AF416" s="2">
        <v>817.64378226064412</v>
      </c>
      <c r="AG416" s="2">
        <v>141.58507746284656</v>
      </c>
      <c r="AH416" s="2">
        <v>469.61748886563237</v>
      </c>
      <c r="AI416" s="2">
        <v>449959.85135000886</v>
      </c>
      <c r="AJ416" s="2">
        <v>422027.97204609856</v>
      </c>
      <c r="AL416" s="27">
        <v>0.91549675678432896</v>
      </c>
      <c r="AM416" s="27">
        <v>0.91044902299554809</v>
      </c>
      <c r="AN416" s="27">
        <v>0.91446729375194247</v>
      </c>
      <c r="AO416" s="27">
        <v>0.83090786355201307</v>
      </c>
      <c r="AP416" s="27">
        <v>0.64067470727729781</v>
      </c>
      <c r="AQ416" s="27">
        <v>0.91549675678432896</v>
      </c>
      <c r="AR416" s="27">
        <v>0.91044902299554809</v>
      </c>
      <c r="AS416" s="27">
        <v>0.91446729375194247</v>
      </c>
      <c r="AT416" s="27">
        <v>0.83090786355201307</v>
      </c>
      <c r="AU416" s="27">
        <v>0.64067470727729781</v>
      </c>
      <c r="AW416" s="1">
        <v>13.599416435979032</v>
      </c>
      <c r="AX416" s="1">
        <v>15.751903873172379</v>
      </c>
      <c r="AY416" s="2">
        <v>1525109.0022589876</v>
      </c>
      <c r="AZ416" s="1">
        <v>15.211374895483537</v>
      </c>
      <c r="BA416" s="1">
        <v>17.29928752566223</v>
      </c>
      <c r="BB416" s="2">
        <v>1097216.7019736876</v>
      </c>
      <c r="BC416" s="2">
        <f t="shared" si="49"/>
        <v>-427892.30028530001</v>
      </c>
      <c r="BD416" s="292">
        <f t="shared" si="50"/>
        <v>1.6119584595045051</v>
      </c>
      <c r="BF416" s="170">
        <f t="shared" si="45"/>
        <v>650797.62749765767</v>
      </c>
      <c r="BG416" s="2">
        <f t="shared" si="46"/>
        <v>1336603.2813036784</v>
      </c>
      <c r="BI416">
        <f t="shared" si="47"/>
        <v>0</v>
      </c>
      <c r="BJ416" s="95">
        <f t="shared" si="48"/>
        <v>1</v>
      </c>
      <c r="BP416" s="217">
        <f t="shared" si="51"/>
        <v>1336603.2813036784</v>
      </c>
    </row>
    <row r="417" spans="1:68">
      <c r="A417" s="11">
        <v>411</v>
      </c>
      <c r="C417" s="27">
        <v>0.92716464994305925</v>
      </c>
      <c r="D417" s="27">
        <v>7.2835350056940709E-2</v>
      </c>
      <c r="E417" s="27">
        <v>0</v>
      </c>
      <c r="F417" s="27">
        <v>0.85319665161655289</v>
      </c>
      <c r="G417" s="27">
        <v>0.14680334838344711</v>
      </c>
      <c r="H417" s="27">
        <v>0</v>
      </c>
      <c r="I417" s="27">
        <v>0.74194570768555523</v>
      </c>
      <c r="J417" s="27">
        <v>0.25805429231444477</v>
      </c>
      <c r="K417" s="27">
        <v>0</v>
      </c>
      <c r="L417" s="27">
        <v>0.24182505616358946</v>
      </c>
      <c r="M417" s="27">
        <v>0.42289691979623933</v>
      </c>
      <c r="N417" s="27">
        <v>0.33527802404017121</v>
      </c>
      <c r="O417" s="27">
        <v>-11.03183109707947</v>
      </c>
      <c r="P417" s="27">
        <v>3.4174759647330237E-2</v>
      </c>
      <c r="Q417" s="27">
        <v>6.7966801047799632E-5</v>
      </c>
      <c r="R417" s="27">
        <v>1.0641900108716356</v>
      </c>
      <c r="S417" s="154"/>
      <c r="T417">
        <v>1.0783093197479705</v>
      </c>
      <c r="U417">
        <v>2.2403536183158765</v>
      </c>
      <c r="V417">
        <v>3.1444712400525749</v>
      </c>
      <c r="W417">
        <v>1</v>
      </c>
      <c r="Y417" s="2">
        <v>152.3304914054608</v>
      </c>
      <c r="Z417" s="2">
        <v>28391.351577276979</v>
      </c>
      <c r="AA417" s="2">
        <v>1786.9198081217226</v>
      </c>
      <c r="AB417" s="2">
        <v>3018.8203964298068</v>
      </c>
      <c r="AC417" s="2">
        <v>1212.6296142238796</v>
      </c>
      <c r="AD417" s="2">
        <v>31.222948563918536</v>
      </c>
      <c r="AE417" s="2">
        <v>569.48365983765189</v>
      </c>
      <c r="AF417" s="2">
        <v>912.72374230976322</v>
      </c>
      <c r="AG417" s="2">
        <v>55.069703709209797</v>
      </c>
      <c r="AH417" s="2">
        <v>350.6242642212664</v>
      </c>
      <c r="AI417" s="2">
        <v>570062.82746008772</v>
      </c>
      <c r="AJ417" s="2">
        <v>545635.43509409926</v>
      </c>
      <c r="AL417" s="27">
        <v>0.91905497486380128</v>
      </c>
      <c r="AM417" s="27">
        <v>0.91895174242922928</v>
      </c>
      <c r="AN417" s="27">
        <v>0.90853087503654573</v>
      </c>
      <c r="AO417" s="27">
        <v>0.87571794482067566</v>
      </c>
      <c r="AP417" s="27">
        <v>0.61796701190993597</v>
      </c>
      <c r="AQ417" s="27">
        <v>0.91905497486380128</v>
      </c>
      <c r="AR417" s="27">
        <v>0.91895174242922928</v>
      </c>
      <c r="AS417" s="27">
        <v>0.90853087503654573</v>
      </c>
      <c r="AT417" s="27">
        <v>0.87571794482067566</v>
      </c>
      <c r="AU417" s="27">
        <v>0.61796701190993597</v>
      </c>
      <c r="AW417" s="1">
        <v>13.178802526205095</v>
      </c>
      <c r="AX417" s="1">
        <v>15.411783277729723</v>
      </c>
      <c r="AY417" s="2">
        <v>2508035.2951202388</v>
      </c>
      <c r="AZ417" s="1">
        <v>15.279945651318799</v>
      </c>
      <c r="BA417" s="1">
        <v>17.377913482892787</v>
      </c>
      <c r="BB417" s="2">
        <v>1527521.3703067489</v>
      </c>
      <c r="BC417" s="2">
        <f t="shared" si="49"/>
        <v>-980513.9248134899</v>
      </c>
      <c r="BD417" s="292">
        <f t="shared" si="50"/>
        <v>2.1011431251137047</v>
      </c>
      <c r="BF417" s="170">
        <f t="shared" si="45"/>
        <v>-399426.89092742372</v>
      </c>
      <c r="BG417" s="2">
        <f t="shared" si="46"/>
        <v>917269.933904259</v>
      </c>
      <c r="BI417">
        <f t="shared" si="47"/>
        <v>0</v>
      </c>
      <c r="BJ417" s="95">
        <f t="shared" si="48"/>
        <v>1</v>
      </c>
      <c r="BP417" s="217">
        <f t="shared" si="51"/>
        <v>917269.933904259</v>
      </c>
    </row>
    <row r="418" spans="1:68">
      <c r="A418" s="11">
        <v>412</v>
      </c>
      <c r="C418" s="27">
        <v>0.92110531628998515</v>
      </c>
      <c r="D418" s="27">
        <v>7.8894683710014846E-2</v>
      </c>
      <c r="E418" s="27">
        <v>0</v>
      </c>
      <c r="F418" s="27">
        <v>0.85266708099148714</v>
      </c>
      <c r="G418" s="27">
        <v>0.14733291900851286</v>
      </c>
      <c r="H418" s="27">
        <v>0</v>
      </c>
      <c r="I418" s="27">
        <v>0.74542651156375161</v>
      </c>
      <c r="J418" s="27">
        <v>0.25457348843624839</v>
      </c>
      <c r="K418" s="27">
        <v>0</v>
      </c>
      <c r="L418" s="27">
        <v>0.20437650869459822</v>
      </c>
      <c r="M418" s="27">
        <v>0.43325822753214571</v>
      </c>
      <c r="N418" s="27">
        <v>0.36236526377325606</v>
      </c>
      <c r="O418" s="27">
        <v>-11.083018736127729</v>
      </c>
      <c r="P418" s="27">
        <v>3.5255805742346741E-2</v>
      </c>
      <c r="Q418" s="27">
        <v>6.7574835850563663E-5</v>
      </c>
      <c r="R418" s="27">
        <v>1.0559314954330121</v>
      </c>
      <c r="S418" s="154"/>
      <c r="T418">
        <v>0.98168616584523538</v>
      </c>
      <c r="U418">
        <v>2.2883352256693743</v>
      </c>
      <c r="V418">
        <v>3.3512586410162406</v>
      </c>
      <c r="W418">
        <v>1</v>
      </c>
      <c r="Y418" s="2">
        <v>234.35409933709178</v>
      </c>
      <c r="Z418" s="2">
        <v>2162.9106211590238</v>
      </c>
      <c r="AA418" s="2">
        <v>133.46390669028145</v>
      </c>
      <c r="AB418" s="2">
        <v>456.58663252345286</v>
      </c>
      <c r="AC418" s="2">
        <v>723.50455826768996</v>
      </c>
      <c r="AD418" s="2">
        <v>2154.4230139321112</v>
      </c>
      <c r="AE418" s="2">
        <v>625.07482842774448</v>
      </c>
      <c r="AF418" s="2">
        <v>1187.8448992246515</v>
      </c>
      <c r="AG418" s="2">
        <v>91.31538104180845</v>
      </c>
      <c r="AH418" s="2">
        <v>286.44334081099953</v>
      </c>
      <c r="AI418" s="2">
        <v>443594.74482706405</v>
      </c>
      <c r="AJ418" s="2">
        <v>402534.20860516577</v>
      </c>
      <c r="AL418" s="27">
        <v>0.92225976901465623</v>
      </c>
      <c r="AM418" s="27">
        <v>0.91251037740258045</v>
      </c>
      <c r="AN418" s="27">
        <v>0.90875810746847285</v>
      </c>
      <c r="AO418" s="27">
        <v>0.88074272459227743</v>
      </c>
      <c r="AP418" s="27">
        <v>0.69626910086474925</v>
      </c>
      <c r="AQ418" s="27">
        <v>0.92225976901465623</v>
      </c>
      <c r="AR418" s="27">
        <v>0.91251037740258045</v>
      </c>
      <c r="AS418" s="27">
        <v>0.90875810746847285</v>
      </c>
      <c r="AT418" s="27">
        <v>0.88074272459227743</v>
      </c>
      <c r="AU418" s="27">
        <v>0.69626910086474925</v>
      </c>
      <c r="AW418" s="1">
        <v>13.431769196530478</v>
      </c>
      <c r="AX418" s="1">
        <v>15.4031309375784</v>
      </c>
      <c r="AY418" s="2">
        <v>1623196.5883253638</v>
      </c>
      <c r="AZ418" s="1">
        <v>15.282782976112978</v>
      </c>
      <c r="BA418" s="1">
        <v>17.215589988027066</v>
      </c>
      <c r="BB418" s="2">
        <v>1179192.5327307764</v>
      </c>
      <c r="BC418" s="2">
        <f t="shared" si="49"/>
        <v>-444004.05559458747</v>
      </c>
      <c r="BD418" s="292">
        <f t="shared" si="50"/>
        <v>1.8510137795824999</v>
      </c>
      <c r="BF418" s="170">
        <f t="shared" si="45"/>
        <v>525886.48311951268</v>
      </c>
      <c r="BG418" s="2">
        <f t="shared" si="46"/>
        <v>1266052.7434473</v>
      </c>
      <c r="BI418">
        <f t="shared" si="47"/>
        <v>0</v>
      </c>
      <c r="BJ418" s="95">
        <f t="shared" si="48"/>
        <v>1</v>
      </c>
      <c r="BP418" s="217">
        <f t="shared" si="51"/>
        <v>1266052.7434473</v>
      </c>
    </row>
    <row r="419" spans="1:68">
      <c r="A419" s="11">
        <v>413</v>
      </c>
      <c r="C419" s="27">
        <v>0.92061485186041603</v>
      </c>
      <c r="D419" s="27">
        <v>7.9385148139583972E-2</v>
      </c>
      <c r="E419" s="27">
        <v>0</v>
      </c>
      <c r="F419" s="27">
        <v>0.85277973868628654</v>
      </c>
      <c r="G419" s="27">
        <v>0.14722026131371346</v>
      </c>
      <c r="H419" s="27">
        <v>0</v>
      </c>
      <c r="I419" s="27">
        <v>0.75683866452053983</v>
      </c>
      <c r="J419" s="27">
        <v>0.24316133547946014</v>
      </c>
      <c r="K419" s="27">
        <v>0</v>
      </c>
      <c r="L419" s="27">
        <v>0.17592533843060154</v>
      </c>
      <c r="M419" s="27">
        <v>0.47238381968658416</v>
      </c>
      <c r="N419" s="27">
        <v>0.3516908418828143</v>
      </c>
      <c r="O419" s="27">
        <v>-11.218750044313433</v>
      </c>
      <c r="P419" s="27">
        <v>3.5388971753666634E-2</v>
      </c>
      <c r="Q419" s="27">
        <v>5.9328946725893717E-5</v>
      </c>
      <c r="R419" s="27">
        <v>1.0813132017998262</v>
      </c>
      <c r="S419" s="154"/>
      <c r="T419">
        <v>0.97673753094132254</v>
      </c>
      <c r="U419">
        <v>2.249806864251827</v>
      </c>
      <c r="V419">
        <v>3.0160797488420221</v>
      </c>
      <c r="W419">
        <v>1</v>
      </c>
      <c r="Y419" s="2">
        <v>764.76734709534833</v>
      </c>
      <c r="Z419" s="2">
        <v>2998.2165577889446</v>
      </c>
      <c r="AA419" s="2">
        <v>1307.8408435784941</v>
      </c>
      <c r="AB419" s="2">
        <v>1458.4924554627496</v>
      </c>
      <c r="AC419" s="2">
        <v>45.142431349183475</v>
      </c>
      <c r="AD419" s="2">
        <v>149.45276739219005</v>
      </c>
      <c r="AE419" s="2">
        <v>556.81380969726445</v>
      </c>
      <c r="AF419" s="2">
        <v>820.62158999307815</v>
      </c>
      <c r="AG419" s="2">
        <v>123.50158743499979</v>
      </c>
      <c r="AH419" s="2">
        <v>316.57978574128373</v>
      </c>
      <c r="AI419" s="2">
        <v>539770.22541420581</v>
      </c>
      <c r="AJ419" s="2">
        <v>504344.57280658116</v>
      </c>
      <c r="AL419" s="27">
        <v>0.920458781033753</v>
      </c>
      <c r="AM419" s="27">
        <v>0.90857058032223714</v>
      </c>
      <c r="AN419" s="27">
        <v>0.91888678366034648</v>
      </c>
      <c r="AO419" s="27">
        <v>0.87865228814530938</v>
      </c>
      <c r="AP419" s="27">
        <v>0.7659644690216767</v>
      </c>
      <c r="AQ419" s="27">
        <v>0.920458781033753</v>
      </c>
      <c r="AR419" s="27">
        <v>0.90857058032223714</v>
      </c>
      <c r="AS419" s="27">
        <v>0.91888678366034648</v>
      </c>
      <c r="AT419" s="27">
        <v>0.87865228814530938</v>
      </c>
      <c r="AU419" s="27">
        <v>0.7659644690216767</v>
      </c>
      <c r="AW419" s="1">
        <v>13.726915593865279</v>
      </c>
      <c r="AX419" s="1">
        <v>15.501868801066514</v>
      </c>
      <c r="AY419" s="2">
        <v>2017802.7043323519</v>
      </c>
      <c r="AZ419" s="1">
        <v>15.468319963325257</v>
      </c>
      <c r="BA419" s="1">
        <v>17.262361092956649</v>
      </c>
      <c r="BB419" s="2">
        <v>1458996.705150794</v>
      </c>
      <c r="BC419" s="2">
        <f t="shared" si="49"/>
        <v>-558805.99918155791</v>
      </c>
      <c r="BD419" s="292">
        <f t="shared" si="50"/>
        <v>1.7414043694599783</v>
      </c>
      <c r="BF419" s="170">
        <f t="shared" si="45"/>
        <v>178503.79068609257</v>
      </c>
      <c r="BG419" s="2">
        <f t="shared" si="46"/>
        <v>1015934.4889812472</v>
      </c>
      <c r="BI419">
        <f t="shared" si="47"/>
        <v>0</v>
      </c>
      <c r="BJ419" s="95">
        <f t="shared" si="48"/>
        <v>1</v>
      </c>
      <c r="BP419" s="217">
        <f t="shared" si="51"/>
        <v>1015934.4889812472</v>
      </c>
    </row>
    <row r="420" spans="1:68">
      <c r="A420" s="11">
        <v>414</v>
      </c>
      <c r="C420" s="27">
        <v>0.92296040148516056</v>
      </c>
      <c r="D420" s="27">
        <v>7.7039598514839436E-2</v>
      </c>
      <c r="E420" s="27">
        <v>0</v>
      </c>
      <c r="F420" s="27">
        <v>0.85432081154438477</v>
      </c>
      <c r="G420" s="27">
        <v>0.14567918845561523</v>
      </c>
      <c r="H420" s="27">
        <v>0</v>
      </c>
      <c r="I420" s="27">
        <v>0.74366765634593135</v>
      </c>
      <c r="J420" s="27">
        <v>0.25633234365406865</v>
      </c>
      <c r="K420" s="27">
        <v>0</v>
      </c>
      <c r="L420" s="27">
        <v>0.12796915800021852</v>
      </c>
      <c r="M420" s="27">
        <v>0.50070744513830201</v>
      </c>
      <c r="N420" s="27">
        <v>0.37132339686147947</v>
      </c>
      <c r="O420" s="27">
        <v>-10.728645586901223</v>
      </c>
      <c r="P420" s="27">
        <v>2.9500105687060279E-2</v>
      </c>
      <c r="Q420" s="27">
        <v>7.5631238833451898E-5</v>
      </c>
      <c r="R420" s="27">
        <v>1.0516216533436329</v>
      </c>
      <c r="S420" s="154"/>
      <c r="T420">
        <v>0.95973751221862691</v>
      </c>
      <c r="U420">
        <v>2.2381071778458539</v>
      </c>
      <c r="V420">
        <v>2.9053201335356111</v>
      </c>
      <c r="W420">
        <v>1</v>
      </c>
      <c r="Y420" s="2">
        <v>63.908501656644034</v>
      </c>
      <c r="Z420" s="2">
        <v>10540.850731593984</v>
      </c>
      <c r="AA420" s="2">
        <v>936.89577757299844</v>
      </c>
      <c r="AB420" s="2">
        <v>288.05884725187781</v>
      </c>
      <c r="AC420" s="2">
        <v>1444.4687568799927</v>
      </c>
      <c r="AD420" s="2">
        <v>51.272580453672532</v>
      </c>
      <c r="AE420" s="2">
        <v>503.67704878244854</v>
      </c>
      <c r="AF420" s="2">
        <v>939.12346164506084</v>
      </c>
      <c r="AG420" s="2">
        <v>127.78647454270691</v>
      </c>
      <c r="AH420" s="2">
        <v>295.59997931931969</v>
      </c>
      <c r="AI420" s="2">
        <v>400370.46868106193</v>
      </c>
      <c r="AJ420" s="2">
        <v>369442.17087031773</v>
      </c>
      <c r="AL420" s="27">
        <v>0.9042223358528525</v>
      </c>
      <c r="AM420" s="27">
        <v>0.91440188215588691</v>
      </c>
      <c r="AN420" s="27">
        <v>0.91911774592070539</v>
      </c>
      <c r="AO420" s="27">
        <v>0.78851761964219114</v>
      </c>
      <c r="AP420" s="27">
        <v>0.77083697540946516</v>
      </c>
      <c r="AQ420" s="27">
        <v>0.9042223358528525</v>
      </c>
      <c r="AR420" s="27">
        <v>0.91440188215588691</v>
      </c>
      <c r="AS420" s="27">
        <v>0.91911774592070539</v>
      </c>
      <c r="AT420" s="27">
        <v>0.78851761964219114</v>
      </c>
      <c r="AU420" s="27">
        <v>0.77083697540946516</v>
      </c>
      <c r="AW420" s="1">
        <v>13.713203573199038</v>
      </c>
      <c r="AX420" s="1">
        <v>15.679431202362691</v>
      </c>
      <c r="AY420" s="2">
        <v>1607213.0367937344</v>
      </c>
      <c r="AZ420" s="1">
        <v>15.35209176611386</v>
      </c>
      <c r="BA420" s="1">
        <v>17.311948656502693</v>
      </c>
      <c r="BB420" s="2">
        <v>1079640.6100273754</v>
      </c>
      <c r="BC420" s="2">
        <f t="shared" si="49"/>
        <v>-527572.42676635901</v>
      </c>
      <c r="BD420" s="292">
        <f t="shared" si="50"/>
        <v>1.6388881929148216</v>
      </c>
      <c r="BF420" s="170">
        <f t="shared" si="45"/>
        <v>586899.53491811175</v>
      </c>
      <c r="BG420" s="2">
        <f t="shared" si="46"/>
        <v>1376694.0725508423</v>
      </c>
      <c r="BI420">
        <f t="shared" si="47"/>
        <v>0</v>
      </c>
      <c r="BJ420" s="95">
        <f t="shared" si="48"/>
        <v>1</v>
      </c>
      <c r="BP420" s="217">
        <f t="shared" si="51"/>
        <v>1376694.0725508423</v>
      </c>
    </row>
    <row r="421" spans="1:68">
      <c r="A421" s="11">
        <v>415</v>
      </c>
      <c r="C421" s="27">
        <v>0.92318440259544554</v>
      </c>
      <c r="D421" s="27">
        <v>7.6815597404554473E-2</v>
      </c>
      <c r="E421" s="27">
        <v>0</v>
      </c>
      <c r="F421" s="27">
        <v>0.85703967405921266</v>
      </c>
      <c r="G421" s="27">
        <v>0.14296032594078734</v>
      </c>
      <c r="H421" s="27">
        <v>0</v>
      </c>
      <c r="I421" s="27">
        <v>0.75539558597601542</v>
      </c>
      <c r="J421" s="27">
        <v>0.24460441402398461</v>
      </c>
      <c r="K421" s="27">
        <v>0</v>
      </c>
      <c r="L421" s="27">
        <v>0.12790205204412614</v>
      </c>
      <c r="M421" s="27">
        <v>0.50364262585847897</v>
      </c>
      <c r="N421" s="27">
        <v>0.3684553220973949</v>
      </c>
      <c r="O421" s="27">
        <v>-11.321127209561203</v>
      </c>
      <c r="P421" s="27">
        <v>3.6714329910144596E-2</v>
      </c>
      <c r="Q421" s="27">
        <v>5.6621298025286604E-5</v>
      </c>
      <c r="R421" s="27">
        <v>1.0753816549792936</v>
      </c>
      <c r="S421" s="154"/>
      <c r="T421">
        <v>1.0282505069896226</v>
      </c>
      <c r="U421">
        <v>2.181457901347104</v>
      </c>
      <c r="V421">
        <v>3.1904015846489515</v>
      </c>
      <c r="W421">
        <v>1</v>
      </c>
      <c r="Y421" s="2">
        <v>248.46755055713342</v>
      </c>
      <c r="Z421" s="2">
        <v>1301.1441748931613</v>
      </c>
      <c r="AA421" s="2">
        <v>383.49549309032432</v>
      </c>
      <c r="AB421" s="2">
        <v>18055.535789223806</v>
      </c>
      <c r="AC421" s="2">
        <v>1622.9138808423152</v>
      </c>
      <c r="AD421" s="2">
        <v>934.20226534195751</v>
      </c>
      <c r="AE421" s="2">
        <v>583.77856196068683</v>
      </c>
      <c r="AF421" s="2">
        <v>1248.1636249705255</v>
      </c>
      <c r="AG421" s="2">
        <v>147.06336446384267</v>
      </c>
      <c r="AH421" s="2">
        <v>552.40310198792884</v>
      </c>
      <c r="AI421" s="2">
        <v>380733.78381303587</v>
      </c>
      <c r="AJ421" s="2">
        <v>353868.88342058979</v>
      </c>
      <c r="AL421" s="27">
        <v>0.92110524085979917</v>
      </c>
      <c r="AM421" s="27">
        <v>0.91391285322170457</v>
      </c>
      <c r="AN421" s="27">
        <v>0.90739560226501581</v>
      </c>
      <c r="AO421" s="27">
        <v>0.85495565283925024</v>
      </c>
      <c r="AP421" s="27">
        <v>0.78188996323340409</v>
      </c>
      <c r="AQ421" s="27">
        <v>0.92110524085979917</v>
      </c>
      <c r="AR421" s="27">
        <v>0.91391285322170457</v>
      </c>
      <c r="AS421" s="27">
        <v>0.90739560226501581</v>
      </c>
      <c r="AT421" s="27">
        <v>0.85495565283925024</v>
      </c>
      <c r="AU421" s="27">
        <v>0.78188996323340409</v>
      </c>
      <c r="AW421" s="1">
        <v>13.841231054948013</v>
      </c>
      <c r="AX421" s="1">
        <v>15.60513292655933</v>
      </c>
      <c r="AY421" s="2">
        <v>1505784.6994324278</v>
      </c>
      <c r="AZ421" s="1">
        <v>15.657963669435416</v>
      </c>
      <c r="BA421" s="1">
        <v>17.442602383633869</v>
      </c>
      <c r="BB421" s="2">
        <v>1353807.6191110706</v>
      </c>
      <c r="BC421" s="2">
        <f t="shared" si="49"/>
        <v>-151977.08032135712</v>
      </c>
      <c r="BD421" s="292">
        <f t="shared" si="50"/>
        <v>1.8167326144874032</v>
      </c>
      <c r="BF421" s="170">
        <f t="shared" si="45"/>
        <v>708812.26935925451</v>
      </c>
      <c r="BG421" s="2">
        <f t="shared" si="46"/>
        <v>1151466.5679985958</v>
      </c>
      <c r="BI421">
        <f t="shared" si="47"/>
        <v>0</v>
      </c>
      <c r="BJ421" s="95">
        <f t="shared" si="48"/>
        <v>1</v>
      </c>
      <c r="BP421" s="217">
        <f t="shared" si="51"/>
        <v>1151466.5679985958</v>
      </c>
    </row>
    <row r="422" spans="1:68">
      <c r="A422" s="11">
        <v>416</v>
      </c>
      <c r="C422" s="27">
        <v>0.92101369320625903</v>
      </c>
      <c r="D422" s="27">
        <v>7.8986306793740968E-2</v>
      </c>
      <c r="E422" s="27">
        <v>0</v>
      </c>
      <c r="F422" s="27">
        <v>0.85663238577598322</v>
      </c>
      <c r="G422" s="27">
        <v>0.14336761422401678</v>
      </c>
      <c r="H422" s="27">
        <v>0</v>
      </c>
      <c r="I422" s="27">
        <v>0.75233124654980565</v>
      </c>
      <c r="J422" s="27">
        <v>0.24766875345019432</v>
      </c>
      <c r="K422" s="27">
        <v>0</v>
      </c>
      <c r="L422" s="27">
        <v>0.2001030527326369</v>
      </c>
      <c r="M422" s="27">
        <v>0.48566348677393034</v>
      </c>
      <c r="N422" s="27">
        <v>0.31423346049343276</v>
      </c>
      <c r="O422" s="27">
        <v>-10.626611749854911</v>
      </c>
      <c r="P422" s="27">
        <v>3.3328588940014503E-2</v>
      </c>
      <c r="Q422" s="27">
        <v>9.8366425699042247E-5</v>
      </c>
      <c r="R422" s="27">
        <v>1.0067986634483219</v>
      </c>
      <c r="S422" s="154"/>
      <c r="T422">
        <v>0.95998675704921865</v>
      </c>
      <c r="U422">
        <v>2.1775668151594112</v>
      </c>
      <c r="V422">
        <v>2.9129073285542404</v>
      </c>
      <c r="W422">
        <v>1</v>
      </c>
      <c r="Y422" s="2">
        <v>1362.5341547816929</v>
      </c>
      <c r="Z422" s="2">
        <v>2830.5573100762836</v>
      </c>
      <c r="AA422" s="2">
        <v>126.26679826916435</v>
      </c>
      <c r="AB422" s="2">
        <v>4643.0780265559306</v>
      </c>
      <c r="AC422" s="2">
        <v>2062.7763370249845</v>
      </c>
      <c r="AD422" s="2">
        <v>1763.7961505304327</v>
      </c>
      <c r="AE422" s="2">
        <v>521.16447316602137</v>
      </c>
      <c r="AF422" s="2">
        <v>1250.8524094648303</v>
      </c>
      <c r="AG422" s="2">
        <v>147.04918004486595</v>
      </c>
      <c r="AH422" s="2">
        <v>407.94597570997001</v>
      </c>
      <c r="AI422" s="2">
        <v>474413.81280813919</v>
      </c>
      <c r="AJ422" s="2">
        <v>432808.15623123903</v>
      </c>
      <c r="AL422" s="27">
        <v>0.91731917224948156</v>
      </c>
      <c r="AM422" s="27">
        <v>0.91178281415193962</v>
      </c>
      <c r="AN422" s="27">
        <v>0.91222164871037892</v>
      </c>
      <c r="AO422" s="27">
        <v>0.87045122315813062</v>
      </c>
      <c r="AP422" s="27">
        <v>0.73248083580840873</v>
      </c>
      <c r="AQ422" s="27">
        <v>0.91731917224948156</v>
      </c>
      <c r="AR422" s="27">
        <v>0.91178281415193962</v>
      </c>
      <c r="AS422" s="27">
        <v>0.91222164871037892</v>
      </c>
      <c r="AT422" s="27">
        <v>0.87045122315813062</v>
      </c>
      <c r="AU422" s="27">
        <v>0.73248083580840873</v>
      </c>
      <c r="AW422" s="1">
        <v>14.056683627801648</v>
      </c>
      <c r="AX422" s="1">
        <v>16.088147109451327</v>
      </c>
      <c r="AY422" s="2">
        <v>1984946.0543902828</v>
      </c>
      <c r="AZ422" s="1">
        <v>15.629706394143655</v>
      </c>
      <c r="BA422" s="1">
        <v>17.616816642523084</v>
      </c>
      <c r="BB422" s="2">
        <v>1495819.8744807313</v>
      </c>
      <c r="BC422" s="2">
        <f t="shared" si="49"/>
        <v>-489126.17990955152</v>
      </c>
      <c r="BD422" s="292">
        <f t="shared" si="50"/>
        <v>1.5730227663420067</v>
      </c>
      <c r="BF422" s="170">
        <f t="shared" si="45"/>
        <v>264123.32605798077</v>
      </c>
      <c r="BG422" s="2">
        <f t="shared" si="46"/>
        <v>1004933.1485822536</v>
      </c>
      <c r="BI422">
        <f t="shared" si="47"/>
        <v>0</v>
      </c>
      <c r="BJ422" s="95">
        <f t="shared" si="48"/>
        <v>1</v>
      </c>
      <c r="BP422" s="217">
        <f t="shared" si="51"/>
        <v>1004933.1485822536</v>
      </c>
    </row>
    <row r="423" spans="1:68">
      <c r="A423" s="11">
        <v>417</v>
      </c>
      <c r="C423" s="27">
        <v>0.92391926088803633</v>
      </c>
      <c r="D423" s="27">
        <v>7.6080739111963641E-2</v>
      </c>
      <c r="E423" s="27">
        <v>0</v>
      </c>
      <c r="F423" s="27">
        <v>0.86197132791967035</v>
      </c>
      <c r="G423" s="27">
        <v>0.13802867208032962</v>
      </c>
      <c r="H423" s="27">
        <v>0</v>
      </c>
      <c r="I423" s="27">
        <v>0.75177959058297228</v>
      </c>
      <c r="J423" s="27">
        <v>0.24822040941702767</v>
      </c>
      <c r="K423" s="27">
        <v>0</v>
      </c>
      <c r="L423" s="27">
        <v>0.25459165442127962</v>
      </c>
      <c r="M423" s="27">
        <v>0.45849137971655329</v>
      </c>
      <c r="N423" s="27">
        <v>0.28691696586216708</v>
      </c>
      <c r="O423" s="27">
        <v>-10.920484951490453</v>
      </c>
      <c r="P423" s="27">
        <v>3.6101792217122064E-2</v>
      </c>
      <c r="Q423" s="27">
        <v>8.2376555812393559E-5</v>
      </c>
      <c r="R423" s="27">
        <v>1.0289488573971861</v>
      </c>
      <c r="S423" s="154"/>
      <c r="T423">
        <v>0.94934020755719306</v>
      </c>
      <c r="U423">
        <v>2.2135194653032304</v>
      </c>
      <c r="V423">
        <v>3.0449392341020998</v>
      </c>
      <c r="W423">
        <v>1</v>
      </c>
      <c r="Y423" s="2">
        <v>166.4623682589289</v>
      </c>
      <c r="Z423" s="2">
        <v>2258.246860900892</v>
      </c>
      <c r="AA423" s="2">
        <v>1738.6321710428431</v>
      </c>
      <c r="AB423" s="2">
        <v>1472.9742218653328</v>
      </c>
      <c r="AC423" s="2">
        <v>1206.5886638269506</v>
      </c>
      <c r="AD423" s="2">
        <v>77.342070001453379</v>
      </c>
      <c r="AE423" s="2">
        <v>505.77187880473315</v>
      </c>
      <c r="AF423" s="2">
        <v>1113.7067581458684</v>
      </c>
      <c r="AG423" s="2">
        <v>122.30731543050267</v>
      </c>
      <c r="AH423" s="2">
        <v>291.79995752804564</v>
      </c>
      <c r="AI423" s="2">
        <v>577441.06113371335</v>
      </c>
      <c r="AJ423" s="2">
        <v>546222.3962309768</v>
      </c>
      <c r="AL423" s="27">
        <v>0.9138949432439516</v>
      </c>
      <c r="AM423" s="27">
        <v>0.9109331179600223</v>
      </c>
      <c r="AN423" s="27">
        <v>0.90636386726733931</v>
      </c>
      <c r="AO423" s="27">
        <v>0.87347200480690779</v>
      </c>
      <c r="AP423" s="27">
        <v>0.76804402719883746</v>
      </c>
      <c r="AQ423" s="27">
        <v>0.9138949432439516</v>
      </c>
      <c r="AR423" s="27">
        <v>0.9109331179600223</v>
      </c>
      <c r="AS423" s="27">
        <v>0.90636386726733931</v>
      </c>
      <c r="AT423" s="27">
        <v>0.87347200480690779</v>
      </c>
      <c r="AU423" s="27">
        <v>0.76804402719883746</v>
      </c>
      <c r="AW423" s="1">
        <v>14.304965975816303</v>
      </c>
      <c r="AX423" s="1">
        <v>16.24591090489869</v>
      </c>
      <c r="AY423" s="2">
        <v>2370126.96139728</v>
      </c>
      <c r="AZ423" s="1">
        <v>15.818726061643103</v>
      </c>
      <c r="BA423" s="1">
        <v>17.756186322514221</v>
      </c>
      <c r="BB423" s="2">
        <v>1727010.9243337633</v>
      </c>
      <c r="BC423" s="2">
        <f t="shared" si="49"/>
        <v>-643116.03706351668</v>
      </c>
      <c r="BD423" s="292">
        <f t="shared" si="50"/>
        <v>1.5137600858267994</v>
      </c>
      <c r="BF423" s="170">
        <f t="shared" si="45"/>
        <v>-81332.405266671441</v>
      </c>
      <c r="BG423" s="2">
        <f t="shared" si="46"/>
        <v>803985.24552913336</v>
      </c>
      <c r="BI423">
        <f t="shared" si="47"/>
        <v>0</v>
      </c>
      <c r="BJ423" s="95">
        <f t="shared" si="48"/>
        <v>1</v>
      </c>
      <c r="BP423" s="217">
        <f t="shared" si="51"/>
        <v>803985.24552913336</v>
      </c>
    </row>
    <row r="424" spans="1:68">
      <c r="A424" s="11">
        <v>418</v>
      </c>
      <c r="C424" s="27">
        <v>0.92155047156966752</v>
      </c>
      <c r="D424" s="27">
        <v>7.8449528430332482E-2</v>
      </c>
      <c r="E424" s="27">
        <v>0</v>
      </c>
      <c r="F424" s="27">
        <v>0.86039926884958207</v>
      </c>
      <c r="G424" s="27">
        <v>0.13960073115041793</v>
      </c>
      <c r="H424" s="27">
        <v>0</v>
      </c>
      <c r="I424" s="27">
        <v>0.75141408866556436</v>
      </c>
      <c r="J424" s="27">
        <v>0.24858591133443567</v>
      </c>
      <c r="K424" s="27">
        <v>0</v>
      </c>
      <c r="L424" s="27">
        <v>9.6231983260678722E-2</v>
      </c>
      <c r="M424" s="27">
        <v>0.51699576362605026</v>
      </c>
      <c r="N424" s="27">
        <v>0.38677225311327101</v>
      </c>
      <c r="O424" s="27">
        <v>-10.88521973096905</v>
      </c>
      <c r="P424" s="27">
        <v>3.4772283475160565E-2</v>
      </c>
      <c r="Q424" s="27">
        <v>8.0699044330117194E-5</v>
      </c>
      <c r="R424" s="27">
        <v>1.0377993172046365</v>
      </c>
      <c r="S424" s="154"/>
      <c r="T424">
        <v>0.97837645267292161</v>
      </c>
      <c r="U424">
        <v>2.1990765009948361</v>
      </c>
      <c r="V424">
        <v>3.0409816629932687</v>
      </c>
      <c r="W424">
        <v>1</v>
      </c>
      <c r="Y424" s="2">
        <v>1129.261585550244</v>
      </c>
      <c r="Z424" s="2">
        <v>2524.7824737670353</v>
      </c>
      <c r="AA424" s="2">
        <v>2152.6386875077128</v>
      </c>
      <c r="AB424" s="2">
        <v>7147.7970137218463</v>
      </c>
      <c r="AC424" s="2">
        <v>149.85722044016771</v>
      </c>
      <c r="AD424" s="2">
        <v>1279.0886420447018</v>
      </c>
      <c r="AE424" s="2">
        <v>645.37747427735133</v>
      </c>
      <c r="AF424" s="2">
        <v>774.98102262423799</v>
      </c>
      <c r="AG424" s="2">
        <v>165.35733352483726</v>
      </c>
      <c r="AH424" s="2">
        <v>598.41147625054248</v>
      </c>
      <c r="AI424" s="2">
        <v>440143.28050477052</v>
      </c>
      <c r="AJ424" s="2">
        <v>414163.88616449997</v>
      </c>
      <c r="AL424" s="27">
        <v>0.9171814618599341</v>
      </c>
      <c r="AM424" s="27">
        <v>0.91313614440173341</v>
      </c>
      <c r="AN424" s="27">
        <v>0.89822009751936804</v>
      </c>
      <c r="AO424" s="27">
        <v>0.84890468329097057</v>
      </c>
      <c r="AP424" s="27">
        <v>0.72537261163519384</v>
      </c>
      <c r="AQ424" s="27">
        <v>0.9171814618599341</v>
      </c>
      <c r="AR424" s="27">
        <v>0.91313614440173341</v>
      </c>
      <c r="AS424" s="27">
        <v>0.89822009751936804</v>
      </c>
      <c r="AT424" s="27">
        <v>0.84890468329097057</v>
      </c>
      <c r="AU424" s="27">
        <v>0.72537261163519384</v>
      </c>
      <c r="AW424" s="1">
        <v>13.691417798437069</v>
      </c>
      <c r="AX424" s="1">
        <v>15.681691574270548</v>
      </c>
      <c r="AY424" s="2">
        <v>1725634.2803679269</v>
      </c>
      <c r="AZ424" s="1">
        <v>15.427032448121894</v>
      </c>
      <c r="BA424" s="1">
        <v>17.398595370437484</v>
      </c>
      <c r="BB424" s="2">
        <v>1375576.6465373714</v>
      </c>
      <c r="BC424" s="2">
        <f t="shared" si="49"/>
        <v>-350057.63383055548</v>
      </c>
      <c r="BD424" s="292">
        <f t="shared" si="50"/>
        <v>1.735614649684825</v>
      </c>
      <c r="BF424" s="170">
        <f t="shared" si="45"/>
        <v>464992.56738200388</v>
      </c>
      <c r="BG424" s="2">
        <f t="shared" si="46"/>
        <v>1092748.5451621315</v>
      </c>
      <c r="BI424">
        <f t="shared" si="47"/>
        <v>0</v>
      </c>
      <c r="BJ424" s="95">
        <f t="shared" si="48"/>
        <v>1</v>
      </c>
      <c r="BP424" s="217">
        <f t="shared" si="51"/>
        <v>1092748.5451621315</v>
      </c>
    </row>
    <row r="425" spans="1:68">
      <c r="A425" s="11">
        <v>419</v>
      </c>
      <c r="C425" s="27">
        <v>0.92463752206628391</v>
      </c>
      <c r="D425" s="27">
        <v>7.5362477933716102E-2</v>
      </c>
      <c r="E425" s="27">
        <v>0</v>
      </c>
      <c r="F425" s="27">
        <v>0.85616068999867012</v>
      </c>
      <c r="G425" s="27">
        <v>0.14383931000132988</v>
      </c>
      <c r="H425" s="27">
        <v>0</v>
      </c>
      <c r="I425" s="27">
        <v>0.74971782438009771</v>
      </c>
      <c r="J425" s="27">
        <v>0.25028217561990229</v>
      </c>
      <c r="K425" s="27">
        <v>0</v>
      </c>
      <c r="L425" s="27">
        <v>0.11254800133169607</v>
      </c>
      <c r="M425" s="27">
        <v>0.50036338402390013</v>
      </c>
      <c r="N425" s="27">
        <v>0.38708861464440381</v>
      </c>
      <c r="O425" s="27">
        <v>-11.313161263428455</v>
      </c>
      <c r="P425" s="27">
        <v>3.4965061571379137E-2</v>
      </c>
      <c r="Q425" s="27">
        <v>5.3031277475457597E-5</v>
      </c>
      <c r="R425" s="27">
        <v>1.0919854504851261</v>
      </c>
      <c r="S425" s="154"/>
      <c r="T425">
        <v>0.89378172625079444</v>
      </c>
      <c r="U425">
        <v>2.2343956289568805</v>
      </c>
      <c r="V425">
        <v>2.9089733437657523</v>
      </c>
      <c r="W425">
        <v>1</v>
      </c>
      <c r="Y425" s="2">
        <v>1513.1799386817133</v>
      </c>
      <c r="Z425" s="2">
        <v>5922.0150812577131</v>
      </c>
      <c r="AA425" s="2">
        <v>5196.8932533020798</v>
      </c>
      <c r="AB425" s="2">
        <v>1066.6437767607617</v>
      </c>
      <c r="AC425" s="2">
        <v>824.76922879377787</v>
      </c>
      <c r="AD425" s="2">
        <v>1515.1653903654026</v>
      </c>
      <c r="AE425" s="2">
        <v>582.22235395920427</v>
      </c>
      <c r="AF425" s="2">
        <v>1021.571734987778</v>
      </c>
      <c r="AG425" s="2">
        <v>123.93919473120363</v>
      </c>
      <c r="AH425" s="2">
        <v>501.13570431974472</v>
      </c>
      <c r="AI425" s="2">
        <v>323925.13942360022</v>
      </c>
      <c r="AJ425" s="2">
        <v>298957.16619101592</v>
      </c>
      <c r="AL425" s="27">
        <v>0.92231189122485069</v>
      </c>
      <c r="AM425" s="27">
        <v>0.90986406038456769</v>
      </c>
      <c r="AN425" s="27">
        <v>0.90941774285529275</v>
      </c>
      <c r="AO425" s="27">
        <v>0.85126300878501726</v>
      </c>
      <c r="AP425" s="27">
        <v>0.62414381587992285</v>
      </c>
      <c r="AQ425" s="27">
        <v>0.92231189122485069</v>
      </c>
      <c r="AR425" s="27">
        <v>0.90986406038456769</v>
      </c>
      <c r="AS425" s="27">
        <v>0.90941774285529275</v>
      </c>
      <c r="AT425" s="27">
        <v>0.85126300878501726</v>
      </c>
      <c r="AU425" s="27">
        <v>0.62414381587992285</v>
      </c>
      <c r="AW425" s="1">
        <v>13.690961405257832</v>
      </c>
      <c r="AX425" s="1">
        <v>15.867685892484422</v>
      </c>
      <c r="AY425" s="2">
        <v>1193844.3488482658</v>
      </c>
      <c r="AZ425" s="1">
        <v>15.214938170286146</v>
      </c>
      <c r="BA425" s="1">
        <v>17.31808580249082</v>
      </c>
      <c r="BB425" s="2">
        <v>950558.47556157084</v>
      </c>
      <c r="BC425" s="2">
        <f t="shared" si="49"/>
        <v>-243285.87328669499</v>
      </c>
      <c r="BD425" s="292">
        <f t="shared" si="50"/>
        <v>1.5239767650283138</v>
      </c>
      <c r="BF425" s="170">
        <f t="shared" si="45"/>
        <v>996709.47599298717</v>
      </c>
      <c r="BG425" s="2">
        <f t="shared" si="46"/>
        <v>1483831.6316842125</v>
      </c>
      <c r="BI425">
        <f t="shared" si="47"/>
        <v>0</v>
      </c>
      <c r="BJ425" s="95">
        <f t="shared" si="48"/>
        <v>1</v>
      </c>
      <c r="BP425" s="217">
        <f t="shared" si="51"/>
        <v>1483831.6316842125</v>
      </c>
    </row>
    <row r="426" spans="1:68">
      <c r="A426" s="11">
        <v>420</v>
      </c>
      <c r="C426" s="27">
        <v>0.92425079445498426</v>
      </c>
      <c r="D426" s="27">
        <v>7.5749205545015685E-2</v>
      </c>
      <c r="E426" s="27">
        <v>0</v>
      </c>
      <c r="F426" s="27">
        <v>0.86063917798604728</v>
      </c>
      <c r="G426" s="27">
        <v>0.13936082201395272</v>
      </c>
      <c r="H426" s="27">
        <v>0</v>
      </c>
      <c r="I426" s="27">
        <v>0.75606778820608034</v>
      </c>
      <c r="J426" s="27">
        <v>0.24393221179391969</v>
      </c>
      <c r="K426" s="27">
        <v>0</v>
      </c>
      <c r="L426" s="27">
        <v>7.3751422276232881E-2</v>
      </c>
      <c r="M426" s="27">
        <v>0.51113447683400848</v>
      </c>
      <c r="N426" s="27">
        <v>0.41511410088975864</v>
      </c>
      <c r="O426" s="27">
        <v>-11.028505223721655</v>
      </c>
      <c r="P426" s="27">
        <v>3.4993176105064847E-2</v>
      </c>
      <c r="Q426" s="27">
        <v>7.0578017605612512E-5</v>
      </c>
      <c r="R426" s="27">
        <v>1.05364667686074</v>
      </c>
      <c r="S426" s="154"/>
      <c r="T426">
        <v>1.0755304009284146</v>
      </c>
      <c r="U426">
        <v>2.1730559840887835</v>
      </c>
      <c r="V426">
        <v>3.0736058579330137</v>
      </c>
      <c r="W426">
        <v>1</v>
      </c>
      <c r="Y426" s="2">
        <v>2020.8584562632482</v>
      </c>
      <c r="Z426" s="2">
        <v>2638.0914734587764</v>
      </c>
      <c r="AA426" s="2">
        <v>1022.4520263451718</v>
      </c>
      <c r="AB426" s="2">
        <v>3627.4889172904186</v>
      </c>
      <c r="AC426" s="2">
        <v>553.69830822889173</v>
      </c>
      <c r="AD426" s="2">
        <v>655.86444543181995</v>
      </c>
      <c r="AE426" s="2">
        <v>522.39930971679598</v>
      </c>
      <c r="AF426" s="2">
        <v>1383.5685602772869</v>
      </c>
      <c r="AG426" s="2">
        <v>130.97112153001876</v>
      </c>
      <c r="AH426" s="2">
        <v>219.31973653508865</v>
      </c>
      <c r="AI426" s="2">
        <v>429815.55396932003</v>
      </c>
      <c r="AJ426" s="2">
        <v>381925.92197003169</v>
      </c>
      <c r="AL426" s="27">
        <v>0.91470413536568673</v>
      </c>
      <c r="AM426" s="27">
        <v>0.91563852363750287</v>
      </c>
      <c r="AN426" s="27">
        <v>0.90820430224984139</v>
      </c>
      <c r="AO426" s="27">
        <v>0.89270373000197711</v>
      </c>
      <c r="AP426" s="27">
        <v>0.73623680942465497</v>
      </c>
      <c r="AQ426" s="27">
        <v>0.91470413536568673</v>
      </c>
      <c r="AR426" s="27">
        <v>0.91563852363750287</v>
      </c>
      <c r="AS426" s="27">
        <v>0.90820430224984139</v>
      </c>
      <c r="AT426" s="27">
        <v>0.89270373000197711</v>
      </c>
      <c r="AU426" s="27">
        <v>0.73623680942465497</v>
      </c>
      <c r="AW426" s="1">
        <v>13.481282159098921</v>
      </c>
      <c r="AX426" s="1">
        <v>15.384075289107862</v>
      </c>
      <c r="AY426" s="2">
        <v>1589553.439489868</v>
      </c>
      <c r="AZ426" s="1">
        <v>15.491631402071635</v>
      </c>
      <c r="BA426" s="1">
        <v>17.383308608988784</v>
      </c>
      <c r="BB426" s="2">
        <v>1134129.1469108574</v>
      </c>
      <c r="BC426" s="2">
        <f t="shared" si="49"/>
        <v>-455424.29257901059</v>
      </c>
      <c r="BD426" s="292">
        <f t="shared" si="50"/>
        <v>2.0103492429727137</v>
      </c>
      <c r="BF426" s="170">
        <f t="shared" si="45"/>
        <v>567451.70596595947</v>
      </c>
      <c r="BG426" s="2">
        <f t="shared" si="46"/>
        <v>1344531.8774206042</v>
      </c>
      <c r="BI426">
        <f t="shared" si="47"/>
        <v>0</v>
      </c>
      <c r="BJ426" s="95">
        <f t="shared" si="48"/>
        <v>1</v>
      </c>
      <c r="BP426" s="217">
        <f t="shared" si="51"/>
        <v>1344531.8774206042</v>
      </c>
    </row>
    <row r="427" spans="1:68">
      <c r="A427" s="11">
        <v>421</v>
      </c>
      <c r="C427" s="27">
        <v>0.92534299432037159</v>
      </c>
      <c r="D427" s="27">
        <v>7.4657005679628449E-2</v>
      </c>
      <c r="E427" s="27">
        <v>0</v>
      </c>
      <c r="F427" s="27">
        <v>0.85768884190193617</v>
      </c>
      <c r="G427" s="27">
        <v>0.14231115809806388</v>
      </c>
      <c r="H427" s="27">
        <v>0</v>
      </c>
      <c r="I427" s="27">
        <v>0.75405732064325204</v>
      </c>
      <c r="J427" s="27">
        <v>0.24594267935674799</v>
      </c>
      <c r="K427" s="27">
        <v>0</v>
      </c>
      <c r="L427" s="27">
        <v>0.12361281183772288</v>
      </c>
      <c r="M427" s="27">
        <v>0.45596013785765321</v>
      </c>
      <c r="N427" s="27">
        <v>0.42042705030462391</v>
      </c>
      <c r="O427" s="27">
        <v>-11.267533531271825</v>
      </c>
      <c r="P427" s="27">
        <v>3.5223711653880517E-2</v>
      </c>
      <c r="Q427" s="27">
        <v>5.611330309050555E-5</v>
      </c>
      <c r="R427" s="27">
        <v>1.076439691084857</v>
      </c>
      <c r="S427" s="154"/>
      <c r="T427">
        <v>0.93747541892846109</v>
      </c>
      <c r="U427">
        <v>2.2073568490645501</v>
      </c>
      <c r="V427">
        <v>3.1200534007039944</v>
      </c>
      <c r="W427">
        <v>1</v>
      </c>
      <c r="Y427" s="2">
        <v>671.12477065550513</v>
      </c>
      <c r="Z427" s="2">
        <v>1746.6156408518441</v>
      </c>
      <c r="AA427" s="2">
        <v>5583.3243434567003</v>
      </c>
      <c r="AB427" s="2">
        <v>2440.4314056092098</v>
      </c>
      <c r="AC427" s="2">
        <v>767.37132416548388</v>
      </c>
      <c r="AD427" s="2">
        <v>207.87908463082829</v>
      </c>
      <c r="AE427" s="2">
        <v>577.25762843693826</v>
      </c>
      <c r="AF427" s="2">
        <v>800.23324101413277</v>
      </c>
      <c r="AG427" s="2">
        <v>88.408498493898591</v>
      </c>
      <c r="AH427" s="2">
        <v>503.50994079271135</v>
      </c>
      <c r="AI427" s="2">
        <v>363168.41371278616</v>
      </c>
      <c r="AJ427" s="2">
        <v>312661.82268983958</v>
      </c>
      <c r="AL427" s="27">
        <v>0.91574884647223087</v>
      </c>
      <c r="AM427" s="27">
        <v>0.91422612237607703</v>
      </c>
      <c r="AN427" s="27">
        <v>0.906541700403105</v>
      </c>
      <c r="AO427" s="27">
        <v>0.85687465824562037</v>
      </c>
      <c r="AP427" s="27">
        <v>0.72296124101653647</v>
      </c>
      <c r="AQ427" s="27">
        <v>0.91574884647223087</v>
      </c>
      <c r="AR427" s="27">
        <v>0.91422612237607703</v>
      </c>
      <c r="AS427" s="27">
        <v>0.906541700403105</v>
      </c>
      <c r="AT427" s="27">
        <v>0.85687465824562037</v>
      </c>
      <c r="AU427" s="27">
        <v>0.72296124101653647</v>
      </c>
      <c r="AW427" s="1">
        <v>13.716781581725559</v>
      </c>
      <c r="AX427" s="1">
        <v>15.62570788780662</v>
      </c>
      <c r="AY427" s="2">
        <v>1145365.8018653386</v>
      </c>
      <c r="AZ427" s="1">
        <v>15.36666932532189</v>
      </c>
      <c r="BA427" s="1">
        <v>17.27009851152512</v>
      </c>
      <c r="BB427" s="2">
        <v>946265.68244750297</v>
      </c>
      <c r="BC427" s="2">
        <f t="shared" si="49"/>
        <v>-199100.11941783561</v>
      </c>
      <c r="BD427" s="292">
        <f t="shared" si="50"/>
        <v>1.6498877435963308</v>
      </c>
      <c r="BF427" s="170">
        <f t="shared" si="45"/>
        <v>1049319.2512107508</v>
      </c>
      <c r="BG427" s="2">
        <f t="shared" si="46"/>
        <v>1512401.4096039995</v>
      </c>
      <c r="BI427">
        <f t="shared" si="47"/>
        <v>0</v>
      </c>
      <c r="BJ427" s="95">
        <f t="shared" si="48"/>
        <v>1</v>
      </c>
      <c r="BP427" s="217">
        <f t="shared" si="51"/>
        <v>1512401.4096039995</v>
      </c>
    </row>
    <row r="428" spans="1:68">
      <c r="A428" s="11">
        <v>422</v>
      </c>
      <c r="C428" s="27">
        <v>0.92809697879450026</v>
      </c>
      <c r="D428" s="27">
        <v>7.1903021205499767E-2</v>
      </c>
      <c r="E428" s="27">
        <v>0</v>
      </c>
      <c r="F428" s="27">
        <v>0.85326909783469174</v>
      </c>
      <c r="G428" s="27">
        <v>0.14673090216530826</v>
      </c>
      <c r="H428" s="27">
        <v>0</v>
      </c>
      <c r="I428" s="27">
        <v>0.74645334325995139</v>
      </c>
      <c r="J428" s="27">
        <v>0.25354665674004861</v>
      </c>
      <c r="K428" s="27">
        <v>0</v>
      </c>
      <c r="L428" s="27">
        <v>7.0226676416027312E-2</v>
      </c>
      <c r="M428" s="27">
        <v>0.48519682782276818</v>
      </c>
      <c r="N428" s="27">
        <v>0.4445764957612045</v>
      </c>
      <c r="O428" s="27">
        <v>-10.947562091204359</v>
      </c>
      <c r="P428" s="27">
        <v>3.4485773977232542E-2</v>
      </c>
      <c r="Q428" s="27">
        <v>7.4914762992431735E-5</v>
      </c>
      <c r="R428" s="27">
        <v>1.0362741654111625</v>
      </c>
      <c r="S428" s="154"/>
      <c r="T428">
        <v>0.91514595286630951</v>
      </c>
      <c r="U428">
        <v>2.2686173849710611</v>
      </c>
      <c r="V428">
        <v>3.0524046129765927</v>
      </c>
      <c r="W428">
        <v>1</v>
      </c>
      <c r="Y428" s="2">
        <v>259.86458582279198</v>
      </c>
      <c r="Z428" s="2">
        <v>4706.7555152730338</v>
      </c>
      <c r="AA428" s="2">
        <v>254.99274265877975</v>
      </c>
      <c r="AB428" s="2">
        <v>16338.935186267865</v>
      </c>
      <c r="AC428" s="2">
        <v>87.954551680686492</v>
      </c>
      <c r="AD428" s="2">
        <v>145.63096214590848</v>
      </c>
      <c r="AE428" s="2">
        <v>654.9836748328978</v>
      </c>
      <c r="AF428" s="2">
        <v>752.07001857890066</v>
      </c>
      <c r="AG428" s="2">
        <v>154.04919843481346</v>
      </c>
      <c r="AH428" s="2">
        <v>610.10487625493238</v>
      </c>
      <c r="AI428" s="2">
        <v>402534.90713632159</v>
      </c>
      <c r="AJ428" s="2">
        <v>350873.5463112655</v>
      </c>
      <c r="AL428" s="27">
        <v>0.91753110894177725</v>
      </c>
      <c r="AM428" s="27">
        <v>0.91516968148410105</v>
      </c>
      <c r="AN428" s="27">
        <v>0.90454885189405876</v>
      </c>
      <c r="AO428" s="27">
        <v>0.88384615918878828</v>
      </c>
      <c r="AP428" s="27">
        <v>0.72888866692617138</v>
      </c>
      <c r="AQ428" s="27">
        <v>0.91753110894177725</v>
      </c>
      <c r="AR428" s="27">
        <v>0.91516968148410105</v>
      </c>
      <c r="AS428" s="27">
        <v>0.90454885189405876</v>
      </c>
      <c r="AT428" s="27">
        <v>0.88384615918878828</v>
      </c>
      <c r="AU428" s="27">
        <v>0.72888866692617138</v>
      </c>
      <c r="AW428" s="1">
        <v>13.94461370727316</v>
      </c>
      <c r="AX428" s="1">
        <v>15.827215552731531</v>
      </c>
      <c r="AY428" s="2">
        <v>1334281.4814880898</v>
      </c>
      <c r="AZ428" s="1">
        <v>15.454063494414099</v>
      </c>
      <c r="BA428" s="1">
        <v>17.334050497698851</v>
      </c>
      <c r="BB428" s="2">
        <v>1222561.6084101286</v>
      </c>
      <c r="BC428" s="2">
        <f t="shared" si="49"/>
        <v>-111719.87307796115</v>
      </c>
      <c r="BD428" s="292">
        <f t="shared" si="50"/>
        <v>1.5094497871409391</v>
      </c>
      <c r="BF428" s="170">
        <f t="shared" si="45"/>
        <v>896856.71167561575</v>
      </c>
      <c r="BG428" s="2">
        <f t="shared" si="46"/>
        <v>1250088.5506961273</v>
      </c>
      <c r="BI428">
        <f t="shared" si="47"/>
        <v>0</v>
      </c>
      <c r="BJ428" s="95">
        <f t="shared" si="48"/>
        <v>1</v>
      </c>
      <c r="BP428" s="217">
        <f t="shared" si="51"/>
        <v>1250088.5506961273</v>
      </c>
    </row>
    <row r="429" spans="1:68">
      <c r="A429" s="11">
        <v>423</v>
      </c>
      <c r="C429" s="27">
        <v>0.92271395965078629</v>
      </c>
      <c r="D429" s="27">
        <v>7.7286040349213714E-2</v>
      </c>
      <c r="E429" s="27">
        <v>0</v>
      </c>
      <c r="F429" s="27">
        <v>0.86016382533325375</v>
      </c>
      <c r="G429" s="27">
        <v>0.1398361746667463</v>
      </c>
      <c r="H429" s="27">
        <v>0</v>
      </c>
      <c r="I429" s="27">
        <v>0.75118343641832563</v>
      </c>
      <c r="J429" s="27">
        <v>0.24881656358167434</v>
      </c>
      <c r="K429" s="27">
        <v>0</v>
      </c>
      <c r="L429" s="27">
        <v>2.7573829096187996E-3</v>
      </c>
      <c r="M429" s="27">
        <v>0.54599702565556463</v>
      </c>
      <c r="N429" s="27">
        <v>0.45124559143481657</v>
      </c>
      <c r="O429" s="27">
        <v>-11.112599821331958</v>
      </c>
      <c r="P429" s="27">
        <v>3.2779839727100808E-2</v>
      </c>
      <c r="Q429" s="27">
        <v>5.9125600615994162E-5</v>
      </c>
      <c r="R429" s="27">
        <v>1.0840619527662716</v>
      </c>
      <c r="S429" s="154"/>
      <c r="T429">
        <v>1.0014036808713942</v>
      </c>
      <c r="U429">
        <v>2.1496251973704363</v>
      </c>
      <c r="V429">
        <v>3.1563322004861796</v>
      </c>
      <c r="W429">
        <v>1</v>
      </c>
      <c r="Y429" s="2">
        <v>389.34396240222713</v>
      </c>
      <c r="Z429" s="2">
        <v>816.86018767521352</v>
      </c>
      <c r="AA429" s="2">
        <v>1027.4513367050706</v>
      </c>
      <c r="AB429" s="2">
        <v>4388.6527771087976</v>
      </c>
      <c r="AC429" s="2">
        <v>1197.0586924079284</v>
      </c>
      <c r="AD429" s="2">
        <v>1107.5855315451877</v>
      </c>
      <c r="AE429" s="2">
        <v>532.20453259649923</v>
      </c>
      <c r="AF429" s="2">
        <v>894.67023111864819</v>
      </c>
      <c r="AG429" s="2">
        <v>101.85774261553442</v>
      </c>
      <c r="AH429" s="2">
        <v>456.28357371184148</v>
      </c>
      <c r="AI429" s="2">
        <v>454351.3184442927</v>
      </c>
      <c r="AJ429" s="2">
        <v>410755.1364777594</v>
      </c>
      <c r="AL429" s="27">
        <v>0.91610480402534078</v>
      </c>
      <c r="AM429" s="27">
        <v>0.9143528556654078</v>
      </c>
      <c r="AN429" s="27">
        <v>0.90698709610951733</v>
      </c>
      <c r="AO429" s="27">
        <v>0.88966668398409565</v>
      </c>
      <c r="AP429" s="27">
        <v>0.74637962750763909</v>
      </c>
      <c r="AQ429" s="27">
        <v>0.91610480402534078</v>
      </c>
      <c r="AR429" s="27">
        <v>0.9143528556654078</v>
      </c>
      <c r="AS429" s="27">
        <v>0.90698709610951733</v>
      </c>
      <c r="AT429" s="27">
        <v>0.88966668398409565</v>
      </c>
      <c r="AU429" s="27">
        <v>0.74637962750763909</v>
      </c>
      <c r="AW429" s="1">
        <v>13.510610692654129</v>
      </c>
      <c r="AX429" s="1">
        <v>15.331519710290765</v>
      </c>
      <c r="AY429" s="2">
        <v>1550061.8194726834</v>
      </c>
      <c r="AZ429" s="1">
        <v>15.353500911813564</v>
      </c>
      <c r="BA429" s="1">
        <v>17.191602862312457</v>
      </c>
      <c r="BB429" s="2">
        <v>1190440.1151050371</v>
      </c>
      <c r="BC429" s="2">
        <f t="shared" si="49"/>
        <v>-359621.70436764625</v>
      </c>
      <c r="BD429" s="292">
        <f t="shared" si="50"/>
        <v>1.8428902191594343</v>
      </c>
      <c r="BF429" s="170">
        <f t="shared" si="45"/>
        <v>611635.89135197713</v>
      </c>
      <c r="BG429" s="2">
        <f t="shared" si="46"/>
        <v>1266120.0307851331</v>
      </c>
      <c r="BI429">
        <f t="shared" si="47"/>
        <v>0</v>
      </c>
      <c r="BJ429" s="95">
        <f t="shared" si="48"/>
        <v>1</v>
      </c>
      <c r="BP429" s="217">
        <f t="shared" si="51"/>
        <v>1266120.0307851331</v>
      </c>
    </row>
    <row r="430" spans="1:68">
      <c r="A430" s="11">
        <v>424</v>
      </c>
      <c r="C430" s="27">
        <v>0.92385930272150463</v>
      </c>
      <c r="D430" s="27">
        <v>7.6140697278495373E-2</v>
      </c>
      <c r="E430" s="27">
        <v>0</v>
      </c>
      <c r="F430" s="27">
        <v>0.86501890972903661</v>
      </c>
      <c r="G430" s="27">
        <v>0.13498109027096336</v>
      </c>
      <c r="H430" s="27">
        <v>0</v>
      </c>
      <c r="I430" s="27">
        <v>0.75094915573075371</v>
      </c>
      <c r="J430" s="27">
        <v>0.24905084426924631</v>
      </c>
      <c r="K430" s="27">
        <v>0</v>
      </c>
      <c r="L430" s="27">
        <v>0.14110991379416798</v>
      </c>
      <c r="M430" s="27">
        <v>0.51603674238343133</v>
      </c>
      <c r="N430" s="27">
        <v>0.34285334382240068</v>
      </c>
      <c r="O430" s="27">
        <v>-10.834683418033883</v>
      </c>
      <c r="P430" s="27">
        <v>3.1509523484271398E-2</v>
      </c>
      <c r="Q430" s="27">
        <v>7.4011991418332853E-5</v>
      </c>
      <c r="R430" s="27">
        <v>1.0506592927786742</v>
      </c>
      <c r="S430" s="154"/>
      <c r="T430">
        <v>1.0123225850959028</v>
      </c>
      <c r="U430">
        <v>2.2982274148173216</v>
      </c>
      <c r="V430">
        <v>2.8446656989163981</v>
      </c>
      <c r="W430">
        <v>1</v>
      </c>
      <c r="Y430" s="2">
        <v>881.97823748054589</v>
      </c>
      <c r="Z430" s="2">
        <v>1015.1481678665375</v>
      </c>
      <c r="AA430" s="2">
        <v>309.10557370181374</v>
      </c>
      <c r="AB430" s="2">
        <v>1310.9841395228661</v>
      </c>
      <c r="AC430" s="2">
        <v>497.49651528337756</v>
      </c>
      <c r="AD430" s="2">
        <v>92.639192272884458</v>
      </c>
      <c r="AE430" s="2">
        <v>584.85717244471914</v>
      </c>
      <c r="AF430" s="2">
        <v>975.07855159308099</v>
      </c>
      <c r="AG430" s="2">
        <v>153.37693074066581</v>
      </c>
      <c r="AH430" s="2">
        <v>435.88079267305085</v>
      </c>
      <c r="AI430" s="2">
        <v>500024.90558355517</v>
      </c>
      <c r="AJ430" s="2">
        <v>455987.98375347746</v>
      </c>
      <c r="AL430" s="27">
        <v>0.91512126876830746</v>
      </c>
      <c r="AM430" s="27">
        <v>0.91091500793784586</v>
      </c>
      <c r="AN430" s="27">
        <v>0.90079512577023579</v>
      </c>
      <c r="AO430" s="27">
        <v>0.84537770342300544</v>
      </c>
      <c r="AP430" s="27">
        <v>0.72533325113079594</v>
      </c>
      <c r="AQ430" s="27">
        <v>0.91512126876830746</v>
      </c>
      <c r="AR430" s="27">
        <v>0.91091500793784586</v>
      </c>
      <c r="AS430" s="27">
        <v>0.90079512577023579</v>
      </c>
      <c r="AT430" s="27">
        <v>0.84537770342300544</v>
      </c>
      <c r="AU430" s="27">
        <v>0.72533325113079594</v>
      </c>
      <c r="AW430" s="1">
        <v>13.779789612138073</v>
      </c>
      <c r="AX430" s="1">
        <v>15.828461084638827</v>
      </c>
      <c r="AY430" s="2">
        <v>1930747.9220927239</v>
      </c>
      <c r="AZ430" s="1">
        <v>15.584867732432635</v>
      </c>
      <c r="BA430" s="1">
        <v>17.600385204092191</v>
      </c>
      <c r="BB430" s="2">
        <v>1354174.3091017951</v>
      </c>
      <c r="BC430" s="2">
        <f t="shared" si="49"/>
        <v>-576573.61299092881</v>
      </c>
      <c r="BD430" s="292">
        <f t="shared" si="50"/>
        <v>1.8050781202945618</v>
      </c>
      <c r="BF430" s="170">
        <f t="shared" si="45"/>
        <v>274018.41584936786</v>
      </c>
      <c r="BG430" s="2">
        <f t="shared" si="46"/>
        <v>1139404.5280874267</v>
      </c>
      <c r="BI430">
        <f t="shared" si="47"/>
        <v>0</v>
      </c>
      <c r="BJ430" s="95">
        <f t="shared" si="48"/>
        <v>1</v>
      </c>
      <c r="BP430" s="217">
        <f t="shared" si="51"/>
        <v>1139404.5280874267</v>
      </c>
    </row>
    <row r="431" spans="1:68">
      <c r="A431" s="11">
        <v>425</v>
      </c>
      <c r="C431" s="27">
        <v>0.9219989257979605</v>
      </c>
      <c r="D431" s="27">
        <v>7.80010742020395E-2</v>
      </c>
      <c r="E431" s="27">
        <v>0</v>
      </c>
      <c r="F431" s="27">
        <v>0.85308110575215867</v>
      </c>
      <c r="G431" s="27">
        <v>0.14691889424784133</v>
      </c>
      <c r="H431" s="27">
        <v>0</v>
      </c>
      <c r="I431" s="27">
        <v>0.75774009201233383</v>
      </c>
      <c r="J431" s="27">
        <v>0.24225990798766611</v>
      </c>
      <c r="K431" s="27">
        <v>0</v>
      </c>
      <c r="L431" s="27">
        <v>9.865276541294854E-2</v>
      </c>
      <c r="M431" s="27">
        <v>0.51289827439064162</v>
      </c>
      <c r="N431" s="27">
        <v>0.38844896019640984</v>
      </c>
      <c r="O431" s="27">
        <v>-11.636556910095933</v>
      </c>
      <c r="P431" s="27">
        <v>3.7251203539236631E-2</v>
      </c>
      <c r="Q431" s="27">
        <v>4.22457685665363E-5</v>
      </c>
      <c r="R431" s="27">
        <v>1.1108400817703303</v>
      </c>
      <c r="S431" s="154"/>
      <c r="T431">
        <v>0.95134167665106828</v>
      </c>
      <c r="U431">
        <v>2.1931187211893848</v>
      </c>
      <c r="V431">
        <v>2.7686517476897423</v>
      </c>
      <c r="W431">
        <v>1</v>
      </c>
      <c r="Y431" s="2">
        <v>141.16980155946197</v>
      </c>
      <c r="Z431" s="2">
        <v>3159.4558114619576</v>
      </c>
      <c r="AA431" s="2">
        <v>136.13177211365959</v>
      </c>
      <c r="AB431" s="2">
        <v>13337.772254115069</v>
      </c>
      <c r="AC431" s="2">
        <v>1353.0728626523805</v>
      </c>
      <c r="AD431" s="2">
        <v>586.97852677103458</v>
      </c>
      <c r="AE431" s="2">
        <v>528.79957488512059</v>
      </c>
      <c r="AF431" s="2">
        <v>629.27075946425384</v>
      </c>
      <c r="AG431" s="2">
        <v>165.37454957812506</v>
      </c>
      <c r="AH431" s="2">
        <v>377.99996282632338</v>
      </c>
      <c r="AI431" s="2">
        <v>479743.77366732061</v>
      </c>
      <c r="AJ431" s="2">
        <v>438607.30678305903</v>
      </c>
      <c r="AL431" s="27">
        <v>0.91017102277847284</v>
      </c>
      <c r="AM431" s="27">
        <v>0.91846661200953639</v>
      </c>
      <c r="AN431" s="27">
        <v>0.90872269379733839</v>
      </c>
      <c r="AO431" s="27">
        <v>0.86369060341531689</v>
      </c>
      <c r="AP431" s="27">
        <v>0.76146497582829631</v>
      </c>
      <c r="AQ431" s="27">
        <v>0.91017102277847284</v>
      </c>
      <c r="AR431" s="27">
        <v>0.91846661200953639</v>
      </c>
      <c r="AS431" s="27">
        <v>0.90872269379733839</v>
      </c>
      <c r="AT431" s="27">
        <v>0.86369060341531689</v>
      </c>
      <c r="AU431" s="27">
        <v>0.76146497582829631</v>
      </c>
      <c r="AW431" s="1">
        <v>13.812213978723401</v>
      </c>
      <c r="AX431" s="1">
        <v>15.701279460234472</v>
      </c>
      <c r="AY431" s="2">
        <v>1755335.1923432916</v>
      </c>
      <c r="AZ431" s="1">
        <v>15.409148052393727</v>
      </c>
      <c r="BA431" s="1">
        <v>17.297831489071214</v>
      </c>
      <c r="BB431" s="2">
        <v>1469660.3776727309</v>
      </c>
      <c r="BC431" s="2">
        <f t="shared" si="49"/>
        <v>-285674.81467056065</v>
      </c>
      <c r="BD431" s="292">
        <f t="shared" si="50"/>
        <v>1.5969340736703259</v>
      </c>
      <c r="BF431" s="170">
        <f t="shared" si="45"/>
        <v>454619.04425245267</v>
      </c>
      <c r="BG431" s="2">
        <f t="shared" si="46"/>
        <v>995803.3107102653</v>
      </c>
      <c r="BI431">
        <f t="shared" si="47"/>
        <v>0</v>
      </c>
      <c r="BJ431" s="95">
        <f t="shared" si="48"/>
        <v>1</v>
      </c>
      <c r="BP431" s="217">
        <f t="shared" si="51"/>
        <v>995803.3107102653</v>
      </c>
    </row>
    <row r="432" spans="1:68">
      <c r="A432" s="11">
        <v>426</v>
      </c>
      <c r="C432" s="27">
        <v>0.92453553689642343</v>
      </c>
      <c r="D432" s="27">
        <v>7.5464463103576587E-2</v>
      </c>
      <c r="E432" s="27">
        <v>0</v>
      </c>
      <c r="F432" s="27">
        <v>0.85973558566059927</v>
      </c>
      <c r="G432" s="27">
        <v>0.14026441433940076</v>
      </c>
      <c r="H432" s="27">
        <v>0</v>
      </c>
      <c r="I432" s="27">
        <v>0.74828749718419985</v>
      </c>
      <c r="J432" s="27">
        <v>0.25171250281580015</v>
      </c>
      <c r="K432" s="27">
        <v>0</v>
      </c>
      <c r="L432" s="27">
        <v>0.11042786447846187</v>
      </c>
      <c r="M432" s="27">
        <v>0.4490208247235794</v>
      </c>
      <c r="N432" s="27">
        <v>0.44055131079795873</v>
      </c>
      <c r="O432" s="27">
        <v>-11.034412397672728</v>
      </c>
      <c r="P432" s="27">
        <v>3.3068507232489115E-2</v>
      </c>
      <c r="Q432" s="27">
        <v>6.4713864272179569E-5</v>
      </c>
      <c r="R432" s="27">
        <v>1.0694479517527098</v>
      </c>
      <c r="S432" s="154"/>
      <c r="T432">
        <v>0.98252630065422164</v>
      </c>
      <c r="U432">
        <v>2.2775473204960051</v>
      </c>
      <c r="V432">
        <v>3.0695755228656179</v>
      </c>
      <c r="W432">
        <v>1</v>
      </c>
      <c r="Y432" s="2">
        <v>46.561007283676389</v>
      </c>
      <c r="Z432" s="2">
        <v>1270.4011611831352</v>
      </c>
      <c r="AA432" s="2">
        <v>2312.9230657580233</v>
      </c>
      <c r="AB432" s="2">
        <v>3192.868233652091</v>
      </c>
      <c r="AC432" s="2">
        <v>38.985393589069268</v>
      </c>
      <c r="AD432" s="2">
        <v>1745.3617472587578</v>
      </c>
      <c r="AE432" s="2">
        <v>599.22525636439025</v>
      </c>
      <c r="AF432" s="2">
        <v>1303.9831313854108</v>
      </c>
      <c r="AG432" s="2">
        <v>129.84304558585225</v>
      </c>
      <c r="AH432" s="2">
        <v>450.79710547102553</v>
      </c>
      <c r="AI432" s="2">
        <v>504727.82207318465</v>
      </c>
      <c r="AJ432" s="2">
        <v>449695.57801744365</v>
      </c>
      <c r="AL432" s="27">
        <v>0.92566453176194563</v>
      </c>
      <c r="AM432" s="27">
        <v>0.91366467354171166</v>
      </c>
      <c r="AN432" s="27">
        <v>0.91145690778820954</v>
      </c>
      <c r="AO432" s="27">
        <v>0.86323608443371713</v>
      </c>
      <c r="AP432" s="27">
        <v>0.54807328512093956</v>
      </c>
      <c r="AQ432" s="27">
        <v>0.92566453176194563</v>
      </c>
      <c r="AR432" s="27">
        <v>0.91366467354171166</v>
      </c>
      <c r="AS432" s="27">
        <v>0.91145690778820954</v>
      </c>
      <c r="AT432" s="27">
        <v>0.86323608443371713</v>
      </c>
      <c r="AU432" s="27">
        <v>0.54807328512093956</v>
      </c>
      <c r="AW432" s="1">
        <v>13.014040000640685</v>
      </c>
      <c r="AX432" s="1">
        <v>15.266613570593002</v>
      </c>
      <c r="AY432" s="2">
        <v>1555868.2478455163</v>
      </c>
      <c r="AZ432" s="1">
        <v>15.015388811472075</v>
      </c>
      <c r="BA432" s="1">
        <v>17.131703088684421</v>
      </c>
      <c r="BB432" s="2">
        <v>1224908.767019944</v>
      </c>
      <c r="BC432" s="2">
        <f t="shared" si="49"/>
        <v>-330959.48082557227</v>
      </c>
      <c r="BD432" s="292">
        <f t="shared" si="50"/>
        <v>2.0013488108313897</v>
      </c>
      <c r="BF432" s="170">
        <f t="shared" si="45"/>
        <v>526378.15225699334</v>
      </c>
      <c r="BG432" s="2">
        <f t="shared" si="46"/>
        <v>1177553.4428155881</v>
      </c>
      <c r="BI432">
        <f t="shared" si="47"/>
        <v>0</v>
      </c>
      <c r="BJ432" s="95">
        <f t="shared" si="48"/>
        <v>1</v>
      </c>
      <c r="BP432" s="217">
        <f t="shared" si="51"/>
        <v>1177553.4428155881</v>
      </c>
    </row>
    <row r="433" spans="1:68">
      <c r="A433" s="11">
        <v>427</v>
      </c>
      <c r="C433" s="27">
        <v>0.92099964499527165</v>
      </c>
      <c r="D433" s="27">
        <v>7.9000355004728351E-2</v>
      </c>
      <c r="E433" s="27">
        <v>0</v>
      </c>
      <c r="F433" s="27">
        <v>0.85466168989058622</v>
      </c>
      <c r="G433" s="27">
        <v>0.14533831010941378</v>
      </c>
      <c r="H433" s="27">
        <v>0</v>
      </c>
      <c r="I433" s="27">
        <v>0.74901407115384833</v>
      </c>
      <c r="J433" s="27">
        <v>0.25098592884615167</v>
      </c>
      <c r="K433" s="27">
        <v>0</v>
      </c>
      <c r="L433" s="27">
        <v>0.208731687039936</v>
      </c>
      <c r="M433" s="27">
        <v>0.47672192319251877</v>
      </c>
      <c r="N433" s="27">
        <v>0.31454638976754518</v>
      </c>
      <c r="O433" s="27">
        <v>-11.040494478769523</v>
      </c>
      <c r="P433" s="27">
        <v>3.158783739976008E-2</v>
      </c>
      <c r="Q433" s="27">
        <v>6.0443270652834323E-5</v>
      </c>
      <c r="R433" s="27">
        <v>1.0835111295146804</v>
      </c>
      <c r="S433" s="154"/>
      <c r="T433">
        <v>0.90981298142257894</v>
      </c>
      <c r="U433">
        <v>2.3006431446470827</v>
      </c>
      <c r="V433">
        <v>3.0957407642991566</v>
      </c>
      <c r="W433">
        <v>1</v>
      </c>
      <c r="Y433" s="2">
        <v>83.846397659411707</v>
      </c>
      <c r="Z433" s="2">
        <v>469.99287296604223</v>
      </c>
      <c r="AA433" s="2">
        <v>2041.0184741531152</v>
      </c>
      <c r="AB433" s="2">
        <v>15809.068092457706</v>
      </c>
      <c r="AC433" s="2">
        <v>1099.5975577699583</v>
      </c>
      <c r="AD433" s="2">
        <v>256.97644221266722</v>
      </c>
      <c r="AE433" s="2">
        <v>566.11449737531336</v>
      </c>
      <c r="AF433" s="2">
        <v>1152.2075854233842</v>
      </c>
      <c r="AG433" s="2">
        <v>147.51073342557811</v>
      </c>
      <c r="AH433" s="2">
        <v>342.12523491095277</v>
      </c>
      <c r="AI433" s="2">
        <v>467670.10880172031</v>
      </c>
      <c r="AJ433" s="2">
        <v>436348.34540109237</v>
      </c>
      <c r="AL433" s="27">
        <v>0.91352760634565833</v>
      </c>
      <c r="AM433" s="27">
        <v>0.91457449265735002</v>
      </c>
      <c r="AN433" s="27">
        <v>0.90266274163864357</v>
      </c>
      <c r="AO433" s="27">
        <v>0.87672570334931077</v>
      </c>
      <c r="AP433" s="27">
        <v>0.61098412100748256</v>
      </c>
      <c r="AQ433" s="27">
        <v>0.91352760634565833</v>
      </c>
      <c r="AR433" s="27">
        <v>0.91457449265735002</v>
      </c>
      <c r="AS433" s="27">
        <v>0.90266274163864357</v>
      </c>
      <c r="AT433" s="27">
        <v>0.87672570334931077</v>
      </c>
      <c r="AU433" s="27">
        <v>0.61098412100748256</v>
      </c>
      <c r="AW433" s="1">
        <v>13.450173023466146</v>
      </c>
      <c r="AX433" s="1">
        <v>15.808387315624392</v>
      </c>
      <c r="AY433" s="2">
        <v>1723132.9781651234</v>
      </c>
      <c r="AZ433" s="1">
        <v>15.107353344475268</v>
      </c>
      <c r="BA433" s="1">
        <v>17.355988852614079</v>
      </c>
      <c r="BB433" s="2">
        <v>1566304.0688469403</v>
      </c>
      <c r="BC433" s="2">
        <f t="shared" si="49"/>
        <v>-156828.90931818308</v>
      </c>
      <c r="BD433" s="292">
        <f t="shared" si="50"/>
        <v>1.6571803210091218</v>
      </c>
      <c r="BF433" s="170">
        <f t="shared" si="45"/>
        <v>428894.70558945998</v>
      </c>
      <c r="BG433" s="2">
        <f t="shared" si="46"/>
        <v>850872.46626910265</v>
      </c>
      <c r="BI433">
        <f t="shared" si="47"/>
        <v>0</v>
      </c>
      <c r="BJ433" s="95">
        <f t="shared" si="48"/>
        <v>1</v>
      </c>
      <c r="BP433" s="217">
        <f t="shared" si="51"/>
        <v>850872.46626910265</v>
      </c>
    </row>
    <row r="434" spans="1:68">
      <c r="A434" s="11">
        <v>428</v>
      </c>
      <c r="C434" s="27">
        <v>0.9224183717071508</v>
      </c>
      <c r="D434" s="27">
        <v>7.7581628292849203E-2</v>
      </c>
      <c r="E434" s="27">
        <v>0</v>
      </c>
      <c r="F434" s="27">
        <v>0.85326630114907587</v>
      </c>
      <c r="G434" s="27">
        <v>0.14673369885092413</v>
      </c>
      <c r="H434" s="27">
        <v>0</v>
      </c>
      <c r="I434" s="27">
        <v>0.76115276940033094</v>
      </c>
      <c r="J434" s="27">
        <v>0.23884723059966906</v>
      </c>
      <c r="K434" s="27">
        <v>0</v>
      </c>
      <c r="L434" s="27">
        <v>0.17276580700907535</v>
      </c>
      <c r="M434" s="27">
        <v>0.49856322306163847</v>
      </c>
      <c r="N434" s="27">
        <v>0.32867096992928618</v>
      </c>
      <c r="O434" s="27">
        <v>-11.495582049366931</v>
      </c>
      <c r="P434" s="27">
        <v>3.5331615655132931E-2</v>
      </c>
      <c r="Q434" s="27">
        <v>4.4873901442235495E-5</v>
      </c>
      <c r="R434" s="27">
        <v>1.1069022111069005</v>
      </c>
      <c r="S434" s="154"/>
      <c r="T434">
        <v>0.9325833741717382</v>
      </c>
      <c r="U434">
        <v>2.2795796928372711</v>
      </c>
      <c r="V434">
        <v>3.0027165132844393</v>
      </c>
      <c r="W434">
        <v>1</v>
      </c>
      <c r="Y434" s="2">
        <v>17.007028907529442</v>
      </c>
      <c r="Z434" s="2">
        <v>3011.6576778469666</v>
      </c>
      <c r="AA434" s="2">
        <v>1407.5505965259413</v>
      </c>
      <c r="AB434" s="2">
        <v>854.35852493457526</v>
      </c>
      <c r="AC434" s="2">
        <v>656.21000113807895</v>
      </c>
      <c r="AD434" s="2">
        <v>3060.6287168299341</v>
      </c>
      <c r="AE434" s="2">
        <v>578.06130685831897</v>
      </c>
      <c r="AF434" s="2">
        <v>1201.1722231543863</v>
      </c>
      <c r="AG434" s="2">
        <v>118.62050829228137</v>
      </c>
      <c r="AH434" s="2">
        <v>313.59969353800062</v>
      </c>
      <c r="AI434" s="2">
        <v>540786.23154845985</v>
      </c>
      <c r="AJ434" s="2">
        <v>501108.84493040654</v>
      </c>
      <c r="AL434" s="27">
        <v>0.91351448248651657</v>
      </c>
      <c r="AM434" s="27">
        <v>0.91475534567805061</v>
      </c>
      <c r="AN434" s="27">
        <v>0.90461421689200716</v>
      </c>
      <c r="AO434" s="27">
        <v>0.8446971633169098</v>
      </c>
      <c r="AP434" s="27">
        <v>0.68324120283856082</v>
      </c>
      <c r="AQ434" s="27">
        <v>0.91351448248651657</v>
      </c>
      <c r="AR434" s="27">
        <v>0.91475534567805061</v>
      </c>
      <c r="AS434" s="27">
        <v>0.90461421689200716</v>
      </c>
      <c r="AT434" s="27">
        <v>0.8446971633169098</v>
      </c>
      <c r="AU434" s="27">
        <v>0.68324120283856082</v>
      </c>
      <c r="AW434" s="1">
        <v>13.718844388216747</v>
      </c>
      <c r="AX434" s="1">
        <v>15.894735074146201</v>
      </c>
      <c r="AY434" s="2">
        <v>2062613.9305594387</v>
      </c>
      <c r="AZ434" s="1">
        <v>15.360976065601168</v>
      </c>
      <c r="BA434" s="1">
        <v>17.467002103410096</v>
      </c>
      <c r="BB434" s="2">
        <v>1559091.1792473588</v>
      </c>
      <c r="BC434" s="2">
        <f t="shared" si="49"/>
        <v>-503522.75131207984</v>
      </c>
      <c r="BD434" s="292">
        <f t="shared" si="50"/>
        <v>1.6421316773844215</v>
      </c>
      <c r="BF434" s="170">
        <f t="shared" si="45"/>
        <v>132401.17155524064</v>
      </c>
      <c r="BG434" s="2">
        <f t="shared" si="46"/>
        <v>898664.99124882789</v>
      </c>
      <c r="BI434">
        <f t="shared" si="47"/>
        <v>0</v>
      </c>
      <c r="BJ434" s="95">
        <f t="shared" si="48"/>
        <v>1</v>
      </c>
      <c r="BP434" s="217">
        <f t="shared" si="51"/>
        <v>898664.99124882789</v>
      </c>
    </row>
    <row r="435" spans="1:68">
      <c r="A435" s="11">
        <v>429</v>
      </c>
      <c r="C435" s="27">
        <v>0.92289758125562549</v>
      </c>
      <c r="D435" s="27">
        <v>7.7102418744374512E-2</v>
      </c>
      <c r="E435" s="27">
        <v>0</v>
      </c>
      <c r="F435" s="27">
        <v>0.85801393815133442</v>
      </c>
      <c r="G435" s="27">
        <v>0.14198606184866558</v>
      </c>
      <c r="H435" s="27">
        <v>0</v>
      </c>
      <c r="I435" s="27">
        <v>0.75225119071959012</v>
      </c>
      <c r="J435" s="27">
        <v>0.24774880928040985</v>
      </c>
      <c r="K435" s="27">
        <v>0</v>
      </c>
      <c r="L435" s="27">
        <v>0.20450753661372567</v>
      </c>
      <c r="M435" s="27">
        <v>0.49352667664061767</v>
      </c>
      <c r="N435" s="27">
        <v>0.30196578674565666</v>
      </c>
      <c r="O435" s="27">
        <v>-11.274766739486024</v>
      </c>
      <c r="P435" s="27">
        <v>3.5932063887572301E-2</v>
      </c>
      <c r="Q435" s="27">
        <v>5.739117246878742E-5</v>
      </c>
      <c r="R435" s="27">
        <v>1.0785754829428629</v>
      </c>
      <c r="S435" s="154"/>
      <c r="T435">
        <v>1.0034526639395545</v>
      </c>
      <c r="U435">
        <v>2.2703757115679508</v>
      </c>
      <c r="V435">
        <v>3.1663420265877913</v>
      </c>
      <c r="W435">
        <v>1</v>
      </c>
      <c r="Y435" s="2">
        <v>2150.1909810557786</v>
      </c>
      <c r="Z435" s="2">
        <v>5461.0743572051015</v>
      </c>
      <c r="AA435" s="2">
        <v>412.98893888255719</v>
      </c>
      <c r="AB435" s="2">
        <v>1825.9070547660972</v>
      </c>
      <c r="AC435" s="2">
        <v>295.20420297593284</v>
      </c>
      <c r="AD435" s="2">
        <v>4066.3057035085003</v>
      </c>
      <c r="AE435" s="2">
        <v>597.77259461325968</v>
      </c>
      <c r="AF435" s="2">
        <v>1021.2612100013592</v>
      </c>
      <c r="AG435" s="2">
        <v>50.248362685947264</v>
      </c>
      <c r="AH435" s="2">
        <v>633.99860899967962</v>
      </c>
      <c r="AI435" s="2">
        <v>524610.71503342164</v>
      </c>
      <c r="AJ435" s="2">
        <v>501337.36966990749</v>
      </c>
      <c r="AL435" s="27">
        <v>0.91830577086586651</v>
      </c>
      <c r="AM435" s="27">
        <v>0.92229739578781844</v>
      </c>
      <c r="AN435" s="27">
        <v>0.91089007432945768</v>
      </c>
      <c r="AO435" s="27">
        <v>0.85428279879774816</v>
      </c>
      <c r="AP435" s="27">
        <v>0.74534027015607218</v>
      </c>
      <c r="AQ435" s="27">
        <v>0.91830577086586651</v>
      </c>
      <c r="AR435" s="27">
        <v>0.92229739578781844</v>
      </c>
      <c r="AS435" s="27">
        <v>0.91089007432945768</v>
      </c>
      <c r="AT435" s="27">
        <v>0.85428279879774816</v>
      </c>
      <c r="AU435" s="27">
        <v>0.74534027015607218</v>
      </c>
      <c r="AW435" s="1">
        <v>13.912294052781927</v>
      </c>
      <c r="AX435" s="1">
        <v>15.855566455289166</v>
      </c>
      <c r="AY435" s="2">
        <v>2265628.4284147066</v>
      </c>
      <c r="AZ435" s="1">
        <v>15.703317282292582</v>
      </c>
      <c r="BA435" s="1">
        <v>17.597595772213097</v>
      </c>
      <c r="BB435" s="2">
        <v>1623998.7201020175</v>
      </c>
      <c r="BC435" s="2">
        <f t="shared" si="49"/>
        <v>-641629.70831268909</v>
      </c>
      <c r="BD435" s="292">
        <f t="shared" si="50"/>
        <v>1.791023229510655</v>
      </c>
      <c r="BF435" s="170">
        <f t="shared" si="45"/>
        <v>-39661.37996959826</v>
      </c>
      <c r="BG435" s="2">
        <f t="shared" si="46"/>
        <v>888532.04506479553</v>
      </c>
      <c r="BI435">
        <f t="shared" si="47"/>
        <v>0</v>
      </c>
      <c r="BJ435" s="95">
        <f t="shared" si="48"/>
        <v>1</v>
      </c>
      <c r="BP435" s="217">
        <f t="shared" si="51"/>
        <v>888532.04506479553</v>
      </c>
    </row>
    <row r="436" spans="1:68">
      <c r="A436" s="11">
        <v>430</v>
      </c>
      <c r="C436" s="27">
        <v>0.91973780755058765</v>
      </c>
      <c r="D436" s="27">
        <v>8.0262192449412351E-2</v>
      </c>
      <c r="E436" s="27">
        <v>0</v>
      </c>
      <c r="F436" s="27">
        <v>0.85719583482137074</v>
      </c>
      <c r="G436" s="27">
        <v>0.14280416517862926</v>
      </c>
      <c r="H436" s="27">
        <v>0</v>
      </c>
      <c r="I436" s="27">
        <v>0.74075294096066091</v>
      </c>
      <c r="J436" s="27">
        <v>0.25924705903933909</v>
      </c>
      <c r="K436" s="27">
        <v>0</v>
      </c>
      <c r="L436" s="27">
        <v>7.31255753404364E-2</v>
      </c>
      <c r="M436" s="27">
        <v>0.53150604574058546</v>
      </c>
      <c r="N436" s="27">
        <v>0.39536837891897814</v>
      </c>
      <c r="O436" s="27">
        <v>-10.705014809740105</v>
      </c>
      <c r="P436" s="27">
        <v>3.6803045709904579E-2</v>
      </c>
      <c r="Q436" s="27">
        <v>1.052379175175999E-4</v>
      </c>
      <c r="R436" s="27">
        <v>0.99942237074363593</v>
      </c>
      <c r="S436" s="154"/>
      <c r="T436">
        <v>1.041257486769283</v>
      </c>
      <c r="U436">
        <v>2.2221985494661922</v>
      </c>
      <c r="V436">
        <v>2.9445504904918907</v>
      </c>
      <c r="W436">
        <v>1</v>
      </c>
      <c r="Y436" s="2">
        <v>1070.6352572233357</v>
      </c>
      <c r="Z436" s="2">
        <v>5365.2599153509564</v>
      </c>
      <c r="AA436" s="2">
        <v>343.60937127573294</v>
      </c>
      <c r="AB436" s="2">
        <v>6807.3087662192729</v>
      </c>
      <c r="AC436" s="2">
        <v>1637.5650713023335</v>
      </c>
      <c r="AD436" s="2">
        <v>1750.0851533527753</v>
      </c>
      <c r="AE436" s="2">
        <v>574.51864127247381</v>
      </c>
      <c r="AF436" s="2">
        <v>1134.4750493005786</v>
      </c>
      <c r="AG436" s="2">
        <v>84.479006760722584</v>
      </c>
      <c r="AH436" s="2">
        <v>510.41236337171307</v>
      </c>
      <c r="AI436" s="2">
        <v>374538.59214442258</v>
      </c>
      <c r="AJ436" s="2">
        <v>336334.88608412404</v>
      </c>
      <c r="AL436" s="27">
        <v>0.91818658048061264</v>
      </c>
      <c r="AM436" s="27">
        <v>0.91503526003905322</v>
      </c>
      <c r="AN436" s="27">
        <v>0.9108381177925382</v>
      </c>
      <c r="AO436" s="27">
        <v>0.88633776384646268</v>
      </c>
      <c r="AP436" s="27">
        <v>0.70546839246026738</v>
      </c>
      <c r="AQ436" s="27">
        <v>0.91818658048061264</v>
      </c>
      <c r="AR436" s="27">
        <v>0.91503526003905322</v>
      </c>
      <c r="AS436" s="27">
        <v>0.9108381177925382</v>
      </c>
      <c r="AT436" s="27">
        <v>0.88633776384646268</v>
      </c>
      <c r="AU436" s="27">
        <v>0.70546839246026738</v>
      </c>
      <c r="AW436" s="1">
        <v>13.469505714985116</v>
      </c>
      <c r="AX436" s="1">
        <v>15.529522940490169</v>
      </c>
      <c r="AY436" s="2">
        <v>1595173.5865853713</v>
      </c>
      <c r="AZ436" s="1">
        <v>15.37395925769887</v>
      </c>
      <c r="BA436" s="1">
        <v>17.366422444183055</v>
      </c>
      <c r="BB436" s="2">
        <v>1201765.3513477326</v>
      </c>
      <c r="BC436" s="2">
        <f t="shared" si="49"/>
        <v>-393408.2352376387</v>
      </c>
      <c r="BD436" s="292">
        <f t="shared" si="50"/>
        <v>1.9044535427137532</v>
      </c>
      <c r="BF436" s="170">
        <f t="shared" si="45"/>
        <v>559947.32781224744</v>
      </c>
      <c r="BG436" s="2">
        <f t="shared" si="46"/>
        <v>1258068.1298840863</v>
      </c>
      <c r="BI436">
        <f t="shared" si="47"/>
        <v>0</v>
      </c>
      <c r="BJ436" s="95">
        <f t="shared" si="48"/>
        <v>1</v>
      </c>
      <c r="BP436" s="217">
        <f t="shared" si="51"/>
        <v>1258068.1298840863</v>
      </c>
    </row>
    <row r="437" spans="1:68">
      <c r="A437" s="11">
        <v>431</v>
      </c>
      <c r="C437" s="27">
        <v>0.92639246117947782</v>
      </c>
      <c r="D437" s="27">
        <v>7.3607538820522178E-2</v>
      </c>
      <c r="E437" s="27">
        <v>0</v>
      </c>
      <c r="F437" s="27">
        <v>0.85996701889867011</v>
      </c>
      <c r="G437" s="27">
        <v>0.14003298110132983</v>
      </c>
      <c r="H437" s="27">
        <v>0</v>
      </c>
      <c r="I437" s="27">
        <v>0.75659713053618083</v>
      </c>
      <c r="J437" s="27">
        <v>0.24340286946381914</v>
      </c>
      <c r="K437" s="27">
        <v>0</v>
      </c>
      <c r="L437" s="27">
        <v>0.14292089898267141</v>
      </c>
      <c r="M437" s="27">
        <v>0.5157982983803574</v>
      </c>
      <c r="N437" s="27">
        <v>0.34128080263697119</v>
      </c>
      <c r="O437" s="27">
        <v>-11.033183082820782</v>
      </c>
      <c r="P437" s="27">
        <v>3.1858990257206857E-2</v>
      </c>
      <c r="Q437" s="27">
        <v>6.1584182868096098E-5</v>
      </c>
      <c r="R437" s="27">
        <v>1.0743605561691711</v>
      </c>
      <c r="S437" s="154"/>
      <c r="T437">
        <v>1.0444476722011447</v>
      </c>
      <c r="U437">
        <v>2.2471746758788647</v>
      </c>
      <c r="V437">
        <v>2.9457481390330043</v>
      </c>
      <c r="W437">
        <v>1</v>
      </c>
      <c r="Y437" s="2">
        <v>334.57689218684163</v>
      </c>
      <c r="Z437" s="2">
        <v>16670.549527597574</v>
      </c>
      <c r="AA437" s="2">
        <v>504.08182578103072</v>
      </c>
      <c r="AB437" s="2">
        <v>11641.634960466377</v>
      </c>
      <c r="AC437" s="2">
        <v>151.46978593742827</v>
      </c>
      <c r="AD437" s="2">
        <v>643.96344859176827</v>
      </c>
      <c r="AE437" s="2">
        <v>528.77067743142561</v>
      </c>
      <c r="AF437" s="2">
        <v>878.58825892908078</v>
      </c>
      <c r="AG437" s="2">
        <v>117.99504683359089</v>
      </c>
      <c r="AH437" s="2">
        <v>975.74400370487058</v>
      </c>
      <c r="AI437" s="2">
        <v>401817.33075474727</v>
      </c>
      <c r="AJ437" s="2">
        <v>358839.90764032654</v>
      </c>
      <c r="AL437" s="27">
        <v>0.91995804165404205</v>
      </c>
      <c r="AM437" s="27">
        <v>0.91989910727885493</v>
      </c>
      <c r="AN437" s="27">
        <v>0.9095910424038367</v>
      </c>
      <c r="AO437" s="27">
        <v>0.89132347796628608</v>
      </c>
      <c r="AP437" s="27">
        <v>0.62767731156741013</v>
      </c>
      <c r="AQ437" s="27">
        <v>0.91995804165404205</v>
      </c>
      <c r="AR437" s="27">
        <v>0.91989910727885493</v>
      </c>
      <c r="AS437" s="27">
        <v>0.9095910424038367</v>
      </c>
      <c r="AT437" s="27">
        <v>0.89132347796628608</v>
      </c>
      <c r="AU437" s="27">
        <v>0.62767731156741013</v>
      </c>
      <c r="AW437" s="1">
        <v>13.504319547603934</v>
      </c>
      <c r="AX437" s="1">
        <v>15.766099109251387</v>
      </c>
      <c r="AY437" s="2">
        <v>1708576.1015464624</v>
      </c>
      <c r="AZ437" s="1">
        <v>15.49068667576327</v>
      </c>
      <c r="BA437" s="1">
        <v>17.601570609308119</v>
      </c>
      <c r="BB437" s="2">
        <v>1244849.6288284443</v>
      </c>
      <c r="BC437" s="2">
        <f t="shared" si="49"/>
        <v>-463726.47271801811</v>
      </c>
      <c r="BD437" s="292">
        <f t="shared" si="50"/>
        <v>1.9863671281593351</v>
      </c>
      <c r="BF437" s="170">
        <f t="shared" si="45"/>
        <v>452115.02607016708</v>
      </c>
      <c r="BG437" s="2">
        <f t="shared" si="46"/>
        <v>1233660.2392936789</v>
      </c>
      <c r="BI437">
        <f t="shared" si="47"/>
        <v>0</v>
      </c>
      <c r="BJ437" s="95">
        <f t="shared" si="48"/>
        <v>1</v>
      </c>
      <c r="BP437" s="217">
        <f t="shared" si="51"/>
        <v>1233660.2392936789</v>
      </c>
    </row>
    <row r="438" spans="1:68">
      <c r="A438" s="11">
        <v>432</v>
      </c>
      <c r="C438" s="27">
        <v>0.91955155042335412</v>
      </c>
      <c r="D438" s="27">
        <v>8.0448449576645875E-2</v>
      </c>
      <c r="E438" s="27">
        <v>0</v>
      </c>
      <c r="F438" s="27">
        <v>0.85927378579517666</v>
      </c>
      <c r="G438" s="27">
        <v>0.14072621420482337</v>
      </c>
      <c r="H438" s="27">
        <v>0</v>
      </c>
      <c r="I438" s="27">
        <v>0.7453437046032011</v>
      </c>
      <c r="J438" s="27">
        <v>0.2546562953967989</v>
      </c>
      <c r="K438" s="27">
        <v>0</v>
      </c>
      <c r="L438" s="27">
        <v>7.2047115419168861E-2</v>
      </c>
      <c r="M438" s="27">
        <v>0.5242251222797063</v>
      </c>
      <c r="N438" s="27">
        <v>0.40372776230112484</v>
      </c>
      <c r="O438" s="27">
        <v>-11.067582886562162</v>
      </c>
      <c r="P438" s="27">
        <v>3.446692782031667E-2</v>
      </c>
      <c r="Q438" s="27">
        <v>6.6389481969106312E-5</v>
      </c>
      <c r="R438" s="27">
        <v>1.0564652456345205</v>
      </c>
      <c r="S438" s="154"/>
      <c r="T438">
        <v>1.0047200456866454</v>
      </c>
      <c r="U438">
        <v>2.18774115565795</v>
      </c>
      <c r="V438">
        <v>2.9018119430608063</v>
      </c>
      <c r="W438">
        <v>1</v>
      </c>
      <c r="Y438" s="2">
        <v>963.11441587464765</v>
      </c>
      <c r="Z438" s="2">
        <v>1714.1021056179814</v>
      </c>
      <c r="AA438" s="2">
        <v>249.90969871621184</v>
      </c>
      <c r="AB438" s="2">
        <v>5321.7589419098231</v>
      </c>
      <c r="AC438" s="2">
        <v>456.98528253178858</v>
      </c>
      <c r="AD438" s="2">
        <v>865.98796112096261</v>
      </c>
      <c r="AE438" s="2">
        <v>527.69360295959461</v>
      </c>
      <c r="AF438" s="2">
        <v>1240.9613185762862</v>
      </c>
      <c r="AG438" s="2">
        <v>126.55268713781547</v>
      </c>
      <c r="AH438" s="2">
        <v>652.58172876547565</v>
      </c>
      <c r="AI438" s="2">
        <v>395358.52560054848</v>
      </c>
      <c r="AJ438" s="2">
        <v>359240.98961032287</v>
      </c>
      <c r="AL438" s="27">
        <v>0.91637165696859391</v>
      </c>
      <c r="AM438" s="27">
        <v>0.90380783926559627</v>
      </c>
      <c r="AN438" s="27">
        <v>0.90947572559055567</v>
      </c>
      <c r="AO438" s="27">
        <v>0.86722822197439908</v>
      </c>
      <c r="AP438" s="27">
        <v>0.76696999684178491</v>
      </c>
      <c r="AQ438" s="27">
        <v>0.91637165696859391</v>
      </c>
      <c r="AR438" s="27">
        <v>0.90380783926559627</v>
      </c>
      <c r="AS438" s="27">
        <v>0.90947572559055567</v>
      </c>
      <c r="AT438" s="27">
        <v>0.86722822197439908</v>
      </c>
      <c r="AU438" s="27">
        <v>0.76696999684178491</v>
      </c>
      <c r="AW438" s="1">
        <v>13.654887294822204</v>
      </c>
      <c r="AX438" s="1">
        <v>15.509847062526912</v>
      </c>
      <c r="AY438" s="2">
        <v>1520951.3719156347</v>
      </c>
      <c r="AZ438" s="1">
        <v>15.402867784527773</v>
      </c>
      <c r="BA438" s="1">
        <v>17.28647939156323</v>
      </c>
      <c r="BB438" s="2">
        <v>1174270.8289072379</v>
      </c>
      <c r="BC438" s="2">
        <f t="shared" si="49"/>
        <v>-346680.54300839687</v>
      </c>
      <c r="BD438" s="292">
        <f t="shared" si="50"/>
        <v>1.7479804897055686</v>
      </c>
      <c r="BF438" s="170">
        <f t="shared" si="45"/>
        <v>663830.59525591787</v>
      </c>
      <c r="BG438" s="2">
        <f t="shared" si="46"/>
        <v>1290188.0166172059</v>
      </c>
      <c r="BI438">
        <f t="shared" si="47"/>
        <v>0</v>
      </c>
      <c r="BJ438" s="95">
        <f t="shared" si="48"/>
        <v>1</v>
      </c>
      <c r="BP438" s="217">
        <f t="shared" si="51"/>
        <v>1290188.0166172059</v>
      </c>
    </row>
    <row r="439" spans="1:68">
      <c r="A439" s="11">
        <v>433</v>
      </c>
      <c r="C439" s="27">
        <v>0.92218616196947356</v>
      </c>
      <c r="D439" s="27">
        <v>7.7813838030526439E-2</v>
      </c>
      <c r="E439" s="27">
        <v>0</v>
      </c>
      <c r="F439" s="27">
        <v>0.85496037625493637</v>
      </c>
      <c r="G439" s="27">
        <v>0.14503962374506363</v>
      </c>
      <c r="H439" s="27">
        <v>0</v>
      </c>
      <c r="I439" s="27">
        <v>0.74928294960930419</v>
      </c>
      <c r="J439" s="27">
        <v>0.25071705039069581</v>
      </c>
      <c r="K439" s="27">
        <v>0</v>
      </c>
      <c r="L439" s="27">
        <v>0.11057690657424912</v>
      </c>
      <c r="M439" s="27">
        <v>0.50846861533716559</v>
      </c>
      <c r="N439" s="27">
        <v>0.38095447808858529</v>
      </c>
      <c r="O439" s="27">
        <v>-11.341303289804445</v>
      </c>
      <c r="P439" s="27">
        <v>3.4370281457696578E-2</v>
      </c>
      <c r="Q439" s="27">
        <v>5.0287628339253486E-5</v>
      </c>
      <c r="R439" s="27">
        <v>1.0987041296096829</v>
      </c>
      <c r="S439" s="154"/>
      <c r="T439">
        <v>1.0568560190787626</v>
      </c>
      <c r="U439">
        <v>2.2562079829201789</v>
      </c>
      <c r="V439">
        <v>3.2821631114041434</v>
      </c>
      <c r="W439">
        <v>1</v>
      </c>
      <c r="Y439" s="2">
        <v>2055.5014307803117</v>
      </c>
      <c r="Z439" s="2">
        <v>186.46643474396635</v>
      </c>
      <c r="AA439" s="2">
        <v>495.56034700042056</v>
      </c>
      <c r="AB439" s="2">
        <v>748.57497391273318</v>
      </c>
      <c r="AC439" s="2">
        <v>2760.6773139329912</v>
      </c>
      <c r="AD439" s="2">
        <v>790.0851355482481</v>
      </c>
      <c r="AE439" s="2">
        <v>532.50107476029461</v>
      </c>
      <c r="AF439" s="2">
        <v>924.09030342038795</v>
      </c>
      <c r="AG439" s="2">
        <v>180.65165531126507</v>
      </c>
      <c r="AH439" s="2">
        <v>270.55171363878804</v>
      </c>
      <c r="AI439" s="2">
        <v>748087.25311618519</v>
      </c>
      <c r="AJ439" s="2">
        <v>718039.05004202831</v>
      </c>
      <c r="AL439" s="27">
        <v>0.91597038584503543</v>
      </c>
      <c r="AM439" s="27">
        <v>0.9155615940716042</v>
      </c>
      <c r="AN439" s="27">
        <v>0.90476481110753315</v>
      </c>
      <c r="AO439" s="27">
        <v>0.91487108683657559</v>
      </c>
      <c r="AP439" s="27">
        <v>0.60179687905126211</v>
      </c>
      <c r="AQ439" s="27">
        <v>0.91597038584503543</v>
      </c>
      <c r="AR439" s="27">
        <v>0.9155615940716042</v>
      </c>
      <c r="AS439" s="27">
        <v>0.90476481110753315</v>
      </c>
      <c r="AT439" s="27">
        <v>0.91487108683657559</v>
      </c>
      <c r="AU439" s="27">
        <v>0.60179687905126211</v>
      </c>
      <c r="AW439" s="1">
        <v>12.924010970468812</v>
      </c>
      <c r="AX439" s="1">
        <v>15.246361627311115</v>
      </c>
      <c r="AY439" s="2">
        <v>2959680.3247139105</v>
      </c>
      <c r="AZ439" s="1">
        <v>15.077243191031002</v>
      </c>
      <c r="BA439" s="1">
        <v>17.259769959285165</v>
      </c>
      <c r="BB439" s="2">
        <v>2018685.7020427508</v>
      </c>
      <c r="BC439" s="2">
        <f t="shared" si="49"/>
        <v>-940994.62267115968</v>
      </c>
      <c r="BD439" s="292">
        <f t="shared" si="50"/>
        <v>2.1532322205621899</v>
      </c>
      <c r="BF439" s="170">
        <f t="shared" si="45"/>
        <v>-891838.56943890057</v>
      </c>
      <c r="BG439" s="2">
        <f t="shared" si="46"/>
        <v>393673.20852220966</v>
      </c>
      <c r="BI439">
        <f t="shared" si="47"/>
        <v>0</v>
      </c>
      <c r="BJ439" s="95">
        <f t="shared" si="48"/>
        <v>1</v>
      </c>
      <c r="BP439" s="217">
        <f t="shared" si="51"/>
        <v>393673.20852220966</v>
      </c>
    </row>
    <row r="440" spans="1:68">
      <c r="A440" s="11">
        <v>434</v>
      </c>
      <c r="C440" s="27">
        <v>0.92182553898245256</v>
      </c>
      <c r="D440" s="27">
        <v>7.8174461017547436E-2</v>
      </c>
      <c r="E440" s="27">
        <v>0</v>
      </c>
      <c r="F440" s="27">
        <v>0.84906706023894307</v>
      </c>
      <c r="G440" s="27">
        <v>0.15093293976105693</v>
      </c>
      <c r="H440" s="27">
        <v>0</v>
      </c>
      <c r="I440" s="27">
        <v>0.74815769050480219</v>
      </c>
      <c r="J440" s="27">
        <v>0.25184230949519781</v>
      </c>
      <c r="K440" s="27">
        <v>0</v>
      </c>
      <c r="L440" s="27">
        <v>4.5408258776909793E-2</v>
      </c>
      <c r="M440" s="27">
        <v>0.4953167220810763</v>
      </c>
      <c r="N440" s="27">
        <v>0.45927501914201385</v>
      </c>
      <c r="O440" s="27">
        <v>-11.233473345094595</v>
      </c>
      <c r="P440" s="27">
        <v>3.3948442907486158E-2</v>
      </c>
      <c r="Q440" s="27">
        <v>5.5029632616127409E-5</v>
      </c>
      <c r="R440" s="27">
        <v>1.0931566408087889</v>
      </c>
      <c r="S440" s="154"/>
      <c r="T440">
        <v>1.090825976829519</v>
      </c>
      <c r="U440">
        <v>2.2677798806142135</v>
      </c>
      <c r="V440">
        <v>2.912580469652351</v>
      </c>
      <c r="W440">
        <v>1</v>
      </c>
      <c r="Y440" s="2">
        <v>732.19659425146062</v>
      </c>
      <c r="Z440" s="2">
        <v>844.06812306270831</v>
      </c>
      <c r="AA440" s="2">
        <v>3763.4526281536068</v>
      </c>
      <c r="AB440" s="2">
        <v>4159.0390919441079</v>
      </c>
      <c r="AC440" s="2">
        <v>392.72614030417327</v>
      </c>
      <c r="AD440" s="2">
        <v>1514.5184564235319</v>
      </c>
      <c r="AE440" s="2">
        <v>491.4942992615064</v>
      </c>
      <c r="AF440" s="2">
        <v>1029.0786833512288</v>
      </c>
      <c r="AG440" s="2">
        <v>115.00626501707386</v>
      </c>
      <c r="AH440" s="2">
        <v>337.33174368303128</v>
      </c>
      <c r="AI440" s="2">
        <v>415252.19290659158</v>
      </c>
      <c r="AJ440" s="2">
        <v>381454.2090729273</v>
      </c>
      <c r="AL440" s="27">
        <v>0.91934551968834732</v>
      </c>
      <c r="AM440" s="27">
        <v>0.91572742330977408</v>
      </c>
      <c r="AN440" s="27">
        <v>0.90507236119714951</v>
      </c>
      <c r="AO440" s="27">
        <v>0.83935774383917194</v>
      </c>
      <c r="AP440" s="27">
        <v>0.70274454713780643</v>
      </c>
      <c r="AQ440" s="27">
        <v>0.91934551968834732</v>
      </c>
      <c r="AR440" s="27">
        <v>0.91572742330977408</v>
      </c>
      <c r="AS440" s="27">
        <v>0.90507236119714951</v>
      </c>
      <c r="AT440" s="27">
        <v>0.83935774383917194</v>
      </c>
      <c r="AU440" s="27">
        <v>0.70274454713780643</v>
      </c>
      <c r="AW440" s="1">
        <v>12.861747481582563</v>
      </c>
      <c r="AX440" s="1">
        <v>14.769979233386229</v>
      </c>
      <c r="AY440" s="2">
        <v>1431923.2136647746</v>
      </c>
      <c r="AZ440" s="1">
        <v>15.038715495483997</v>
      </c>
      <c r="BA440" s="1">
        <v>16.928766077939631</v>
      </c>
      <c r="BB440" s="2">
        <v>1133199.5247244332</v>
      </c>
      <c r="BC440" s="2">
        <f t="shared" si="49"/>
        <v>-298723.68894034135</v>
      </c>
      <c r="BD440" s="292">
        <f t="shared" si="50"/>
        <v>2.1769680139014334</v>
      </c>
      <c r="BF440" s="170">
        <f t="shared" si="45"/>
        <v>625956.3833884357</v>
      </c>
      <c r="BG440" s="2">
        <f t="shared" si="46"/>
        <v>1272994.9545530062</v>
      </c>
      <c r="BI440">
        <f t="shared" si="47"/>
        <v>0</v>
      </c>
      <c r="BJ440" s="95">
        <f t="shared" si="48"/>
        <v>1</v>
      </c>
      <c r="BP440" s="217">
        <f t="shared" si="51"/>
        <v>1272994.9545530062</v>
      </c>
    </row>
    <row r="441" spans="1:68">
      <c r="A441" s="11">
        <v>435</v>
      </c>
      <c r="C441" s="27">
        <v>0.92215613212002712</v>
      </c>
      <c r="D441" s="27">
        <v>7.7843867879972883E-2</v>
      </c>
      <c r="E441" s="27">
        <v>0</v>
      </c>
      <c r="F441" s="27">
        <v>0.86239672755008179</v>
      </c>
      <c r="G441" s="27">
        <v>0.13760327244991821</v>
      </c>
      <c r="H441" s="27">
        <v>0</v>
      </c>
      <c r="I441" s="27">
        <v>0.7541291595467966</v>
      </c>
      <c r="J441" s="27">
        <v>0.24587084045320337</v>
      </c>
      <c r="K441" s="27">
        <v>0</v>
      </c>
      <c r="L441" s="27">
        <v>0.11795374636513983</v>
      </c>
      <c r="M441" s="27">
        <v>0.55744548357868706</v>
      </c>
      <c r="N441" s="27">
        <v>0.3246007700561731</v>
      </c>
      <c r="O441" s="27">
        <v>-11.256007829772967</v>
      </c>
      <c r="P441" s="27">
        <v>3.335620377836853E-2</v>
      </c>
      <c r="Q441" s="27">
        <v>5.2481634370568887E-5</v>
      </c>
      <c r="R441" s="27">
        <v>1.0861997251380835</v>
      </c>
      <c r="S441" s="154"/>
      <c r="T441">
        <v>0.99316514211904483</v>
      </c>
      <c r="U441">
        <v>2.2595771362441632</v>
      </c>
      <c r="V441">
        <v>3.3005415687871866</v>
      </c>
      <c r="W441">
        <v>1</v>
      </c>
      <c r="Y441" s="2">
        <v>659.39008467920405</v>
      </c>
      <c r="Z441" s="2">
        <v>239.68408542796206</v>
      </c>
      <c r="AA441" s="2">
        <v>247.47514621229848</v>
      </c>
      <c r="AB441" s="2">
        <v>5785.2320235764328</v>
      </c>
      <c r="AC441" s="2">
        <v>370.39337102692758</v>
      </c>
      <c r="AD441" s="2">
        <v>4509.2166556645816</v>
      </c>
      <c r="AE441" s="2">
        <v>557.75342407695564</v>
      </c>
      <c r="AF441" s="2">
        <v>1532.4753440146453</v>
      </c>
      <c r="AG441" s="2">
        <v>80.410729303534382</v>
      </c>
      <c r="AH441" s="2">
        <v>233.76396434366691</v>
      </c>
      <c r="AI441" s="2">
        <v>765886.34838594205</v>
      </c>
      <c r="AJ441" s="2">
        <v>732079.66443590447</v>
      </c>
      <c r="AL441" s="27">
        <v>0.918630906171507</v>
      </c>
      <c r="AM441" s="27">
        <v>0.91338529837119242</v>
      </c>
      <c r="AN441" s="27">
        <v>0.91073657533972752</v>
      </c>
      <c r="AO441" s="27">
        <v>0.91017775459766526</v>
      </c>
      <c r="AP441" s="27">
        <v>0.68907908630016668</v>
      </c>
      <c r="AQ441" s="27">
        <v>0.918630906171507</v>
      </c>
      <c r="AR441" s="27">
        <v>0.91338529837119242</v>
      </c>
      <c r="AS441" s="27">
        <v>0.91073657533972752</v>
      </c>
      <c r="AT441" s="27">
        <v>0.91017775459766526</v>
      </c>
      <c r="AU441" s="27">
        <v>0.68907908630016668</v>
      </c>
      <c r="AW441" s="1">
        <v>13.780263829413926</v>
      </c>
      <c r="AX441" s="1">
        <v>15.922178763067292</v>
      </c>
      <c r="AY441" s="2">
        <v>3252323.7793095042</v>
      </c>
      <c r="AZ441" s="1">
        <v>15.603982239159873</v>
      </c>
      <c r="BA441" s="1">
        <v>17.65482654797875</v>
      </c>
      <c r="BB441" s="2">
        <v>2434852.0880527147</v>
      </c>
      <c r="BC441" s="2">
        <f t="shared" si="49"/>
        <v>-817471.69125678949</v>
      </c>
      <c r="BD441" s="292">
        <f t="shared" si="50"/>
        <v>1.8237184097459469</v>
      </c>
      <c r="BF441" s="170">
        <f t="shared" si="45"/>
        <v>-1047481.5666032759</v>
      </c>
      <c r="BG441" s="2">
        <f t="shared" si="46"/>
        <v>61785.070212864783</v>
      </c>
      <c r="BI441">
        <f t="shared" si="47"/>
        <v>0</v>
      </c>
      <c r="BJ441" s="95">
        <f t="shared" si="48"/>
        <v>1</v>
      </c>
      <c r="BP441" s="217">
        <f t="shared" si="51"/>
        <v>61785.070212864783</v>
      </c>
    </row>
    <row r="442" spans="1:68">
      <c r="A442" s="11">
        <v>436</v>
      </c>
      <c r="C442" s="27">
        <v>0.92673282563467885</v>
      </c>
      <c r="D442" s="27">
        <v>7.3267174365321153E-2</v>
      </c>
      <c r="E442" s="27">
        <v>0</v>
      </c>
      <c r="F442" s="27">
        <v>0.86183297642369761</v>
      </c>
      <c r="G442" s="27">
        <v>0.13816702357630242</v>
      </c>
      <c r="H442" s="27">
        <v>0</v>
      </c>
      <c r="I442" s="27">
        <v>0.74779928560673525</v>
      </c>
      <c r="J442" s="27">
        <v>0.25220071439326475</v>
      </c>
      <c r="K442" s="27">
        <v>0</v>
      </c>
      <c r="L442" s="27">
        <v>0.17927898789768382</v>
      </c>
      <c r="M442" s="27">
        <v>0.4676278120371965</v>
      </c>
      <c r="N442" s="27">
        <v>0.35309320006511968</v>
      </c>
      <c r="O442" s="27">
        <v>-10.926238524432073</v>
      </c>
      <c r="P442" s="27">
        <v>3.3693447558326504E-2</v>
      </c>
      <c r="Q442" s="27">
        <v>7.4024552667851745E-5</v>
      </c>
      <c r="R442" s="27">
        <v>1.0477624352714239</v>
      </c>
      <c r="S442" s="154"/>
      <c r="T442">
        <v>1.0388069284741288</v>
      </c>
      <c r="U442">
        <v>2.2164756429780499</v>
      </c>
      <c r="V442">
        <v>2.9715805981211547</v>
      </c>
      <c r="W442">
        <v>1</v>
      </c>
      <c r="Y442" s="2">
        <v>153.03504147379715</v>
      </c>
      <c r="Z442" s="2">
        <v>10152.35254303389</v>
      </c>
      <c r="AA442" s="2">
        <v>1928.0836232290069</v>
      </c>
      <c r="AB442" s="2">
        <v>8522.2179860835295</v>
      </c>
      <c r="AC442" s="2">
        <v>823.0832615843093</v>
      </c>
      <c r="AD442" s="2">
        <v>1289.4862516937733</v>
      </c>
      <c r="AE442" s="2">
        <v>531.73828746138497</v>
      </c>
      <c r="AF442" s="2">
        <v>1301.6699912203917</v>
      </c>
      <c r="AG442" s="2">
        <v>126.52801405868132</v>
      </c>
      <c r="AH442" s="2">
        <v>577.91209053677744</v>
      </c>
      <c r="AI442" s="2">
        <v>618390.92498974304</v>
      </c>
      <c r="AJ442" s="2">
        <v>589954.88300078025</v>
      </c>
      <c r="AL442" s="27">
        <v>0.90972987759545765</v>
      </c>
      <c r="AM442" s="27">
        <v>0.91270327565397147</v>
      </c>
      <c r="AN442" s="27">
        <v>0.90539243050399099</v>
      </c>
      <c r="AO442" s="27">
        <v>0.88285880699750863</v>
      </c>
      <c r="AP442" s="27">
        <v>0.76202549665448871</v>
      </c>
      <c r="AQ442" s="27">
        <v>0.90972987759545765</v>
      </c>
      <c r="AR442" s="27">
        <v>0.91270327565397147</v>
      </c>
      <c r="AS442" s="27">
        <v>0.90539243050399099</v>
      </c>
      <c r="AT442" s="27">
        <v>0.88285880699750863</v>
      </c>
      <c r="AU442" s="27">
        <v>0.76202549665448871</v>
      </c>
      <c r="AW442" s="1">
        <v>13.81768190176544</v>
      </c>
      <c r="AX442" s="1">
        <v>15.726431866379752</v>
      </c>
      <c r="AY442" s="2">
        <v>2484107.7109642401</v>
      </c>
      <c r="AZ442" s="1">
        <v>15.62326123213334</v>
      </c>
      <c r="BA442" s="1">
        <v>17.544652718405402</v>
      </c>
      <c r="BB442" s="2">
        <v>1821015.3431000868</v>
      </c>
      <c r="BC442" s="2">
        <f t="shared" si="49"/>
        <v>-663092.36786415335</v>
      </c>
      <c r="BD442" s="292">
        <f t="shared" si="50"/>
        <v>1.8055793303679</v>
      </c>
      <c r="BF442" s="170">
        <f t="shared" si="45"/>
        <v>-273278.60668176971</v>
      </c>
      <c r="BG442" s="2">
        <f t="shared" si="46"/>
        <v>678706.45404124772</v>
      </c>
      <c r="BI442">
        <f t="shared" si="47"/>
        <v>0</v>
      </c>
      <c r="BJ442" s="95">
        <f t="shared" si="48"/>
        <v>1</v>
      </c>
      <c r="BP442" s="217">
        <f t="shared" si="51"/>
        <v>678706.45404124772</v>
      </c>
    </row>
    <row r="443" spans="1:68">
      <c r="A443" s="11">
        <v>437</v>
      </c>
      <c r="C443" s="27">
        <v>0.92100681828514364</v>
      </c>
      <c r="D443" s="27">
        <v>7.8993181714856364E-2</v>
      </c>
      <c r="E443" s="27">
        <v>0</v>
      </c>
      <c r="F443" s="27">
        <v>0.85064366091428878</v>
      </c>
      <c r="G443" s="27">
        <v>0.14935633908571122</v>
      </c>
      <c r="H443" s="27">
        <v>0</v>
      </c>
      <c r="I443" s="27">
        <v>0.7593935734371714</v>
      </c>
      <c r="J443" s="27">
        <v>0.2406064265628286</v>
      </c>
      <c r="K443" s="27">
        <v>0</v>
      </c>
      <c r="L443" s="27">
        <v>8.2211034023369489E-2</v>
      </c>
      <c r="M443" s="27">
        <v>0.5253906133215922</v>
      </c>
      <c r="N443" s="27">
        <v>0.39239835265503831</v>
      </c>
      <c r="O443" s="27">
        <v>-11.313713521818567</v>
      </c>
      <c r="P443" s="27">
        <v>3.7513842927418439E-2</v>
      </c>
      <c r="Q443" s="27">
        <v>5.8990619462097221E-5</v>
      </c>
      <c r="R443" s="27">
        <v>1.0647537537826679</v>
      </c>
      <c r="S443" s="154"/>
      <c r="T443">
        <v>0.86977054549973476</v>
      </c>
      <c r="U443">
        <v>2.2144502807030317</v>
      </c>
      <c r="V443">
        <v>3.0488859571560871</v>
      </c>
      <c r="W443">
        <v>1</v>
      </c>
      <c r="Y443" s="2">
        <v>253.76725534679139</v>
      </c>
      <c r="Z443" s="2">
        <v>595.56791326728046</v>
      </c>
      <c r="AA443" s="2">
        <v>25.324327740639283</v>
      </c>
      <c r="AB443" s="2">
        <v>4063.5573341941154</v>
      </c>
      <c r="AC443" s="2">
        <v>2531.7735409069096</v>
      </c>
      <c r="AD443" s="2">
        <v>132.96164447750846</v>
      </c>
      <c r="AE443" s="2">
        <v>521.33617310551222</v>
      </c>
      <c r="AF443" s="2">
        <v>1241.4399852184151</v>
      </c>
      <c r="AG443" s="2">
        <v>253.66656599704132</v>
      </c>
      <c r="AH443" s="2">
        <v>489.71942009403995</v>
      </c>
      <c r="AI443" s="2">
        <v>483743.49135301437</v>
      </c>
      <c r="AJ443" s="2">
        <v>456271.79812637623</v>
      </c>
      <c r="AL443" s="27">
        <v>0.91917847819826481</v>
      </c>
      <c r="AM443" s="27">
        <v>0.91731024019682983</v>
      </c>
      <c r="AN443" s="27">
        <v>0.91310123677919608</v>
      </c>
      <c r="AO443" s="27">
        <v>0.85599344701576319</v>
      </c>
      <c r="AP443" s="27">
        <v>0.78630292940838431</v>
      </c>
      <c r="AQ443" s="27">
        <v>0.91917847819826481</v>
      </c>
      <c r="AR443" s="27">
        <v>0.91731024019682983</v>
      </c>
      <c r="AS443" s="27">
        <v>0.91310123677919608</v>
      </c>
      <c r="AT443" s="27">
        <v>0.85599344701576319</v>
      </c>
      <c r="AU443" s="27">
        <v>0.78630292940838431</v>
      </c>
      <c r="AW443" s="1">
        <v>14.223033688178102</v>
      </c>
      <c r="AX443" s="1">
        <v>15.982591663549867</v>
      </c>
      <c r="AY443" s="2">
        <v>1844629.2037334975</v>
      </c>
      <c r="AZ443" s="1">
        <v>15.582040282081106</v>
      </c>
      <c r="BA443" s="1">
        <v>17.355060007556421</v>
      </c>
      <c r="BB443" s="2">
        <v>1445423.3666940627</v>
      </c>
      <c r="BC443" s="2">
        <f t="shared" si="49"/>
        <v>-399205.83703943482</v>
      </c>
      <c r="BD443" s="292">
        <f t="shared" si="50"/>
        <v>1.359006593903004</v>
      </c>
      <c r="BF443" s="170">
        <f t="shared" si="45"/>
        <v>431056.18637499888</v>
      </c>
      <c r="BG443" s="2">
        <f t="shared" si="46"/>
        <v>1047703.0784389141</v>
      </c>
      <c r="BI443">
        <f t="shared" si="47"/>
        <v>0</v>
      </c>
      <c r="BJ443" s="95">
        <f t="shared" si="48"/>
        <v>1</v>
      </c>
      <c r="BP443" s="217">
        <f t="shared" si="51"/>
        <v>1047703.0784389141</v>
      </c>
    </row>
    <row r="444" spans="1:68">
      <c r="A444" s="11">
        <v>438</v>
      </c>
      <c r="C444" s="27">
        <v>0.92465868023914621</v>
      </c>
      <c r="D444" s="27">
        <v>7.5341319760853787E-2</v>
      </c>
      <c r="E444" s="27">
        <v>0</v>
      </c>
      <c r="F444" s="27">
        <v>0.85667230847648679</v>
      </c>
      <c r="G444" s="27">
        <v>0.14332769152351321</v>
      </c>
      <c r="H444" s="27">
        <v>0</v>
      </c>
      <c r="I444" s="27">
        <v>0.74767128414931527</v>
      </c>
      <c r="J444" s="27">
        <v>0.25232871585068473</v>
      </c>
      <c r="K444" s="27">
        <v>0</v>
      </c>
      <c r="L444" s="27">
        <v>8.1374174269024269E-2</v>
      </c>
      <c r="M444" s="27">
        <v>0.52895770133688169</v>
      </c>
      <c r="N444" s="27">
        <v>0.38966812439409404</v>
      </c>
      <c r="O444" s="27">
        <v>-11.462463740341363</v>
      </c>
      <c r="P444" s="27">
        <v>3.6870597607062502E-2</v>
      </c>
      <c r="Q444" s="27">
        <v>4.9482145974107562E-5</v>
      </c>
      <c r="R444" s="27">
        <v>1.0965909524040021</v>
      </c>
      <c r="S444" s="154"/>
      <c r="T444">
        <v>1.009085810825773</v>
      </c>
      <c r="U444">
        <v>2.2642156656479875</v>
      </c>
      <c r="V444">
        <v>2.9592481276950648</v>
      </c>
      <c r="W444">
        <v>1</v>
      </c>
      <c r="Y444" s="2">
        <v>596.71827748345697</v>
      </c>
      <c r="Z444" s="2">
        <v>2534.3797683443649</v>
      </c>
      <c r="AA444" s="2">
        <v>2225.8662378160798</v>
      </c>
      <c r="AB444" s="2">
        <v>11059.009581063487</v>
      </c>
      <c r="AC444" s="2">
        <v>1321.0911468268234</v>
      </c>
      <c r="AD444" s="2">
        <v>15.834731506088767</v>
      </c>
      <c r="AE444" s="2">
        <v>601.90138869506859</v>
      </c>
      <c r="AF444" s="2">
        <v>839.49342485130842</v>
      </c>
      <c r="AG444" s="2">
        <v>162.54330795934885</v>
      </c>
      <c r="AH444" s="2">
        <v>710.21464398064381</v>
      </c>
      <c r="AI444" s="2">
        <v>403497.81067095761</v>
      </c>
      <c r="AJ444" s="2">
        <v>377819.5834941325</v>
      </c>
      <c r="AL444" s="27">
        <v>0.91374000514255138</v>
      </c>
      <c r="AM444" s="27">
        <v>0.91398991093963911</v>
      </c>
      <c r="AN444" s="27">
        <v>0.91704567215238675</v>
      </c>
      <c r="AO444" s="27">
        <v>0.82682434979823305</v>
      </c>
      <c r="AP444" s="27">
        <v>0.65078314129855697</v>
      </c>
      <c r="AQ444" s="27">
        <v>0.91374000514255138</v>
      </c>
      <c r="AR444" s="27">
        <v>0.91398991093963911</v>
      </c>
      <c r="AS444" s="27">
        <v>0.91704567215238675</v>
      </c>
      <c r="AT444" s="27">
        <v>0.82682434979823305</v>
      </c>
      <c r="AU444" s="27">
        <v>0.65078314129855697</v>
      </c>
      <c r="AW444" s="1">
        <v>13.341299642582115</v>
      </c>
      <c r="AX444" s="1">
        <v>15.579244283203113</v>
      </c>
      <c r="AY444" s="2">
        <v>1557298.4938039207</v>
      </c>
      <c r="AZ444" s="1">
        <v>15.243206015630589</v>
      </c>
      <c r="BA444" s="1">
        <v>17.37103054754413</v>
      </c>
      <c r="BB444" s="2">
        <v>1285970.6364520181</v>
      </c>
      <c r="BC444" s="2">
        <f t="shared" si="49"/>
        <v>-271327.85735190264</v>
      </c>
      <c r="BD444" s="292">
        <f t="shared" si="50"/>
        <v>1.9019063730484742</v>
      </c>
      <c r="BF444" s="170">
        <f t="shared" si="45"/>
        <v>577309.44900921779</v>
      </c>
      <c r="BG444" s="2">
        <f t="shared" si="46"/>
        <v>1152942.3260488764</v>
      </c>
      <c r="BI444">
        <f t="shared" si="47"/>
        <v>0</v>
      </c>
      <c r="BJ444" s="95">
        <f t="shared" si="48"/>
        <v>1</v>
      </c>
      <c r="BP444" s="217">
        <f t="shared" si="51"/>
        <v>1152942.3260488764</v>
      </c>
    </row>
    <row r="445" spans="1:68">
      <c r="A445" s="11">
        <v>439</v>
      </c>
      <c r="C445" s="27">
        <v>0.92281307674526769</v>
      </c>
      <c r="D445" s="27">
        <v>7.7186923254732309E-2</v>
      </c>
      <c r="E445" s="27">
        <v>0</v>
      </c>
      <c r="F445" s="27">
        <v>0.85424917379349985</v>
      </c>
      <c r="G445" s="27">
        <v>0.14575082620650015</v>
      </c>
      <c r="H445" s="27">
        <v>0</v>
      </c>
      <c r="I445" s="27">
        <v>0.74532417257615335</v>
      </c>
      <c r="J445" s="27">
        <v>0.25467582742384665</v>
      </c>
      <c r="K445" s="27">
        <v>0</v>
      </c>
      <c r="L445" s="27">
        <v>0.1530775835416337</v>
      </c>
      <c r="M445" s="27">
        <v>0.51050549376528298</v>
      </c>
      <c r="N445" s="27">
        <v>0.33641692269308332</v>
      </c>
      <c r="O445" s="27">
        <v>-11.138281108485966</v>
      </c>
      <c r="P445" s="27">
        <v>3.3972697621480218E-2</v>
      </c>
      <c r="Q445" s="27">
        <v>6.0587145467766489E-5</v>
      </c>
      <c r="R445" s="27">
        <v>1.07061522844428</v>
      </c>
      <c r="S445" s="154"/>
      <c r="T445">
        <v>0.96822600913922863</v>
      </c>
      <c r="U445">
        <v>2.2963415262327525</v>
      </c>
      <c r="V445">
        <v>2.8768877429974156</v>
      </c>
      <c r="W445">
        <v>1</v>
      </c>
      <c r="Y445" s="2">
        <v>374.08511720992982</v>
      </c>
      <c r="Z445" s="2">
        <v>181.58359803009748</v>
      </c>
      <c r="AA445" s="2">
        <v>3506.0874381197996</v>
      </c>
      <c r="AB445" s="2">
        <v>5596.8189866671419</v>
      </c>
      <c r="AC445" s="2">
        <v>830.82093817778707</v>
      </c>
      <c r="AD445" s="2">
        <v>2873.0803453892377</v>
      </c>
      <c r="AE445" s="2">
        <v>511.78516970649946</v>
      </c>
      <c r="AF445" s="2">
        <v>1245.5075260004717</v>
      </c>
      <c r="AG445" s="2">
        <v>75.263408307282504</v>
      </c>
      <c r="AH445" s="2">
        <v>353.55199044428872</v>
      </c>
      <c r="AI445" s="2">
        <v>583627.749398769</v>
      </c>
      <c r="AJ445" s="2">
        <v>538240.04516474705</v>
      </c>
      <c r="AL445" s="27">
        <v>0.91504317884695108</v>
      </c>
      <c r="AM445" s="27">
        <v>0.91640493983425719</v>
      </c>
      <c r="AN445" s="27">
        <v>0.90654639320023434</v>
      </c>
      <c r="AO445" s="27">
        <v>0.83191620540059275</v>
      </c>
      <c r="AP445" s="27">
        <v>0.69536537169197821</v>
      </c>
      <c r="AQ445" s="27">
        <v>0.91504317884695108</v>
      </c>
      <c r="AR445" s="27">
        <v>0.91640493983425719</v>
      </c>
      <c r="AS445" s="27">
        <v>0.90654639320023434</v>
      </c>
      <c r="AT445" s="27">
        <v>0.83191620540059275</v>
      </c>
      <c r="AU445" s="27">
        <v>0.69536537169197821</v>
      </c>
      <c r="AW445" s="1">
        <v>13.697972497577245</v>
      </c>
      <c r="AX445" s="1">
        <v>15.846893364968667</v>
      </c>
      <c r="AY445" s="2">
        <v>2265162.7245397409</v>
      </c>
      <c r="AZ445" s="1">
        <v>15.390769297712051</v>
      </c>
      <c r="BA445" s="1">
        <v>17.465478941547676</v>
      </c>
      <c r="BB445" s="2">
        <v>1828922.7789827497</v>
      </c>
      <c r="BC445" s="2">
        <f t="shared" si="49"/>
        <v>-436239.94555699127</v>
      </c>
      <c r="BD445" s="292">
        <f t="shared" si="50"/>
        <v>1.6927968001348059</v>
      </c>
      <c r="BF445" s="170">
        <f t="shared" si="45"/>
        <v>-73487.124927381519</v>
      </c>
      <c r="BG445" s="2">
        <f t="shared" si="46"/>
        <v>633600.30865117861</v>
      </c>
      <c r="BI445">
        <f t="shared" si="47"/>
        <v>0</v>
      </c>
      <c r="BJ445" s="95">
        <f t="shared" si="48"/>
        <v>1</v>
      </c>
      <c r="BP445" s="217">
        <f t="shared" si="51"/>
        <v>633600.30865117861</v>
      </c>
    </row>
    <row r="446" spans="1:68">
      <c r="A446" s="11">
        <v>440</v>
      </c>
      <c r="C446" s="27">
        <v>0.92437627015867296</v>
      </c>
      <c r="D446" s="27">
        <v>7.5623729841327078E-2</v>
      </c>
      <c r="E446" s="27">
        <v>0</v>
      </c>
      <c r="F446" s="27">
        <v>0.85242932368998092</v>
      </c>
      <c r="G446" s="27">
        <v>0.14757067631001908</v>
      </c>
      <c r="H446" s="27">
        <v>0</v>
      </c>
      <c r="I446" s="27">
        <v>0.74793617474695417</v>
      </c>
      <c r="J446" s="27">
        <v>0.25206382525304583</v>
      </c>
      <c r="K446" s="27">
        <v>0</v>
      </c>
      <c r="L446" s="27">
        <v>8.5274095193627497E-2</v>
      </c>
      <c r="M446" s="27">
        <v>0.54443000297542743</v>
      </c>
      <c r="N446" s="27">
        <v>0.37029590183094507</v>
      </c>
      <c r="O446" s="27">
        <v>-11.356081011805559</v>
      </c>
      <c r="P446" s="27">
        <v>3.6754479829216584E-2</v>
      </c>
      <c r="Q446" s="27">
        <v>5.4768636254394821E-5</v>
      </c>
      <c r="R446" s="27">
        <v>1.0819273500916669</v>
      </c>
      <c r="S446" s="154"/>
      <c r="T446">
        <v>0.86768018563522686</v>
      </c>
      <c r="U446">
        <v>2.2279717592603201</v>
      </c>
      <c r="V446">
        <v>2.8937372301480142</v>
      </c>
      <c r="W446">
        <v>1</v>
      </c>
      <c r="Y446" s="2">
        <v>1914.5649393501949</v>
      </c>
      <c r="Z446" s="2">
        <v>2126.9648799656834</v>
      </c>
      <c r="AA446" s="2">
        <v>896.50677662337682</v>
      </c>
      <c r="AB446" s="2">
        <v>7286.3189327381779</v>
      </c>
      <c r="AC446" s="2">
        <v>390.29818287707354</v>
      </c>
      <c r="AD446" s="2">
        <v>1864.5174964463472</v>
      </c>
      <c r="AE446" s="2">
        <v>621.14273440228294</v>
      </c>
      <c r="AF446" s="2">
        <v>1233.9280063515951</v>
      </c>
      <c r="AG446" s="2">
        <v>95.583354080376921</v>
      </c>
      <c r="AH446" s="2">
        <v>597.28069655176591</v>
      </c>
      <c r="AI446" s="2">
        <v>465844.6355772831</v>
      </c>
      <c r="AJ446" s="2">
        <v>434165.10925449652</v>
      </c>
      <c r="AL446" s="27">
        <v>0.91978339687299027</v>
      </c>
      <c r="AM446" s="27">
        <v>0.91851188180565702</v>
      </c>
      <c r="AN446" s="27">
        <v>0.90322569291653088</v>
      </c>
      <c r="AO446" s="27">
        <v>0.83023752874307666</v>
      </c>
      <c r="AP446" s="27">
        <v>0.68056721881997073</v>
      </c>
      <c r="AQ446" s="27">
        <v>0.91978339687299027</v>
      </c>
      <c r="AR446" s="27">
        <v>0.91851188180565702</v>
      </c>
      <c r="AS446" s="27">
        <v>0.90322569291653088</v>
      </c>
      <c r="AT446" s="27">
        <v>0.83023752874307666</v>
      </c>
      <c r="AU446" s="27">
        <v>0.68056721881997073</v>
      </c>
      <c r="AW446" s="1">
        <v>14.033675081857401</v>
      </c>
      <c r="AX446" s="1">
        <v>16.142219775354242</v>
      </c>
      <c r="AY446" s="2">
        <v>1737013.5293109557</v>
      </c>
      <c r="AZ446" s="1">
        <v>15.385904571229096</v>
      </c>
      <c r="BA446" s="1">
        <v>17.436205634501924</v>
      </c>
      <c r="BB446" s="2">
        <v>1465350.6261281874</v>
      </c>
      <c r="BC446" s="2">
        <f t="shared" si="49"/>
        <v>-271662.90318276826</v>
      </c>
      <c r="BD446" s="292">
        <f t="shared" si="50"/>
        <v>1.3522294893716946</v>
      </c>
      <c r="BF446" s="170">
        <f t="shared" si="45"/>
        <v>508374.48378622858</v>
      </c>
      <c r="BG446" s="2">
        <f t="shared" si="46"/>
        <v>996394.10526846815</v>
      </c>
      <c r="BI446">
        <f t="shared" si="47"/>
        <v>0</v>
      </c>
      <c r="BJ446" s="95">
        <f t="shared" si="48"/>
        <v>1</v>
      </c>
      <c r="BP446" s="217">
        <f t="shared" si="51"/>
        <v>996394.10526846815</v>
      </c>
    </row>
    <row r="447" spans="1:68">
      <c r="A447" s="11">
        <v>441</v>
      </c>
      <c r="C447" s="27">
        <v>0.92703119595549377</v>
      </c>
      <c r="D447" s="27">
        <v>7.2968804044506202E-2</v>
      </c>
      <c r="E447" s="27">
        <v>0</v>
      </c>
      <c r="F447" s="27">
        <v>0.85394854942372966</v>
      </c>
      <c r="G447" s="27">
        <v>0.14605145057627034</v>
      </c>
      <c r="H447" s="27">
        <v>0</v>
      </c>
      <c r="I447" s="27">
        <v>0.75303058058709993</v>
      </c>
      <c r="J447" s="27">
        <v>0.24696941941290007</v>
      </c>
      <c r="K447" s="27">
        <v>0</v>
      </c>
      <c r="L447" s="27">
        <v>0.11914158502823363</v>
      </c>
      <c r="M447" s="27">
        <v>0.51711949815386982</v>
      </c>
      <c r="N447" s="27">
        <v>0.36373891681789655</v>
      </c>
      <c r="O447" s="27">
        <v>-10.900803266390858</v>
      </c>
      <c r="P447" s="27">
        <v>3.4328817143341496E-2</v>
      </c>
      <c r="Q447" s="27">
        <v>7.7985086648399494E-5</v>
      </c>
      <c r="R447" s="27">
        <v>1.0430578524893583</v>
      </c>
      <c r="S447" s="154"/>
      <c r="T447">
        <v>1.1124915356438709</v>
      </c>
      <c r="U447">
        <v>2.2028862294411966</v>
      </c>
      <c r="V447">
        <v>3.253966764019149</v>
      </c>
      <c r="W447">
        <v>1</v>
      </c>
      <c r="Y447" s="2">
        <v>196.51946455893625</v>
      </c>
      <c r="Z447" s="2">
        <v>4651.5914810531176</v>
      </c>
      <c r="AA447" s="2">
        <v>411.2075879381332</v>
      </c>
      <c r="AB447" s="2">
        <v>803.4421493564945</v>
      </c>
      <c r="AC447" s="2">
        <v>576.09127994479184</v>
      </c>
      <c r="AD447" s="2">
        <v>747.600807607094</v>
      </c>
      <c r="AE447" s="2">
        <v>516.34057540168578</v>
      </c>
      <c r="AF447" s="2">
        <v>1153.3545388517755</v>
      </c>
      <c r="AG447" s="2">
        <v>147.86969621114332</v>
      </c>
      <c r="AH447" s="2">
        <v>388.38062092560659</v>
      </c>
      <c r="AI447" s="2">
        <v>562257.23980760644</v>
      </c>
      <c r="AJ447" s="2">
        <v>528815.01455146715</v>
      </c>
      <c r="AL447" s="27">
        <v>0.91399194046487808</v>
      </c>
      <c r="AM447" s="27">
        <v>0.91590731649107937</v>
      </c>
      <c r="AN447" s="27">
        <v>0.91696397553030906</v>
      </c>
      <c r="AO447" s="27">
        <v>0.88736646431637833</v>
      </c>
      <c r="AP447" s="27">
        <v>0.64516058800718179</v>
      </c>
      <c r="AQ447" s="27">
        <v>0.91399194046487808</v>
      </c>
      <c r="AR447" s="27">
        <v>0.91590731649107937</v>
      </c>
      <c r="AS447" s="27">
        <v>0.91696397553030906</v>
      </c>
      <c r="AT447" s="27">
        <v>0.88736646431637833</v>
      </c>
      <c r="AU447" s="27">
        <v>0.64516058800718179</v>
      </c>
      <c r="AW447" s="1">
        <v>13.250634180119276</v>
      </c>
      <c r="AX447" s="1">
        <v>15.52720838275396</v>
      </c>
      <c r="AY447" s="2">
        <v>2328029.4229617487</v>
      </c>
      <c r="AZ447" s="1">
        <v>15.40593879545931</v>
      </c>
      <c r="BA447" s="1">
        <v>17.539183552196139</v>
      </c>
      <c r="BB447" s="2">
        <v>1552974.0038043987</v>
      </c>
      <c r="BC447" s="2">
        <f t="shared" si="49"/>
        <v>-775055.41915734997</v>
      </c>
      <c r="BD447" s="292">
        <f t="shared" si="50"/>
        <v>2.1553046153400341</v>
      </c>
      <c r="BF447" s="170">
        <f t="shared" si="45"/>
        <v>-207927.95414266456</v>
      </c>
      <c r="BG447" s="2">
        <f t="shared" si="46"/>
        <v>911976.2034690911</v>
      </c>
      <c r="BI447">
        <f t="shared" si="47"/>
        <v>0</v>
      </c>
      <c r="BJ447" s="95">
        <f t="shared" si="48"/>
        <v>1</v>
      </c>
      <c r="BP447" s="217">
        <f t="shared" si="51"/>
        <v>911976.2034690911</v>
      </c>
    </row>
    <row r="448" spans="1:68">
      <c r="A448" s="11">
        <v>442</v>
      </c>
      <c r="C448" s="27">
        <v>0.92327106354556487</v>
      </c>
      <c r="D448" s="27">
        <v>7.672893645443514E-2</v>
      </c>
      <c r="E448" s="27">
        <v>0</v>
      </c>
      <c r="F448" s="27">
        <v>0.85631279980034536</v>
      </c>
      <c r="G448" s="27">
        <v>0.14368720019965464</v>
      </c>
      <c r="H448" s="27">
        <v>0</v>
      </c>
      <c r="I448" s="27">
        <v>0.75187235180498802</v>
      </c>
      <c r="J448" s="27">
        <v>0.24812764819501201</v>
      </c>
      <c r="K448" s="27">
        <v>0</v>
      </c>
      <c r="L448" s="27">
        <v>0.20940916817651556</v>
      </c>
      <c r="M448" s="27">
        <v>0.4368629869912462</v>
      </c>
      <c r="N448" s="27">
        <v>0.35372784483223829</v>
      </c>
      <c r="O448" s="27">
        <v>-11.411516486260433</v>
      </c>
      <c r="P448" s="27">
        <v>3.6356234098611558E-2</v>
      </c>
      <c r="Q448" s="27">
        <v>5.0955663110512608E-5</v>
      </c>
      <c r="R448" s="27">
        <v>1.0944883682638074</v>
      </c>
      <c r="S448" s="154"/>
      <c r="T448">
        <v>0.95957355572566194</v>
      </c>
      <c r="U448">
        <v>2.2497374326388635</v>
      </c>
      <c r="V448">
        <v>2.9209741046028688</v>
      </c>
      <c r="W448">
        <v>1</v>
      </c>
      <c r="Y448" s="2">
        <v>1615.980286571913</v>
      </c>
      <c r="Z448" s="2">
        <v>185.93893924899058</v>
      </c>
      <c r="AA448" s="2">
        <v>3206.9980584218388</v>
      </c>
      <c r="AB448" s="2">
        <v>2026.9494007272492</v>
      </c>
      <c r="AC448" s="2">
        <v>952.38048716924618</v>
      </c>
      <c r="AD448" s="2">
        <v>365.98460428016102</v>
      </c>
      <c r="AE448" s="2">
        <v>550.3780783689615</v>
      </c>
      <c r="AF448" s="2">
        <v>956.15326234021438</v>
      </c>
      <c r="AG448" s="2">
        <v>98.826803350523804</v>
      </c>
      <c r="AH448" s="2">
        <v>225.40062792487495</v>
      </c>
      <c r="AI448" s="2">
        <v>530216.61929500208</v>
      </c>
      <c r="AJ448" s="2">
        <v>502274.73948265729</v>
      </c>
      <c r="AL448" s="27">
        <v>0.9177213870741886</v>
      </c>
      <c r="AM448" s="27">
        <v>0.91607616620619614</v>
      </c>
      <c r="AN448" s="27">
        <v>0.905314615898407</v>
      </c>
      <c r="AO448" s="27">
        <v>0.86260376531215976</v>
      </c>
      <c r="AP448" s="27">
        <v>0.6888538623862468</v>
      </c>
      <c r="AQ448" s="27">
        <v>0.9177213870741886</v>
      </c>
      <c r="AR448" s="27">
        <v>0.91607616620619614</v>
      </c>
      <c r="AS448" s="27">
        <v>0.905314615898407</v>
      </c>
      <c r="AT448" s="27">
        <v>0.86260376531215976</v>
      </c>
      <c r="AU448" s="27">
        <v>0.6888538623862468</v>
      </c>
      <c r="AW448" s="1">
        <v>13.595165782623555</v>
      </c>
      <c r="AX448" s="1">
        <v>15.614170423224344</v>
      </c>
      <c r="AY448" s="2">
        <v>1882095.6383668256</v>
      </c>
      <c r="AZ448" s="1">
        <v>15.32047048531591</v>
      </c>
      <c r="BA448" s="1">
        <v>17.296152617475954</v>
      </c>
      <c r="BB448" s="2">
        <v>1427567.5856938066</v>
      </c>
      <c r="BC448" s="2">
        <f t="shared" si="49"/>
        <v>-454528.052673019</v>
      </c>
      <c r="BD448" s="292">
        <f t="shared" si="50"/>
        <v>1.7253047026923554</v>
      </c>
      <c r="BF448" s="170">
        <f t="shared" si="45"/>
        <v>293130.88685294311</v>
      </c>
      <c r="BG448" s="2">
        <f t="shared" si="46"/>
        <v>1023707.6919567392</v>
      </c>
      <c r="BI448">
        <f t="shared" si="47"/>
        <v>0</v>
      </c>
      <c r="BJ448" s="95">
        <f t="shared" si="48"/>
        <v>1</v>
      </c>
      <c r="BP448" s="217">
        <f t="shared" si="51"/>
        <v>1023707.6919567392</v>
      </c>
    </row>
    <row r="449" spans="1:68">
      <c r="A449" s="11">
        <v>443</v>
      </c>
      <c r="C449" s="27">
        <v>0.92087325899738492</v>
      </c>
      <c r="D449" s="27">
        <v>7.9126741002615075E-2</v>
      </c>
      <c r="E449" s="27">
        <v>0</v>
      </c>
      <c r="F449" s="27">
        <v>0.85746567234270188</v>
      </c>
      <c r="G449" s="27">
        <v>0.14253432765729818</v>
      </c>
      <c r="H449" s="27">
        <v>0</v>
      </c>
      <c r="I449" s="27">
        <v>0.74918296083173164</v>
      </c>
      <c r="J449" s="27">
        <v>0.25081703916826836</v>
      </c>
      <c r="K449" s="27">
        <v>0</v>
      </c>
      <c r="L449" s="27">
        <v>0.23508001245969706</v>
      </c>
      <c r="M449" s="27">
        <v>0.41824749443977988</v>
      </c>
      <c r="N449" s="27">
        <v>0.34667249310052312</v>
      </c>
      <c r="O449" s="27">
        <v>-11.464266857039377</v>
      </c>
      <c r="P449" s="27">
        <v>3.5548607438153725E-2</v>
      </c>
      <c r="Q449" s="27">
        <v>4.6725273808635362E-5</v>
      </c>
      <c r="R449" s="27">
        <v>1.1101607970997338</v>
      </c>
      <c r="S449" s="154"/>
      <c r="T449">
        <v>0.9348006099107774</v>
      </c>
      <c r="U449">
        <v>2.2266045326174635</v>
      </c>
      <c r="V449">
        <v>2.9048467050956059</v>
      </c>
      <c r="W449">
        <v>1</v>
      </c>
      <c r="Y449" s="2">
        <v>743.50307542453629</v>
      </c>
      <c r="Z449" s="2">
        <v>4648.1556708764274</v>
      </c>
      <c r="AA449" s="2">
        <v>4434.7269932461177</v>
      </c>
      <c r="AB449" s="2">
        <v>6189.5304963927119</v>
      </c>
      <c r="AC449" s="2">
        <v>1945.9444901535362</v>
      </c>
      <c r="AD449" s="2">
        <v>1964.8270693876716</v>
      </c>
      <c r="AE449" s="2">
        <v>611.8974601908069</v>
      </c>
      <c r="AF449" s="2">
        <v>1005.8721403637353</v>
      </c>
      <c r="AG449" s="2">
        <v>75.861805647779647</v>
      </c>
      <c r="AH449" s="2">
        <v>627.02451936324303</v>
      </c>
      <c r="AI449" s="2">
        <v>624861.48080783139</v>
      </c>
      <c r="AJ449" s="2">
        <v>595062.86081981938</v>
      </c>
      <c r="AL449" s="27">
        <v>0.91412603134364689</v>
      </c>
      <c r="AM449" s="27">
        <v>0.91564050743065706</v>
      </c>
      <c r="AN449" s="27">
        <v>0.90701166780918352</v>
      </c>
      <c r="AO449" s="27">
        <v>0.84239716047531699</v>
      </c>
      <c r="AP449" s="27">
        <v>0.74943933894829295</v>
      </c>
      <c r="AQ449" s="27">
        <v>0.91412603134364689</v>
      </c>
      <c r="AR449" s="27">
        <v>0.91564050743065706</v>
      </c>
      <c r="AS449" s="27">
        <v>0.90701166780918352</v>
      </c>
      <c r="AT449" s="27">
        <v>0.84239716047531699</v>
      </c>
      <c r="AU449" s="27">
        <v>0.74943933894829295</v>
      </c>
      <c r="AW449" s="1">
        <v>13.669115616498722</v>
      </c>
      <c r="AX449" s="1">
        <v>15.530220610163102</v>
      </c>
      <c r="AY449" s="2">
        <v>2199535.9880054598</v>
      </c>
      <c r="AZ449" s="1">
        <v>15.302951490394074</v>
      </c>
      <c r="BA449" s="1">
        <v>17.173577701880109</v>
      </c>
      <c r="BB449" s="2">
        <v>1756422.3774951377</v>
      </c>
      <c r="BC449" s="2">
        <f t="shared" si="49"/>
        <v>-443113.61051032203</v>
      </c>
      <c r="BD449" s="292">
        <f t="shared" si="50"/>
        <v>1.633835873895352</v>
      </c>
      <c r="BF449" s="170">
        <f t="shared" si="45"/>
        <v>-12477.489365664311</v>
      </c>
      <c r="BG449" s="2">
        <f t="shared" si="46"/>
        <v>692049.86096791388</v>
      </c>
      <c r="BI449">
        <f t="shared" si="47"/>
        <v>0</v>
      </c>
      <c r="BJ449" s="95">
        <f t="shared" si="48"/>
        <v>1</v>
      </c>
      <c r="BP449" s="217">
        <f t="shared" si="51"/>
        <v>692049.86096791388</v>
      </c>
    </row>
    <row r="450" spans="1:68">
      <c r="A450" s="11">
        <v>444</v>
      </c>
      <c r="C450" s="27">
        <v>0.92121787873294469</v>
      </c>
      <c r="D450" s="27">
        <v>7.8782121267055305E-2</v>
      </c>
      <c r="E450" s="27">
        <v>0</v>
      </c>
      <c r="F450" s="27">
        <v>0.85688662234215029</v>
      </c>
      <c r="G450" s="27">
        <v>0.14311337765784971</v>
      </c>
      <c r="H450" s="27">
        <v>0</v>
      </c>
      <c r="I450" s="27">
        <v>0.75221687211873267</v>
      </c>
      <c r="J450" s="27">
        <v>0.24778312788126733</v>
      </c>
      <c r="K450" s="27">
        <v>0</v>
      </c>
      <c r="L450" s="27">
        <v>9.3093773372028954E-2</v>
      </c>
      <c r="M450" s="27">
        <v>0.5226917409910794</v>
      </c>
      <c r="N450" s="27">
        <v>0.38421448563689165</v>
      </c>
      <c r="O450" s="27">
        <v>-11.13449014668824</v>
      </c>
      <c r="P450" s="27">
        <v>3.4889133531051497E-2</v>
      </c>
      <c r="Q450" s="27">
        <v>6.3203774317307821E-5</v>
      </c>
      <c r="R450" s="27">
        <v>1.083104329113094</v>
      </c>
      <c r="S450" s="154"/>
      <c r="T450">
        <v>1.0611074388546695</v>
      </c>
      <c r="U450">
        <v>2.2206680660165703</v>
      </c>
      <c r="V450">
        <v>2.8908039180365992</v>
      </c>
      <c r="W450">
        <v>1</v>
      </c>
      <c r="Y450" s="2">
        <v>1751.9993753295464</v>
      </c>
      <c r="Z450" s="2">
        <v>6172.8875932313431</v>
      </c>
      <c r="AA450" s="2">
        <v>552.46211012296988</v>
      </c>
      <c r="AB450" s="2">
        <v>3573.5187083878022</v>
      </c>
      <c r="AC450" s="2">
        <v>1489.9957957763979</v>
      </c>
      <c r="AD450" s="2">
        <v>1553.6385603489218</v>
      </c>
      <c r="AE450" s="2">
        <v>552.95477665455985</v>
      </c>
      <c r="AF450" s="2">
        <v>1065.5534786555711</v>
      </c>
      <c r="AG450" s="2">
        <v>142.89735581106277</v>
      </c>
      <c r="AH450" s="2">
        <v>279.62642693118238</v>
      </c>
      <c r="AI450" s="2">
        <v>374666.09806990437</v>
      </c>
      <c r="AJ450" s="2">
        <v>328784.98462485976</v>
      </c>
      <c r="AL450" s="27">
        <v>0.92076935437437823</v>
      </c>
      <c r="AM450" s="27">
        <v>0.91742795924953424</v>
      </c>
      <c r="AN450" s="27">
        <v>0.9139319328926212</v>
      </c>
      <c r="AO450" s="27">
        <v>0.85330596236261791</v>
      </c>
      <c r="AP450" s="27">
        <v>0.69206610235992971</v>
      </c>
      <c r="AQ450" s="27">
        <v>0.92076935437437823</v>
      </c>
      <c r="AR450" s="27">
        <v>0.91742795924953424</v>
      </c>
      <c r="AS450" s="27">
        <v>0.9139319328926212</v>
      </c>
      <c r="AT450" s="27">
        <v>0.85330596236261791</v>
      </c>
      <c r="AU450" s="27">
        <v>0.69206610235992971</v>
      </c>
      <c r="AW450" s="1">
        <v>13.227148278391001</v>
      </c>
      <c r="AX450" s="1">
        <v>15.218569685818402</v>
      </c>
      <c r="AY450" s="2">
        <v>1417432.71523994</v>
      </c>
      <c r="AZ450" s="1">
        <v>15.287725310755244</v>
      </c>
      <c r="BA450" s="1">
        <v>17.216736716396433</v>
      </c>
      <c r="BB450" s="2">
        <v>999015.69514828455</v>
      </c>
      <c r="BC450" s="2">
        <f t="shared" si="49"/>
        <v>-418417.02009165543</v>
      </c>
      <c r="BD450" s="292">
        <f t="shared" si="50"/>
        <v>2.0605770323642432</v>
      </c>
      <c r="BF450" s="170">
        <f t="shared" si="45"/>
        <v>698911.00930262008</v>
      </c>
      <c r="BG450" s="2">
        <f t="shared" si="46"/>
        <v>1447020.3545725546</v>
      </c>
      <c r="BI450">
        <f t="shared" si="47"/>
        <v>0</v>
      </c>
      <c r="BJ450" s="95">
        <f t="shared" si="48"/>
        <v>1</v>
      </c>
      <c r="BP450" s="217">
        <f t="shared" si="51"/>
        <v>1447020.3545725546</v>
      </c>
    </row>
    <row r="451" spans="1:68">
      <c r="A451" s="11">
        <v>445</v>
      </c>
      <c r="C451" s="27">
        <v>0.92358190635194737</v>
      </c>
      <c r="D451" s="27">
        <v>7.6418093648052632E-2</v>
      </c>
      <c r="E451" s="27">
        <v>0</v>
      </c>
      <c r="F451" s="27">
        <v>0.86107192425129764</v>
      </c>
      <c r="G451" s="27">
        <v>0.13892807574870231</v>
      </c>
      <c r="H451" s="27">
        <v>0</v>
      </c>
      <c r="I451" s="27">
        <v>0.75006686584507498</v>
      </c>
      <c r="J451" s="27">
        <v>0.24993313415492499</v>
      </c>
      <c r="K451" s="27">
        <v>0</v>
      </c>
      <c r="L451" s="27">
        <v>0.10815094853006646</v>
      </c>
      <c r="M451" s="27">
        <v>0.51449794589945075</v>
      </c>
      <c r="N451" s="27">
        <v>0.37735110557048279</v>
      </c>
      <c r="O451" s="27">
        <v>-11.119268117634148</v>
      </c>
      <c r="P451" s="27">
        <v>3.6829051878168886E-2</v>
      </c>
      <c r="Q451" s="27">
        <v>6.9620747502112414E-5</v>
      </c>
      <c r="R451" s="27">
        <v>1.0474394477850903</v>
      </c>
      <c r="S451" s="154"/>
      <c r="T451">
        <v>0.91775236193752674</v>
      </c>
      <c r="U451">
        <v>2.2244752651283362</v>
      </c>
      <c r="V451">
        <v>2.9548658575017774</v>
      </c>
      <c r="W451">
        <v>1</v>
      </c>
      <c r="Y451" s="2">
        <v>1550.1975726587407</v>
      </c>
      <c r="Z451" s="2">
        <v>4139.6775314817805</v>
      </c>
      <c r="AA451" s="2">
        <v>1688.6660858855385</v>
      </c>
      <c r="AB451" s="2">
        <v>5109.8378995032954</v>
      </c>
      <c r="AC451" s="2">
        <v>1007.692211649403</v>
      </c>
      <c r="AD451" s="2">
        <v>255.71941859850824</v>
      </c>
      <c r="AE451" s="2">
        <v>603.54485483965334</v>
      </c>
      <c r="AF451" s="2">
        <v>1170.3891478966073</v>
      </c>
      <c r="AG451" s="2">
        <v>139.13885688093109</v>
      </c>
      <c r="AH451" s="2">
        <v>638.88070483659908</v>
      </c>
      <c r="AI451" s="2">
        <v>437258.10024398362</v>
      </c>
      <c r="AJ451" s="2">
        <v>405060.5777841931</v>
      </c>
      <c r="AL451" s="27">
        <v>0.91979035779767426</v>
      </c>
      <c r="AM451" s="27">
        <v>0.90903671683356702</v>
      </c>
      <c r="AN451" s="27">
        <v>0.90170479985026863</v>
      </c>
      <c r="AO451" s="27">
        <v>0.85364005119642195</v>
      </c>
      <c r="AP451" s="27">
        <v>0.65661834938121477</v>
      </c>
      <c r="AQ451" s="27">
        <v>0.91979035779767426</v>
      </c>
      <c r="AR451" s="27">
        <v>0.90903671683356702</v>
      </c>
      <c r="AS451" s="27">
        <v>0.90170479985026863</v>
      </c>
      <c r="AT451" s="27">
        <v>0.85364005119642195</v>
      </c>
      <c r="AU451" s="27">
        <v>0.65661834938121477</v>
      </c>
      <c r="AW451" s="1">
        <v>13.822764771726529</v>
      </c>
      <c r="AX451" s="1">
        <v>16.025565796683029</v>
      </c>
      <c r="AY451" s="2">
        <v>1702117.9049802474</v>
      </c>
      <c r="AZ451" s="1">
        <v>15.382875321932641</v>
      </c>
      <c r="BA451" s="1">
        <v>17.513230908765959</v>
      </c>
      <c r="BB451" s="2">
        <v>1313103.5844217939</v>
      </c>
      <c r="BC451" s="2">
        <f t="shared" si="49"/>
        <v>-389014.32055845344</v>
      </c>
      <c r="BD451" s="292">
        <f t="shared" si="50"/>
        <v>1.5601105502061117</v>
      </c>
      <c r="BF451" s="170">
        <f t="shared" si="45"/>
        <v>509524.45849599736</v>
      </c>
      <c r="BG451" s="2">
        <f t="shared" si="46"/>
        <v>1148156.4670874286</v>
      </c>
      <c r="BI451">
        <f t="shared" si="47"/>
        <v>0</v>
      </c>
      <c r="BJ451" s="95">
        <f t="shared" si="48"/>
        <v>1</v>
      </c>
      <c r="BP451" s="217">
        <f t="shared" si="51"/>
        <v>1148156.4670874286</v>
      </c>
    </row>
    <row r="452" spans="1:68">
      <c r="A452" s="11">
        <v>446</v>
      </c>
      <c r="C452" s="27">
        <v>0.92312475363365376</v>
      </c>
      <c r="D452" s="27">
        <v>7.6875246366346281E-2</v>
      </c>
      <c r="E452" s="27">
        <v>0</v>
      </c>
      <c r="F452" s="27">
        <v>0.85783031318274561</v>
      </c>
      <c r="G452" s="27">
        <v>0.14216968681725445</v>
      </c>
      <c r="H452" s="27">
        <v>0</v>
      </c>
      <c r="I452" s="27">
        <v>0.74865871393429639</v>
      </c>
      <c r="J452" s="27">
        <v>0.25134128606570361</v>
      </c>
      <c r="K452" s="27">
        <v>0</v>
      </c>
      <c r="L452" s="27">
        <v>0.10827468877040503</v>
      </c>
      <c r="M452" s="27">
        <v>0.45814683249473515</v>
      </c>
      <c r="N452" s="27">
        <v>0.43357847873485988</v>
      </c>
      <c r="O452" s="27">
        <v>-11.359131058635288</v>
      </c>
      <c r="P452" s="27">
        <v>3.5491244830469448E-2</v>
      </c>
      <c r="Q452" s="27">
        <v>5.1780404293879695E-5</v>
      </c>
      <c r="R452" s="27">
        <v>1.096178784884752</v>
      </c>
      <c r="S452" s="154"/>
      <c r="T452">
        <v>0.87741893683556549</v>
      </c>
      <c r="U452">
        <v>2.1890908843690009</v>
      </c>
      <c r="V452">
        <v>2.9898060022023465</v>
      </c>
      <c r="W452">
        <v>1</v>
      </c>
      <c r="Y452" s="2">
        <v>117.92704377905949</v>
      </c>
      <c r="Z452" s="2">
        <v>1846.1668375949782</v>
      </c>
      <c r="AA452" s="2">
        <v>200.78459452446026</v>
      </c>
      <c r="AB452" s="2">
        <v>7319.1045195292954</v>
      </c>
      <c r="AC452" s="2">
        <v>239.26065889839688</v>
      </c>
      <c r="AD452" s="2">
        <v>2063.5824889471946</v>
      </c>
      <c r="AE452" s="2">
        <v>563.26197509024917</v>
      </c>
      <c r="AF452" s="2">
        <v>1258.0041389590037</v>
      </c>
      <c r="AG452" s="2">
        <v>167.31841920444819</v>
      </c>
      <c r="AH452" s="2">
        <v>218.76266563172004</v>
      </c>
      <c r="AI452" s="2">
        <v>576170.35663976579</v>
      </c>
      <c r="AJ452" s="2">
        <v>536614.66905031051</v>
      </c>
      <c r="AL452" s="27">
        <v>0.91789490413462904</v>
      </c>
      <c r="AM452" s="27">
        <v>0.91920210406383085</v>
      </c>
      <c r="AN452" s="27">
        <v>0.91651453080223977</v>
      </c>
      <c r="AO452" s="27">
        <v>0.85986464917959482</v>
      </c>
      <c r="AP452" s="27">
        <v>0.66172183831197096</v>
      </c>
      <c r="AQ452" s="27">
        <v>0.91789490413462904</v>
      </c>
      <c r="AR452" s="27">
        <v>0.91920210406383085</v>
      </c>
      <c r="AS452" s="27">
        <v>0.91651453080223977</v>
      </c>
      <c r="AT452" s="27">
        <v>0.85986464917959482</v>
      </c>
      <c r="AU452" s="27">
        <v>0.66172183831197096</v>
      </c>
      <c r="AW452" s="1">
        <v>13.615338596602625</v>
      </c>
      <c r="AX452" s="1">
        <v>15.604465498569795</v>
      </c>
      <c r="AY452" s="2">
        <v>1769646.524736343</v>
      </c>
      <c r="AZ452" s="1">
        <v>15.139718798120533</v>
      </c>
      <c r="BA452" s="1">
        <v>17.080590319555576</v>
      </c>
      <c r="BB452" s="2">
        <v>1485905.653546842</v>
      </c>
      <c r="BC452" s="2">
        <f t="shared" si="49"/>
        <v>-283740.8711895009</v>
      </c>
      <c r="BD452" s="292">
        <f t="shared" si="50"/>
        <v>1.5243802015179089</v>
      </c>
      <c r="BF452" s="170">
        <f t="shared" si="45"/>
        <v>408807.6507200771</v>
      </c>
      <c r="BG452" s="2">
        <f t="shared" si="46"/>
        <v>936449.35415244312</v>
      </c>
      <c r="BI452">
        <f t="shared" si="47"/>
        <v>0</v>
      </c>
      <c r="BJ452" s="95">
        <f t="shared" si="48"/>
        <v>1</v>
      </c>
      <c r="BP452" s="217">
        <f t="shared" si="51"/>
        <v>936449.35415244312</v>
      </c>
    </row>
    <row r="453" spans="1:68">
      <c r="A453" s="11">
        <v>447</v>
      </c>
      <c r="C453" s="27">
        <v>0.92244664517382813</v>
      </c>
      <c r="D453" s="27">
        <v>7.7553354826171872E-2</v>
      </c>
      <c r="E453" s="27">
        <v>0</v>
      </c>
      <c r="F453" s="27">
        <v>0.86004943751762863</v>
      </c>
      <c r="G453" s="27">
        <v>0.13995056248237137</v>
      </c>
      <c r="H453" s="27">
        <v>0</v>
      </c>
      <c r="I453" s="27">
        <v>0.7555903499425165</v>
      </c>
      <c r="J453" s="27">
        <v>0.24440965005748352</v>
      </c>
      <c r="K453" s="27">
        <v>0</v>
      </c>
      <c r="L453" s="27">
        <v>0.17324508955633838</v>
      </c>
      <c r="M453" s="27">
        <v>0.4839843905959072</v>
      </c>
      <c r="N453" s="27">
        <v>0.34277051984775447</v>
      </c>
      <c r="O453" s="27">
        <v>-11.572081369855347</v>
      </c>
      <c r="P453" s="27">
        <v>3.6866507410646489E-2</v>
      </c>
      <c r="Q453" s="27">
        <v>4.4337131080562826E-5</v>
      </c>
      <c r="R453" s="27">
        <v>1.1053381532356488</v>
      </c>
      <c r="S453" s="154"/>
      <c r="T453">
        <v>1.0178679450195098</v>
      </c>
      <c r="U453">
        <v>2.1683430873270209</v>
      </c>
      <c r="V453">
        <v>2.9743097075019662</v>
      </c>
      <c r="W453">
        <v>1</v>
      </c>
      <c r="Y453" s="2">
        <v>391.50680510168394</v>
      </c>
      <c r="Z453" s="2">
        <v>4226.3783461575795</v>
      </c>
      <c r="AA453" s="2">
        <v>98.356639427335779</v>
      </c>
      <c r="AB453" s="2">
        <v>2611.422543181955</v>
      </c>
      <c r="AC453" s="2">
        <v>728.76532594800153</v>
      </c>
      <c r="AD453" s="2">
        <v>368.07055481363699</v>
      </c>
      <c r="AE453" s="2">
        <v>575.24724948643996</v>
      </c>
      <c r="AF453" s="2">
        <v>1235.4313547648239</v>
      </c>
      <c r="AG453" s="2">
        <v>132.85899504310152</v>
      </c>
      <c r="AH453" s="2">
        <v>322.67949480983089</v>
      </c>
      <c r="AI453" s="2">
        <v>1062286.8600587433</v>
      </c>
      <c r="AJ453" s="2">
        <v>1029169.9055646787</v>
      </c>
      <c r="AL453" s="27">
        <v>0.9178412283665085</v>
      </c>
      <c r="AM453" s="27">
        <v>0.91662070566610365</v>
      </c>
      <c r="AN453" s="27">
        <v>0.90830636345236537</v>
      </c>
      <c r="AO453" s="27">
        <v>0.84582959057261331</v>
      </c>
      <c r="AP453" s="27">
        <v>0.64680509830493405</v>
      </c>
      <c r="AQ453" s="27">
        <v>0.9178412283665085</v>
      </c>
      <c r="AR453" s="27">
        <v>0.91662070566610365</v>
      </c>
      <c r="AS453" s="27">
        <v>0.90830636345236537</v>
      </c>
      <c r="AT453" s="27">
        <v>0.84582959057261331</v>
      </c>
      <c r="AU453" s="27">
        <v>0.64680509830493405</v>
      </c>
      <c r="AW453" s="1">
        <v>13.443904858028606</v>
      </c>
      <c r="AX453" s="1">
        <v>15.68262447904419</v>
      </c>
      <c r="AY453" s="2">
        <v>4228486.4757303996</v>
      </c>
      <c r="AZ453" s="1">
        <v>15.345874505310764</v>
      </c>
      <c r="BA453" s="1">
        <v>17.464302591954407</v>
      </c>
      <c r="BB453" s="2">
        <v>2953026.141219615</v>
      </c>
      <c r="BC453" s="2">
        <f t="shared" si="49"/>
        <v>-1275460.3345107846</v>
      </c>
      <c r="BD453" s="292">
        <f t="shared" si="50"/>
        <v>1.9019696472821579</v>
      </c>
      <c r="BF453" s="170">
        <f t="shared" si="45"/>
        <v>-2077461.6984458226</v>
      </c>
      <c r="BG453" s="2">
        <f t="shared" si="46"/>
        <v>-497686.22036989266</v>
      </c>
      <c r="BI453">
        <f t="shared" si="47"/>
        <v>0</v>
      </c>
      <c r="BJ453" s="95">
        <f t="shared" si="48"/>
        <v>1</v>
      </c>
      <c r="BP453" s="217">
        <f t="shared" si="51"/>
        <v>-497686.22036989266</v>
      </c>
    </row>
    <row r="454" spans="1:68">
      <c r="A454" s="11">
        <v>448</v>
      </c>
      <c r="C454" s="27">
        <v>0.92766467627852145</v>
      </c>
      <c r="D454" s="27">
        <v>7.2335323721478495E-2</v>
      </c>
      <c r="E454" s="27">
        <v>0</v>
      </c>
      <c r="F454" s="27">
        <v>0.86106316785098491</v>
      </c>
      <c r="G454" s="27">
        <v>0.13893683214901512</v>
      </c>
      <c r="H454" s="27">
        <v>0</v>
      </c>
      <c r="I454" s="27">
        <v>0.74423167181642791</v>
      </c>
      <c r="J454" s="27">
        <v>0.25576832818357209</v>
      </c>
      <c r="K454" s="27">
        <v>0</v>
      </c>
      <c r="L454" s="27">
        <v>0.25557666719333039</v>
      </c>
      <c r="M454" s="27">
        <v>0.4712907486503094</v>
      </c>
      <c r="N454" s="27">
        <v>0.27313258415636021</v>
      </c>
      <c r="O454" s="27">
        <v>-11.356178814520623</v>
      </c>
      <c r="P454" s="27">
        <v>3.2317645171781609E-2</v>
      </c>
      <c r="Q454" s="27">
        <v>4.5452727992456625E-5</v>
      </c>
      <c r="R454" s="27">
        <v>1.1227657030928324</v>
      </c>
      <c r="S454" s="154"/>
      <c r="T454">
        <v>1.0977082777583671</v>
      </c>
      <c r="U454">
        <v>2.151359753064801</v>
      </c>
      <c r="V454">
        <v>3.0044884863590746</v>
      </c>
      <c r="W454">
        <v>1</v>
      </c>
      <c r="Y454" s="2">
        <v>132.36531806740996</v>
      </c>
      <c r="Z454" s="2">
        <v>1661.3298276341297</v>
      </c>
      <c r="AA454" s="2">
        <v>50.127326423771535</v>
      </c>
      <c r="AB454" s="2">
        <v>2600.9687055392174</v>
      </c>
      <c r="AC454" s="2">
        <v>510.97497436412885</v>
      </c>
      <c r="AD454" s="2">
        <v>918.8250033423293</v>
      </c>
      <c r="AE454" s="2">
        <v>558.96148893651173</v>
      </c>
      <c r="AF454" s="2">
        <v>1061.1159977736165</v>
      </c>
      <c r="AG454" s="2">
        <v>145.81037782757821</v>
      </c>
      <c r="AH454" s="2">
        <v>397.28193524907533</v>
      </c>
      <c r="AI454" s="2">
        <v>501527.73377566464</v>
      </c>
      <c r="AJ454" s="2">
        <v>468185.31354634033</v>
      </c>
      <c r="AL454" s="27">
        <v>0.91268828933359503</v>
      </c>
      <c r="AM454" s="27">
        <v>0.91794245407583519</v>
      </c>
      <c r="AN454" s="27">
        <v>0.90815150079379381</v>
      </c>
      <c r="AO454" s="27">
        <v>0.87222820480464325</v>
      </c>
      <c r="AP454" s="27">
        <v>0.61425182102628995</v>
      </c>
      <c r="AQ454" s="27">
        <v>0.91268828933359503</v>
      </c>
      <c r="AR454" s="27">
        <v>0.91794245407583519</v>
      </c>
      <c r="AS454" s="27">
        <v>0.90815150079379381</v>
      </c>
      <c r="AT454" s="27">
        <v>0.87222820480464325</v>
      </c>
      <c r="AU454" s="27">
        <v>0.61425182102628995</v>
      </c>
      <c r="AW454" s="1">
        <v>13.339886946238385</v>
      </c>
      <c r="AX454" s="1">
        <v>15.717870786013085</v>
      </c>
      <c r="AY454" s="2">
        <v>1916125.5048373882</v>
      </c>
      <c r="AZ454" s="1">
        <v>15.405179014769001</v>
      </c>
      <c r="BA454" s="1">
        <v>17.622327542679468</v>
      </c>
      <c r="BB454" s="2">
        <v>1346554.5776301988</v>
      </c>
      <c r="BC454" s="2">
        <f t="shared" si="49"/>
        <v>-569570.92720718938</v>
      </c>
      <c r="BD454" s="292">
        <f t="shared" si="50"/>
        <v>2.0652920685306153</v>
      </c>
      <c r="BF454" s="170">
        <f t="shared" si="45"/>
        <v>218256.40656075347</v>
      </c>
      <c r="BG454" s="2">
        <f t="shared" si="46"/>
        <v>1118274.0647328414</v>
      </c>
      <c r="BI454">
        <f t="shared" si="47"/>
        <v>0</v>
      </c>
      <c r="BJ454" s="95">
        <f t="shared" si="48"/>
        <v>1</v>
      </c>
      <c r="BP454" s="217">
        <f t="shared" si="51"/>
        <v>1118274.0647328414</v>
      </c>
    </row>
    <row r="455" spans="1:68">
      <c r="A455" s="11">
        <v>449</v>
      </c>
      <c r="C455" s="27">
        <v>0.92477091605508144</v>
      </c>
      <c r="D455" s="27">
        <v>7.5229083944918521E-2</v>
      </c>
      <c r="E455" s="27">
        <v>0</v>
      </c>
      <c r="F455" s="27">
        <v>0.8652982255544055</v>
      </c>
      <c r="G455" s="27">
        <v>0.13470177444559447</v>
      </c>
      <c r="H455" s="27">
        <v>0</v>
      </c>
      <c r="I455" s="27">
        <v>0.75092262487116401</v>
      </c>
      <c r="J455" s="27">
        <v>0.24907737512883599</v>
      </c>
      <c r="K455" s="27">
        <v>0</v>
      </c>
      <c r="L455" s="27">
        <v>-1.3287998201118922E-2</v>
      </c>
      <c r="M455" s="27">
        <v>0.60908742881439215</v>
      </c>
      <c r="N455" s="27">
        <v>0.40420056938672677</v>
      </c>
      <c r="O455" s="27">
        <v>-11.321269449038006</v>
      </c>
      <c r="P455" s="27">
        <v>3.8860149818350405E-2</v>
      </c>
      <c r="Q455" s="27">
        <v>6.1952465239142207E-5</v>
      </c>
      <c r="R455" s="27">
        <v>1.057260132287364</v>
      </c>
      <c r="S455" s="154"/>
      <c r="T455">
        <v>1.0619731267533445</v>
      </c>
      <c r="U455">
        <v>2.2924259833728016</v>
      </c>
      <c r="V455">
        <v>2.8501603776378643</v>
      </c>
      <c r="W455">
        <v>1</v>
      </c>
      <c r="Y455" s="2">
        <v>1339.921156140781</v>
      </c>
      <c r="Z455" s="2">
        <v>34.681336647710822</v>
      </c>
      <c r="AA455" s="2">
        <v>59.757582005072173</v>
      </c>
      <c r="AB455" s="2">
        <v>11960.523378750167</v>
      </c>
      <c r="AC455" s="2">
        <v>1228.7475773717306</v>
      </c>
      <c r="AD455" s="2">
        <v>1264.2045156765187</v>
      </c>
      <c r="AE455" s="2">
        <v>551.07847880742713</v>
      </c>
      <c r="AF455" s="2">
        <v>1132.2287062175833</v>
      </c>
      <c r="AG455" s="2">
        <v>91.674237383830246</v>
      </c>
      <c r="AH455" s="2">
        <v>616.68697989613918</v>
      </c>
      <c r="AI455" s="2">
        <v>483021.75866915705</v>
      </c>
      <c r="AJ455" s="2">
        <v>460461.99199598661</v>
      </c>
      <c r="AL455" s="27">
        <v>0.91154044572908322</v>
      </c>
      <c r="AM455" s="27">
        <v>0.90968071515065119</v>
      </c>
      <c r="AN455" s="27">
        <v>0.90994374762442753</v>
      </c>
      <c r="AO455" s="27">
        <v>0.86079031578446641</v>
      </c>
      <c r="AP455" s="27">
        <v>0.605884190251051</v>
      </c>
      <c r="AQ455" s="27">
        <v>0.91154044572908322</v>
      </c>
      <c r="AR455" s="27">
        <v>0.90968071515065119</v>
      </c>
      <c r="AS455" s="27">
        <v>0.90994374762442753</v>
      </c>
      <c r="AT455" s="27">
        <v>0.86079031578446641</v>
      </c>
      <c r="AU455" s="27">
        <v>0.605884190251051</v>
      </c>
      <c r="AW455" s="1">
        <v>13.279172626985959</v>
      </c>
      <c r="AX455" s="1">
        <v>15.811802737881317</v>
      </c>
      <c r="AY455" s="2">
        <v>2085594.1973232112</v>
      </c>
      <c r="AZ455" s="1">
        <v>15.326141369714987</v>
      </c>
      <c r="BA455" s="1">
        <v>17.66648989718146</v>
      </c>
      <c r="BB455" s="2">
        <v>1623863.3038716938</v>
      </c>
      <c r="BC455" s="2">
        <f t="shared" si="49"/>
        <v>-461730.89345151745</v>
      </c>
      <c r="BD455" s="292">
        <f t="shared" si="50"/>
        <v>2.0469687427290282</v>
      </c>
      <c r="BF455" s="170">
        <f t="shared" ref="BF455:BF518" si="52">AW455*Threshold-AY455</f>
        <v>39073.422994542168</v>
      </c>
      <c r="BG455" s="2">
        <f t="shared" ref="BG455:BG518" si="53">AZ455*Threshold-BB455</f>
        <v>828319.31528270408</v>
      </c>
      <c r="BI455">
        <f t="shared" ref="BI455:BI518" si="54">IF(MAX($BF455:$BG455)=$BF455,1,0)</f>
        <v>0</v>
      </c>
      <c r="BJ455" s="95">
        <f t="shared" ref="BJ455:BJ518" si="55">IF(MAX($BF455:$BG455)=$BF455,0,1)</f>
        <v>1</v>
      </c>
      <c r="BP455" s="217">
        <f t="shared" si="51"/>
        <v>828319.31528270408</v>
      </c>
    </row>
    <row r="456" spans="1:68">
      <c r="A456" s="11">
        <v>450</v>
      </c>
      <c r="C456" s="27">
        <v>0.92299511368682219</v>
      </c>
      <c r="D456" s="27">
        <v>7.7004886313177812E-2</v>
      </c>
      <c r="E456" s="27">
        <v>0</v>
      </c>
      <c r="F456" s="27">
        <v>0.85650183747855624</v>
      </c>
      <c r="G456" s="27">
        <v>0.14349816252144376</v>
      </c>
      <c r="H456" s="27">
        <v>0</v>
      </c>
      <c r="I456" s="27">
        <v>0.75696799748211785</v>
      </c>
      <c r="J456" s="27">
        <v>0.24303200251788218</v>
      </c>
      <c r="K456" s="27">
        <v>0</v>
      </c>
      <c r="L456" s="27">
        <v>7.5560838363606719E-2</v>
      </c>
      <c r="M456" s="27">
        <v>0.53022778838543094</v>
      </c>
      <c r="N456" s="27">
        <v>0.39421137325096234</v>
      </c>
      <c r="O456" s="27">
        <v>-11.311388899453886</v>
      </c>
      <c r="P456" s="27">
        <v>3.8803280196442615E-2</v>
      </c>
      <c r="Q456" s="27">
        <v>6.2418357746307104E-5</v>
      </c>
      <c r="R456" s="27">
        <v>1.0615950866377679</v>
      </c>
      <c r="S456" s="154"/>
      <c r="T456">
        <v>0.99555923260560752</v>
      </c>
      <c r="U456">
        <v>2.2689552056336262</v>
      </c>
      <c r="V456">
        <v>2.9514299052931618</v>
      </c>
      <c r="W456">
        <v>1</v>
      </c>
      <c r="Y456" s="2">
        <v>64.923077965601536</v>
      </c>
      <c r="Z456" s="2">
        <v>767.15809600549414</v>
      </c>
      <c r="AA456" s="2">
        <v>1695.1902367625728</v>
      </c>
      <c r="AB456" s="2">
        <v>4780.9843948383177</v>
      </c>
      <c r="AC456" s="2">
        <v>113.7492299845879</v>
      </c>
      <c r="AD456" s="2">
        <v>2466.6930497340086</v>
      </c>
      <c r="AE456" s="2">
        <v>515.22198132220581</v>
      </c>
      <c r="AF456" s="2">
        <v>1666.4795855247985</v>
      </c>
      <c r="AG456" s="2">
        <v>131.25000734900766</v>
      </c>
      <c r="AH456" s="2">
        <v>567.07175170373137</v>
      </c>
      <c r="AI456" s="2">
        <v>406211.71923225367</v>
      </c>
      <c r="AJ456" s="2">
        <v>363644.88559048041</v>
      </c>
      <c r="AL456" s="27">
        <v>0.92078222238846041</v>
      </c>
      <c r="AM456" s="27">
        <v>0.91561696783165436</v>
      </c>
      <c r="AN456" s="27">
        <v>0.90622241795226099</v>
      </c>
      <c r="AO456" s="27">
        <v>0.86828698894540701</v>
      </c>
      <c r="AP456" s="27">
        <v>0.74356768535334339</v>
      </c>
      <c r="AQ456" s="27">
        <v>0.92078222238846041</v>
      </c>
      <c r="AR456" s="27">
        <v>0.91561696783165436</v>
      </c>
      <c r="AS456" s="27">
        <v>0.90622241795226099</v>
      </c>
      <c r="AT456" s="27">
        <v>0.86828698894540701</v>
      </c>
      <c r="AU456" s="27">
        <v>0.74356768535334339</v>
      </c>
      <c r="AW456" s="1">
        <v>13.794179122616244</v>
      </c>
      <c r="AX456" s="1">
        <v>15.679304736516189</v>
      </c>
      <c r="AY456" s="2">
        <v>1511858.4964231581</v>
      </c>
      <c r="AZ456" s="1">
        <v>15.565588064870118</v>
      </c>
      <c r="BA456" s="1">
        <v>17.433812966055449</v>
      </c>
      <c r="BB456" s="2">
        <v>1228195.1406348553</v>
      </c>
      <c r="BC456" s="2">
        <f t="shared" ref="BC456:BC519" si="56">BB456-AY456</f>
        <v>-283663.35578830284</v>
      </c>
      <c r="BD456" s="292">
        <f t="shared" ref="BD456:BD519" si="57">AZ456-AW456</f>
        <v>1.7714089422538741</v>
      </c>
      <c r="BF456" s="170">
        <f t="shared" si="52"/>
        <v>695210.16319544078</v>
      </c>
      <c r="BG456" s="2">
        <f t="shared" si="53"/>
        <v>1262298.9497443638</v>
      </c>
      <c r="BI456">
        <f t="shared" si="54"/>
        <v>0</v>
      </c>
      <c r="BJ456" s="95">
        <f t="shared" si="55"/>
        <v>1</v>
      </c>
      <c r="BP456" s="217">
        <f t="shared" ref="BP456:BP519" si="58">MAX(BF456,BG456)</f>
        <v>1262298.9497443638</v>
      </c>
    </row>
    <row r="457" spans="1:68">
      <c r="A457" s="11">
        <v>451</v>
      </c>
      <c r="C457" s="27">
        <v>0.91787256994082589</v>
      </c>
      <c r="D457" s="27">
        <v>8.2127430059174111E-2</v>
      </c>
      <c r="E457" s="27">
        <v>0</v>
      </c>
      <c r="F457" s="27">
        <v>0.85487954701818181</v>
      </c>
      <c r="G457" s="27">
        <v>0.14512045298181819</v>
      </c>
      <c r="H457" s="27">
        <v>0</v>
      </c>
      <c r="I457" s="27">
        <v>0.75545587332840392</v>
      </c>
      <c r="J457" s="27">
        <v>0.24454412667159606</v>
      </c>
      <c r="K457" s="27">
        <v>0</v>
      </c>
      <c r="L457" s="27">
        <v>7.1469796086788162E-2</v>
      </c>
      <c r="M457" s="27">
        <v>0.49602736563006011</v>
      </c>
      <c r="N457" s="27">
        <v>0.43250283828315172</v>
      </c>
      <c r="O457" s="27">
        <v>-10.970229412560176</v>
      </c>
      <c r="P457" s="27">
        <v>3.1867067460440893E-2</v>
      </c>
      <c r="Q457" s="27">
        <v>6.5608022241673753E-5</v>
      </c>
      <c r="R457" s="27">
        <v>1.0740226722644741</v>
      </c>
      <c r="S457" s="154"/>
      <c r="T457">
        <v>1.0515914079150872</v>
      </c>
      <c r="U457">
        <v>2.1942386166526893</v>
      </c>
      <c r="V457">
        <v>2.9947337751316772</v>
      </c>
      <c r="W457">
        <v>1</v>
      </c>
      <c r="Y457" s="2">
        <v>1310.1632338598697</v>
      </c>
      <c r="Z457" s="2">
        <v>8559.6519357556299</v>
      </c>
      <c r="AA457" s="2">
        <v>1871.3498131529416</v>
      </c>
      <c r="AB457" s="2">
        <v>22770.32773509821</v>
      </c>
      <c r="AC457" s="2">
        <v>388.14331719438866</v>
      </c>
      <c r="AD457" s="2">
        <v>3067.1564451291811</v>
      </c>
      <c r="AE457" s="2">
        <v>565.19065470639805</v>
      </c>
      <c r="AF457" s="2">
        <v>711.84133458387635</v>
      </c>
      <c r="AG457" s="2">
        <v>151.43131131896411</v>
      </c>
      <c r="AH457" s="2">
        <v>438.80839481603999</v>
      </c>
      <c r="AI457" s="2">
        <v>337234.29533210024</v>
      </c>
      <c r="AJ457" s="2">
        <v>310650.21475449053</v>
      </c>
      <c r="AL457" s="27">
        <v>0.92112151982033574</v>
      </c>
      <c r="AM457" s="27">
        <v>0.92042013100762143</v>
      </c>
      <c r="AN457" s="27">
        <v>0.90062830200672428</v>
      </c>
      <c r="AO457" s="27">
        <v>0.86580221360306053</v>
      </c>
      <c r="AP457" s="27">
        <v>0.73768078151969174</v>
      </c>
      <c r="AQ457" s="27">
        <v>0.92112151982033574</v>
      </c>
      <c r="AR457" s="27">
        <v>0.92042013100762143</v>
      </c>
      <c r="AS457" s="27">
        <v>0.90062830200672428</v>
      </c>
      <c r="AT457" s="27">
        <v>0.86580221360306053</v>
      </c>
      <c r="AU457" s="27">
        <v>0.73768078151969174</v>
      </c>
      <c r="AW457" s="1">
        <v>13.129332711868372</v>
      </c>
      <c r="AX457" s="1">
        <v>14.923620996654208</v>
      </c>
      <c r="AY457" s="2">
        <v>1311572.5239313671</v>
      </c>
      <c r="AZ457" s="1">
        <v>15.188280320062123</v>
      </c>
      <c r="BA457" s="1">
        <v>16.990421742605836</v>
      </c>
      <c r="BB457" s="2">
        <v>1279876.2129099465</v>
      </c>
      <c r="BC457" s="2">
        <f t="shared" si="56"/>
        <v>-31696.311021420639</v>
      </c>
      <c r="BD457" s="292">
        <f t="shared" si="57"/>
        <v>2.0589476081937512</v>
      </c>
      <c r="BF457" s="170">
        <f t="shared" si="52"/>
        <v>789120.70996757247</v>
      </c>
      <c r="BG457" s="2">
        <f t="shared" si="53"/>
        <v>1150248.6382999935</v>
      </c>
      <c r="BI457">
        <f t="shared" si="54"/>
        <v>0</v>
      </c>
      <c r="BJ457" s="95">
        <f t="shared" si="55"/>
        <v>1</v>
      </c>
      <c r="BP457" s="217">
        <f t="shared" si="58"/>
        <v>1150248.6382999935</v>
      </c>
    </row>
    <row r="458" spans="1:68">
      <c r="A458" s="11">
        <v>452</v>
      </c>
      <c r="C458" s="27">
        <v>0.92259036152535323</v>
      </c>
      <c r="D458" s="27">
        <v>7.7409638474646769E-2</v>
      </c>
      <c r="E458" s="27">
        <v>0</v>
      </c>
      <c r="F458" s="27">
        <v>0.85653667909318976</v>
      </c>
      <c r="G458" s="27">
        <v>0.14346332090681024</v>
      </c>
      <c r="H458" s="27">
        <v>0</v>
      </c>
      <c r="I458" s="27">
        <v>0.74855443110098252</v>
      </c>
      <c r="J458" s="27">
        <v>0.25144556889901748</v>
      </c>
      <c r="K458" s="27">
        <v>0</v>
      </c>
      <c r="L458" s="27">
        <v>0.13511428277604148</v>
      </c>
      <c r="M458" s="27">
        <v>0.49487378410998012</v>
      </c>
      <c r="N458" s="27">
        <v>0.37001193311397834</v>
      </c>
      <c r="O458" s="27">
        <v>-11.267808583218089</v>
      </c>
      <c r="P458" s="27">
        <v>3.1106561502497528E-2</v>
      </c>
      <c r="Q458" s="27">
        <v>4.7189790104669128E-5</v>
      </c>
      <c r="R458" s="27">
        <v>1.1113965515122035</v>
      </c>
      <c r="S458" s="154"/>
      <c r="T458">
        <v>1.0256966856481202</v>
      </c>
      <c r="U458">
        <v>2.2806514506599904</v>
      </c>
      <c r="V458">
        <v>2.8482946214807447</v>
      </c>
      <c r="W458">
        <v>1</v>
      </c>
      <c r="Y458" s="2">
        <v>88.408950007408919</v>
      </c>
      <c r="Z458" s="2">
        <v>7842.2531482276754</v>
      </c>
      <c r="AA458" s="2">
        <v>900.17245347642893</v>
      </c>
      <c r="AB458" s="2">
        <v>9464.0952340115437</v>
      </c>
      <c r="AC458" s="2">
        <v>1209.1016215916206</v>
      </c>
      <c r="AD458" s="2">
        <v>1264.4804133076045</v>
      </c>
      <c r="AE458" s="2">
        <v>539.49059866276355</v>
      </c>
      <c r="AF458" s="2">
        <v>1059.4008998228219</v>
      </c>
      <c r="AG458" s="2">
        <v>208.76066247177815</v>
      </c>
      <c r="AH458" s="2">
        <v>376.92166617572622</v>
      </c>
      <c r="AI458" s="2">
        <v>421605.97160081676</v>
      </c>
      <c r="AJ458" s="2">
        <v>386058.43492575077</v>
      </c>
      <c r="AL458" s="27">
        <v>0.9161823696857837</v>
      </c>
      <c r="AM458" s="27">
        <v>0.91567418343621998</v>
      </c>
      <c r="AN458" s="27">
        <v>0.90339031504877088</v>
      </c>
      <c r="AO458" s="27">
        <v>0.89821537590022904</v>
      </c>
      <c r="AP458" s="27">
        <v>0.74310406179483057</v>
      </c>
      <c r="AQ458" s="27">
        <v>0.9161823696857837</v>
      </c>
      <c r="AR458" s="27">
        <v>0.91567418343621998</v>
      </c>
      <c r="AS458" s="27">
        <v>0.90339031504877088</v>
      </c>
      <c r="AT458" s="27">
        <v>0.89821537590022904</v>
      </c>
      <c r="AU458" s="27">
        <v>0.74310406179483057</v>
      </c>
      <c r="AW458" s="1">
        <v>13.50588468820944</v>
      </c>
      <c r="AX458" s="1">
        <v>15.357154372374149</v>
      </c>
      <c r="AY458" s="2">
        <v>1606500.4309087598</v>
      </c>
      <c r="AZ458" s="1">
        <v>15.386203624679423</v>
      </c>
      <c r="BA458" s="1">
        <v>17.245796503550103</v>
      </c>
      <c r="BB458" s="2">
        <v>1242073.3559209246</v>
      </c>
      <c r="BC458" s="2">
        <f t="shared" si="56"/>
        <v>-364427.07498783525</v>
      </c>
      <c r="BD458" s="292">
        <f t="shared" si="57"/>
        <v>1.8803189364699833</v>
      </c>
      <c r="BF458" s="170">
        <f t="shared" si="52"/>
        <v>554441.11920475052</v>
      </c>
      <c r="BG458" s="2">
        <f t="shared" si="53"/>
        <v>1219719.2240277829</v>
      </c>
      <c r="BI458">
        <f t="shared" si="54"/>
        <v>0</v>
      </c>
      <c r="BJ458" s="95">
        <f t="shared" si="55"/>
        <v>1</v>
      </c>
      <c r="BP458" s="217">
        <f t="shared" si="58"/>
        <v>1219719.2240277829</v>
      </c>
    </row>
    <row r="459" spans="1:68">
      <c r="A459" s="11">
        <v>453</v>
      </c>
      <c r="C459" s="27">
        <v>0.92474925471731573</v>
      </c>
      <c r="D459" s="27">
        <v>7.5250745282684314E-2</v>
      </c>
      <c r="E459" s="27">
        <v>0</v>
      </c>
      <c r="F459" s="27">
        <v>0.85511833100825174</v>
      </c>
      <c r="G459" s="27">
        <v>0.14488166899174826</v>
      </c>
      <c r="H459" s="27">
        <v>0</v>
      </c>
      <c r="I459" s="27">
        <v>0.75110523131096385</v>
      </c>
      <c r="J459" s="27">
        <v>0.24889476868903618</v>
      </c>
      <c r="K459" s="27">
        <v>0</v>
      </c>
      <c r="L459" s="27">
        <v>0.17679341533118392</v>
      </c>
      <c r="M459" s="27">
        <v>0.45667526311364115</v>
      </c>
      <c r="N459" s="27">
        <v>0.36653132155517493</v>
      </c>
      <c r="O459" s="27">
        <v>-11.410638444843618</v>
      </c>
      <c r="P459" s="27">
        <v>3.4949667072576664E-2</v>
      </c>
      <c r="Q459" s="27">
        <v>4.8074799945631872E-5</v>
      </c>
      <c r="R459" s="27">
        <v>1.0976471972476349</v>
      </c>
      <c r="S459" s="154"/>
      <c r="T459">
        <v>0.95379443348933413</v>
      </c>
      <c r="U459">
        <v>2.2920132754281988</v>
      </c>
      <c r="V459">
        <v>2.9218013198453381</v>
      </c>
      <c r="W459">
        <v>1</v>
      </c>
      <c r="Y459" s="2">
        <v>318.15592198273589</v>
      </c>
      <c r="Z459" s="2">
        <v>1477.3680204195205</v>
      </c>
      <c r="AA459" s="2">
        <v>506.34554111865413</v>
      </c>
      <c r="AB459" s="2">
        <v>2139.4856322581459</v>
      </c>
      <c r="AC459" s="2">
        <v>387.75314868939529</v>
      </c>
      <c r="AD459" s="2">
        <v>217.55028149633745</v>
      </c>
      <c r="AE459" s="2">
        <v>597.90842809854598</v>
      </c>
      <c r="AF459" s="2">
        <v>1072.0360856032435</v>
      </c>
      <c r="AG459" s="2">
        <v>128.1376225449865</v>
      </c>
      <c r="AH459" s="2">
        <v>265.75392342069227</v>
      </c>
      <c r="AI459" s="2">
        <v>580628.32510469668</v>
      </c>
      <c r="AJ459" s="2">
        <v>537433.46574067639</v>
      </c>
      <c r="AL459" s="27">
        <v>0.91597634798937433</v>
      </c>
      <c r="AM459" s="27">
        <v>0.91539220847562541</v>
      </c>
      <c r="AN459" s="27">
        <v>0.91123339499278899</v>
      </c>
      <c r="AO459" s="27">
        <v>0.86534475554026713</v>
      </c>
      <c r="AP459" s="27">
        <v>0.74064544533935317</v>
      </c>
      <c r="AQ459" s="27">
        <v>0.91597634798937433</v>
      </c>
      <c r="AR459" s="27">
        <v>0.91539220847562541</v>
      </c>
      <c r="AS459" s="27">
        <v>0.91123339499278899</v>
      </c>
      <c r="AT459" s="27">
        <v>0.86534475554026713</v>
      </c>
      <c r="AU459" s="27">
        <v>0.74064544533935317</v>
      </c>
      <c r="AW459" s="1">
        <v>13.799386118154219</v>
      </c>
      <c r="AX459" s="1">
        <v>15.683282933353334</v>
      </c>
      <c r="AY459" s="2">
        <v>2024093.8625601502</v>
      </c>
      <c r="AZ459" s="1">
        <v>15.460304057351776</v>
      </c>
      <c r="BA459" s="1">
        <v>17.335947805456513</v>
      </c>
      <c r="BB459" s="2">
        <v>1492815.3096981237</v>
      </c>
      <c r="BC459" s="2">
        <f t="shared" si="56"/>
        <v>-531278.5528620265</v>
      </c>
      <c r="BD459" s="292">
        <f t="shared" si="57"/>
        <v>1.6609179391975566</v>
      </c>
      <c r="BF459" s="170">
        <f t="shared" si="52"/>
        <v>183807.91634452483</v>
      </c>
      <c r="BG459" s="2">
        <f t="shared" si="53"/>
        <v>980833.33947816049</v>
      </c>
      <c r="BI459">
        <f t="shared" si="54"/>
        <v>0</v>
      </c>
      <c r="BJ459" s="95">
        <f t="shared" si="55"/>
        <v>1</v>
      </c>
      <c r="BP459" s="217">
        <f t="shared" si="58"/>
        <v>980833.33947816049</v>
      </c>
    </row>
    <row r="460" spans="1:68">
      <c r="A460" s="11">
        <v>454</v>
      </c>
      <c r="C460" s="27">
        <v>0.92771792315405088</v>
      </c>
      <c r="D460" s="27">
        <v>7.2282076845949117E-2</v>
      </c>
      <c r="E460" s="27">
        <v>0</v>
      </c>
      <c r="F460" s="27">
        <v>0.85743204161787756</v>
      </c>
      <c r="G460" s="27">
        <v>0.14256795838212249</v>
      </c>
      <c r="H460" s="27">
        <v>0</v>
      </c>
      <c r="I460" s="27">
        <v>0.73138066442729588</v>
      </c>
      <c r="J460" s="27">
        <v>0.26861933557270412</v>
      </c>
      <c r="K460" s="27">
        <v>0</v>
      </c>
      <c r="L460" s="27">
        <v>0.15061139742818902</v>
      </c>
      <c r="M460" s="27">
        <v>0.50495237745447974</v>
      </c>
      <c r="N460" s="27">
        <v>0.34443622511733124</v>
      </c>
      <c r="O460" s="27">
        <v>-11.391131063860705</v>
      </c>
      <c r="P460" s="27">
        <v>3.5247634188968952E-2</v>
      </c>
      <c r="Q460" s="27">
        <v>4.9639164551130023E-5</v>
      </c>
      <c r="R460" s="27">
        <v>1.1031255093607424</v>
      </c>
      <c r="S460" s="154"/>
      <c r="T460">
        <v>1.0211361077767713</v>
      </c>
      <c r="U460">
        <v>2.1993106299816514</v>
      </c>
      <c r="V460">
        <v>3.1650322818726115</v>
      </c>
      <c r="W460">
        <v>1</v>
      </c>
      <c r="Y460" s="2">
        <v>455.69261515435397</v>
      </c>
      <c r="Z460" s="2">
        <v>752.17487890769246</v>
      </c>
      <c r="AA460" s="2">
        <v>802.21755938755507</v>
      </c>
      <c r="AB460" s="2">
        <v>1250.0334333072904</v>
      </c>
      <c r="AC460" s="2">
        <v>315.35337204194059</v>
      </c>
      <c r="AD460" s="2">
        <v>109.97684927264402</v>
      </c>
      <c r="AE460" s="2">
        <v>567.0975134922561</v>
      </c>
      <c r="AF460" s="2">
        <v>1077.5517281368377</v>
      </c>
      <c r="AG460" s="2">
        <v>120.68630133835529</v>
      </c>
      <c r="AH460" s="2">
        <v>603.87381201252435</v>
      </c>
      <c r="AI460" s="2">
        <v>412770.03136014688</v>
      </c>
      <c r="AJ460" s="2">
        <v>371855.42803221132</v>
      </c>
      <c r="AL460" s="27">
        <v>0.9153698327589681</v>
      </c>
      <c r="AM460" s="27">
        <v>0.9154568886657517</v>
      </c>
      <c r="AN460" s="27">
        <v>0.90158980216697493</v>
      </c>
      <c r="AO460" s="27">
        <v>0.89215710132087755</v>
      </c>
      <c r="AP460" s="27">
        <v>0.76998696688774526</v>
      </c>
      <c r="AQ460" s="27">
        <v>0.9153698327589681</v>
      </c>
      <c r="AR460" s="27">
        <v>0.9154568886657517</v>
      </c>
      <c r="AS460" s="27">
        <v>0.90158980216697493</v>
      </c>
      <c r="AT460" s="27">
        <v>0.89215710132087755</v>
      </c>
      <c r="AU460" s="27">
        <v>0.76998696688774526</v>
      </c>
      <c r="AW460" s="1">
        <v>13.879670560787995</v>
      </c>
      <c r="AX460" s="1">
        <v>15.694881244757394</v>
      </c>
      <c r="AY460" s="2">
        <v>1477854.96774579</v>
      </c>
      <c r="AZ460" s="1">
        <v>15.611158581571528</v>
      </c>
      <c r="BA460" s="1">
        <v>17.449020086134524</v>
      </c>
      <c r="BB460" s="2">
        <v>1077832.548049297</v>
      </c>
      <c r="BC460" s="2">
        <f t="shared" si="56"/>
        <v>-400022.41969649307</v>
      </c>
      <c r="BD460" s="292">
        <f t="shared" si="57"/>
        <v>1.7314880207835337</v>
      </c>
      <c r="BF460" s="170">
        <f t="shared" si="52"/>
        <v>742892.32198028895</v>
      </c>
      <c r="BG460" s="2">
        <f t="shared" si="53"/>
        <v>1419952.8250021476</v>
      </c>
      <c r="BI460">
        <f t="shared" si="54"/>
        <v>0</v>
      </c>
      <c r="BJ460" s="95">
        <f t="shared" si="55"/>
        <v>1</v>
      </c>
      <c r="BP460" s="217">
        <f t="shared" si="58"/>
        <v>1419952.8250021476</v>
      </c>
    </row>
    <row r="461" spans="1:68">
      <c r="A461" s="11">
        <v>455</v>
      </c>
      <c r="C461" s="27">
        <v>0.92527202547795229</v>
      </c>
      <c r="D461" s="27">
        <v>7.4727974522047741E-2</v>
      </c>
      <c r="E461" s="27">
        <v>0</v>
      </c>
      <c r="F461" s="27">
        <v>0.85945020551535933</v>
      </c>
      <c r="G461" s="27">
        <v>0.14054979448464064</v>
      </c>
      <c r="H461" s="27">
        <v>0</v>
      </c>
      <c r="I461" s="27">
        <v>0.7544419634678734</v>
      </c>
      <c r="J461" s="27">
        <v>0.24555803653212663</v>
      </c>
      <c r="K461" s="27">
        <v>0</v>
      </c>
      <c r="L461" s="27">
        <v>7.4475149603406288E-2</v>
      </c>
      <c r="M461" s="27">
        <v>0.51649181368103569</v>
      </c>
      <c r="N461" s="27">
        <v>0.40903303671555802</v>
      </c>
      <c r="O461" s="27">
        <v>-11.25771887251816</v>
      </c>
      <c r="P461" s="27">
        <v>3.5718615022286307E-2</v>
      </c>
      <c r="Q461" s="27">
        <v>5.7856946046623334E-5</v>
      </c>
      <c r="R461" s="27">
        <v>1.0742471514749143</v>
      </c>
      <c r="S461" s="154"/>
      <c r="T461">
        <v>1.0343090498068808</v>
      </c>
      <c r="U461">
        <v>2.2602108792549105</v>
      </c>
      <c r="V461">
        <v>3.2190480652623061</v>
      </c>
      <c r="W461">
        <v>1</v>
      </c>
      <c r="Y461" s="2">
        <v>35.526572869296061</v>
      </c>
      <c r="Z461" s="2">
        <v>1103.6456547095477</v>
      </c>
      <c r="AA461" s="2">
        <v>3804.0590001123469</v>
      </c>
      <c r="AB461" s="2">
        <v>7554.8222196098295</v>
      </c>
      <c r="AC461" s="2">
        <v>650.34925839036077</v>
      </c>
      <c r="AD461" s="2">
        <v>2316.0796106717153</v>
      </c>
      <c r="AE461" s="2">
        <v>585.42278491539548</v>
      </c>
      <c r="AF461" s="2">
        <v>1073.4495133069624</v>
      </c>
      <c r="AG461" s="2">
        <v>113.34115397205785</v>
      </c>
      <c r="AH461" s="2">
        <v>394.14345634959005</v>
      </c>
      <c r="AI461" s="2">
        <v>388276.48760730651</v>
      </c>
      <c r="AJ461" s="2">
        <v>356841.13962258241</v>
      </c>
      <c r="AL461" s="27">
        <v>0.92084712540600155</v>
      </c>
      <c r="AM461" s="27">
        <v>0.91098633421739561</v>
      </c>
      <c r="AN461" s="27">
        <v>0.90420484764144182</v>
      </c>
      <c r="AO461" s="27">
        <v>0.88599151927406683</v>
      </c>
      <c r="AP461" s="27">
        <v>0.7852607646198102</v>
      </c>
      <c r="AQ461" s="27">
        <v>0.92084712540600155</v>
      </c>
      <c r="AR461" s="27">
        <v>0.91098633421739561</v>
      </c>
      <c r="AS461" s="27">
        <v>0.90420484764144182</v>
      </c>
      <c r="AT461" s="27">
        <v>0.88599151927406683</v>
      </c>
      <c r="AU461" s="27">
        <v>0.7852607646198102</v>
      </c>
      <c r="AW461" s="1">
        <v>13.778913765581615</v>
      </c>
      <c r="AX461" s="1">
        <v>15.492928571150689</v>
      </c>
      <c r="AY461" s="2">
        <v>1440366.1340956793</v>
      </c>
      <c r="AZ461" s="1">
        <v>15.653748094155247</v>
      </c>
      <c r="BA461" s="1">
        <v>17.414208275304599</v>
      </c>
      <c r="BB461" s="2">
        <v>1211011.577907325</v>
      </c>
      <c r="BC461" s="2">
        <f t="shared" si="56"/>
        <v>-229354.55618835427</v>
      </c>
      <c r="BD461" s="292">
        <f t="shared" si="57"/>
        <v>1.8748343285736322</v>
      </c>
      <c r="BF461" s="170">
        <f t="shared" si="52"/>
        <v>764260.06839737925</v>
      </c>
      <c r="BG461" s="2">
        <f t="shared" si="53"/>
        <v>1293588.1171575144</v>
      </c>
      <c r="BI461">
        <f t="shared" si="54"/>
        <v>0</v>
      </c>
      <c r="BJ461" s="95">
        <f t="shared" si="55"/>
        <v>1</v>
      </c>
      <c r="BP461" s="217">
        <f t="shared" si="58"/>
        <v>1293588.1171575144</v>
      </c>
    </row>
    <row r="462" spans="1:68">
      <c r="A462" s="11">
        <v>456</v>
      </c>
      <c r="C462" s="27">
        <v>0.92122396249852501</v>
      </c>
      <c r="D462" s="27">
        <v>7.8776037501474994E-2</v>
      </c>
      <c r="E462" s="27">
        <v>0</v>
      </c>
      <c r="F462" s="27">
        <v>0.86237857921341032</v>
      </c>
      <c r="G462" s="27">
        <v>0.1376214207865897</v>
      </c>
      <c r="H462" s="27">
        <v>0</v>
      </c>
      <c r="I462" s="27">
        <v>0.73761488902189198</v>
      </c>
      <c r="J462" s="27">
        <v>0.26238511097810802</v>
      </c>
      <c r="K462" s="27">
        <v>0</v>
      </c>
      <c r="L462" s="27">
        <v>0.14940642109754121</v>
      </c>
      <c r="M462" s="27">
        <v>0.47304297205478812</v>
      </c>
      <c r="N462" s="27">
        <v>0.37755060684767061</v>
      </c>
      <c r="O462" s="27">
        <v>-11.154763309649589</v>
      </c>
      <c r="P462" s="27">
        <v>3.3430403251993E-2</v>
      </c>
      <c r="Q462" s="27">
        <v>5.8254665572198966E-5</v>
      </c>
      <c r="R462" s="27">
        <v>1.0881973971189975</v>
      </c>
      <c r="S462" s="154"/>
      <c r="T462">
        <v>1.0448366406742089</v>
      </c>
      <c r="U462">
        <v>2.2472161507486756</v>
      </c>
      <c r="V462">
        <v>3.0833101614914833</v>
      </c>
      <c r="W462">
        <v>1</v>
      </c>
      <c r="Y462" s="2">
        <v>57.233164602175577</v>
      </c>
      <c r="Z462" s="2">
        <v>9801.2119352648624</v>
      </c>
      <c r="AA462" s="2">
        <v>1214.8642266459417</v>
      </c>
      <c r="AB462" s="2">
        <v>1615.7563042787847</v>
      </c>
      <c r="AC462" s="2">
        <v>3407.3443599494067</v>
      </c>
      <c r="AD462" s="2">
        <v>182.11979059175042</v>
      </c>
      <c r="AE462" s="2">
        <v>543.1132972438146</v>
      </c>
      <c r="AF462" s="2">
        <v>1238.1711439632957</v>
      </c>
      <c r="AG462" s="2">
        <v>117.64503910580123</v>
      </c>
      <c r="AH462" s="2">
        <v>338.41019019063975</v>
      </c>
      <c r="AI462" s="2">
        <v>572528.07676565042</v>
      </c>
      <c r="AJ462" s="2">
        <v>535036.89796183107</v>
      </c>
      <c r="AL462" s="27">
        <v>0.91528253287605488</v>
      </c>
      <c r="AM462" s="27">
        <v>0.90568531585945944</v>
      </c>
      <c r="AN462" s="27">
        <v>0.91480557988243882</v>
      </c>
      <c r="AO462" s="27">
        <v>0.82612751501344295</v>
      </c>
      <c r="AP462" s="27">
        <v>0.72384556456400895</v>
      </c>
      <c r="AQ462" s="27">
        <v>0.91528253287605488</v>
      </c>
      <c r="AR462" s="27">
        <v>0.90568531585945944</v>
      </c>
      <c r="AS462" s="27">
        <v>0.91480557988243882</v>
      </c>
      <c r="AT462" s="27">
        <v>0.82612751501344295</v>
      </c>
      <c r="AU462" s="27">
        <v>0.72384556456400895</v>
      </c>
      <c r="AW462" s="1">
        <v>13.228689318654359</v>
      </c>
      <c r="AX462" s="1">
        <v>15.188847590895737</v>
      </c>
      <c r="AY462" s="2">
        <v>2211453.5699128741</v>
      </c>
      <c r="AZ462" s="1">
        <v>15.235774271391087</v>
      </c>
      <c r="BA462" s="1">
        <v>17.187607934678283</v>
      </c>
      <c r="BB462" s="2">
        <v>1469449.469283883</v>
      </c>
      <c r="BC462" s="2">
        <f t="shared" si="56"/>
        <v>-742004.10062899115</v>
      </c>
      <c r="BD462" s="292">
        <f t="shared" si="57"/>
        <v>2.0070849527367276</v>
      </c>
      <c r="BF462" s="170">
        <f t="shared" si="52"/>
        <v>-94863.2789281765</v>
      </c>
      <c r="BG462" s="2">
        <f t="shared" si="53"/>
        <v>968274.41413869103</v>
      </c>
      <c r="BI462">
        <f t="shared" si="54"/>
        <v>0</v>
      </c>
      <c r="BJ462" s="95">
        <f t="shared" si="55"/>
        <v>1</v>
      </c>
      <c r="BP462" s="217">
        <f t="shared" si="58"/>
        <v>968274.41413869103</v>
      </c>
    </row>
    <row r="463" spans="1:68">
      <c r="A463" s="11">
        <v>457</v>
      </c>
      <c r="C463" s="27">
        <v>0.92483461372004139</v>
      </c>
      <c r="D463" s="27">
        <v>7.5165386279958571E-2</v>
      </c>
      <c r="E463" s="27">
        <v>0</v>
      </c>
      <c r="F463" s="27">
        <v>0.86308990700533772</v>
      </c>
      <c r="G463" s="27">
        <v>0.13691009299466222</v>
      </c>
      <c r="H463" s="27">
        <v>0</v>
      </c>
      <c r="I463" s="27">
        <v>0.74663377130008957</v>
      </c>
      <c r="J463" s="27">
        <v>0.25336622869991043</v>
      </c>
      <c r="K463" s="27">
        <v>0</v>
      </c>
      <c r="L463" s="27">
        <v>0.13959253202306343</v>
      </c>
      <c r="M463" s="27">
        <v>0.475051492549108</v>
      </c>
      <c r="N463" s="27">
        <v>0.38535597542782851</v>
      </c>
      <c r="O463" s="27">
        <v>-11.042355934981165</v>
      </c>
      <c r="P463" s="27">
        <v>3.4339879909532946E-2</v>
      </c>
      <c r="Q463" s="27">
        <v>6.7723252122410733E-5</v>
      </c>
      <c r="R463" s="27">
        <v>1.0545852650643368</v>
      </c>
      <c r="S463" s="154"/>
      <c r="T463">
        <v>1.0633740023260039</v>
      </c>
      <c r="U463">
        <v>2.3218759663526694</v>
      </c>
      <c r="V463">
        <v>3.1082158534466995</v>
      </c>
      <c r="W463">
        <v>1</v>
      </c>
      <c r="Y463" s="2">
        <v>403.98881232825278</v>
      </c>
      <c r="Z463" s="2">
        <v>442.51401123134281</v>
      </c>
      <c r="AA463" s="2">
        <v>212.67831998869494</v>
      </c>
      <c r="AB463" s="2">
        <v>12010.769031930795</v>
      </c>
      <c r="AC463" s="2">
        <v>255.81017220096462</v>
      </c>
      <c r="AD463" s="2">
        <v>1621.5074896319281</v>
      </c>
      <c r="AE463" s="2">
        <v>584.84124577475257</v>
      </c>
      <c r="AF463" s="2">
        <v>1040.2783457508838</v>
      </c>
      <c r="AG463" s="2">
        <v>153.56042544972564</v>
      </c>
      <c r="AH463" s="2">
        <v>79.440000787831735</v>
      </c>
      <c r="AI463" s="2">
        <v>407484.73271471413</v>
      </c>
      <c r="AJ463" s="2">
        <v>376578.36845610867</v>
      </c>
      <c r="AL463" s="27">
        <v>0.91508875167976811</v>
      </c>
      <c r="AM463" s="27">
        <v>0.90935477395428321</v>
      </c>
      <c r="AN463" s="27">
        <v>0.90221624153525037</v>
      </c>
      <c r="AO463" s="27">
        <v>0.83251242440466589</v>
      </c>
      <c r="AP463" s="27">
        <v>0.5757584162464171</v>
      </c>
      <c r="AQ463" s="27">
        <v>0.91508875167976811</v>
      </c>
      <c r="AR463" s="27">
        <v>0.90935477395428321</v>
      </c>
      <c r="AS463" s="27">
        <v>0.90221624153525037</v>
      </c>
      <c r="AT463" s="27">
        <v>0.83251242440466589</v>
      </c>
      <c r="AU463" s="27">
        <v>0.5757584162464171</v>
      </c>
      <c r="AW463" s="1">
        <v>12.943185983205405</v>
      </c>
      <c r="AX463" s="1">
        <v>15.430789039268573</v>
      </c>
      <c r="AY463" s="2">
        <v>1529014.0895526528</v>
      </c>
      <c r="AZ463" s="1">
        <v>15.12336999053257</v>
      </c>
      <c r="BA463" s="1">
        <v>17.434223176536786</v>
      </c>
      <c r="BB463" s="2">
        <v>1258856.4002660539</v>
      </c>
      <c r="BC463" s="2">
        <f t="shared" si="56"/>
        <v>-270157.68928659894</v>
      </c>
      <c r="BD463" s="292">
        <f t="shared" si="57"/>
        <v>2.1801840073271652</v>
      </c>
      <c r="BF463" s="170">
        <f t="shared" si="52"/>
        <v>541895.66776021197</v>
      </c>
      <c r="BG463" s="2">
        <f t="shared" si="53"/>
        <v>1160882.7982191572</v>
      </c>
      <c r="BI463">
        <f t="shared" si="54"/>
        <v>0</v>
      </c>
      <c r="BJ463" s="95">
        <f t="shared" si="55"/>
        <v>1</v>
      </c>
      <c r="BP463" s="217">
        <f t="shared" si="58"/>
        <v>1160882.7982191572</v>
      </c>
    </row>
    <row r="464" spans="1:68">
      <c r="A464" s="11">
        <v>458</v>
      </c>
      <c r="C464" s="27">
        <v>0.92285891329660474</v>
      </c>
      <c r="D464" s="27">
        <v>7.7141086703395256E-2</v>
      </c>
      <c r="E464" s="27">
        <v>0</v>
      </c>
      <c r="F464" s="27">
        <v>0.85457040150627217</v>
      </c>
      <c r="G464" s="27">
        <v>0.14542959849372783</v>
      </c>
      <c r="H464" s="27">
        <v>0</v>
      </c>
      <c r="I464" s="27">
        <v>0.75180427774610348</v>
      </c>
      <c r="J464" s="27">
        <v>0.24819572225389655</v>
      </c>
      <c r="K464" s="27">
        <v>0</v>
      </c>
      <c r="L464" s="27">
        <v>0.11309703334149512</v>
      </c>
      <c r="M464" s="27">
        <v>0.53905587570947855</v>
      </c>
      <c r="N464" s="27">
        <v>0.34784709094902633</v>
      </c>
      <c r="O464" s="27">
        <v>-11.109258816116711</v>
      </c>
      <c r="P464" s="27">
        <v>3.5309434612890822E-2</v>
      </c>
      <c r="Q464" s="27">
        <v>6.5973160193996292E-5</v>
      </c>
      <c r="R464" s="27">
        <v>1.0666283872710163</v>
      </c>
      <c r="S464" s="154"/>
      <c r="T464">
        <v>0.84464039265818924</v>
      </c>
      <c r="U464">
        <v>2.3362288897313883</v>
      </c>
      <c r="V464">
        <v>3.0355904053067007</v>
      </c>
      <c r="W464">
        <v>1</v>
      </c>
      <c r="Y464" s="2">
        <v>251.10299700778549</v>
      </c>
      <c r="Z464" s="2">
        <v>5704.9459627881861</v>
      </c>
      <c r="AA464" s="2">
        <v>1229.5709325155908</v>
      </c>
      <c r="AB464" s="2">
        <v>7262.3968302160665</v>
      </c>
      <c r="AC464" s="2">
        <v>1217.7131020852637</v>
      </c>
      <c r="AD464" s="2">
        <v>1298.7146840543867</v>
      </c>
      <c r="AE464" s="2">
        <v>519.23089787841695</v>
      </c>
      <c r="AF464" s="2">
        <v>892.74335267912511</v>
      </c>
      <c r="AG464" s="2">
        <v>191.29300720786219</v>
      </c>
      <c r="AH464" s="2">
        <v>258.01330329218786</v>
      </c>
      <c r="AI464" s="2">
        <v>682932.20544260321</v>
      </c>
      <c r="AJ464" s="2">
        <v>638004.10587120824</v>
      </c>
      <c r="AL464" s="27">
        <v>0.9142753252603808</v>
      </c>
      <c r="AM464" s="27">
        <v>0.91164063721380872</v>
      </c>
      <c r="AN464" s="27">
        <v>0.89904290937681075</v>
      </c>
      <c r="AO464" s="27">
        <v>0.84589348396939545</v>
      </c>
      <c r="AP464" s="27">
        <v>0.70401009177506557</v>
      </c>
      <c r="AQ464" s="27">
        <v>0.9142753252603808</v>
      </c>
      <c r="AR464" s="27">
        <v>0.91164063721380872</v>
      </c>
      <c r="AS464" s="27">
        <v>0.89904290937681075</v>
      </c>
      <c r="AT464" s="27">
        <v>0.84589348396939545</v>
      </c>
      <c r="AU464" s="27">
        <v>0.70401009177506557</v>
      </c>
      <c r="AW464" s="1">
        <v>14.048520853545226</v>
      </c>
      <c r="AX464" s="1">
        <v>16.15260815394905</v>
      </c>
      <c r="AY464" s="2">
        <v>2576351.2653156947</v>
      </c>
      <c r="AZ464" s="1">
        <v>15.384211336218808</v>
      </c>
      <c r="BA464" s="1">
        <v>17.461901205565205</v>
      </c>
      <c r="BB464" s="2">
        <v>2059068.7912493225</v>
      </c>
      <c r="BC464" s="2">
        <f t="shared" si="56"/>
        <v>-517282.47406637226</v>
      </c>
      <c r="BD464" s="292">
        <f t="shared" si="57"/>
        <v>1.3356904826735825</v>
      </c>
      <c r="BF464" s="170">
        <f t="shared" si="52"/>
        <v>-328587.92874845862</v>
      </c>
      <c r="BG464" s="2">
        <f t="shared" si="53"/>
        <v>402405.02254568669</v>
      </c>
      <c r="BI464">
        <f t="shared" si="54"/>
        <v>0</v>
      </c>
      <c r="BJ464" s="95">
        <f t="shared" si="55"/>
        <v>1</v>
      </c>
      <c r="BP464" s="217">
        <f t="shared" si="58"/>
        <v>402405.02254568669</v>
      </c>
    </row>
    <row r="465" spans="1:68">
      <c r="A465" s="11">
        <v>459</v>
      </c>
      <c r="C465" s="27">
        <v>0.92130469290275963</v>
      </c>
      <c r="D465" s="27">
        <v>7.8695307097240375E-2</v>
      </c>
      <c r="E465" s="27">
        <v>0</v>
      </c>
      <c r="F465" s="27">
        <v>0.85570250894611077</v>
      </c>
      <c r="G465" s="27">
        <v>0.14429749105388923</v>
      </c>
      <c r="H465" s="27">
        <v>0</v>
      </c>
      <c r="I465" s="27">
        <v>0.7544488482131575</v>
      </c>
      <c r="J465" s="27">
        <v>0.24555115178684256</v>
      </c>
      <c r="K465" s="27">
        <v>0</v>
      </c>
      <c r="L465" s="27">
        <v>7.6787330500877604E-2</v>
      </c>
      <c r="M465" s="27">
        <v>0.50991152748296553</v>
      </c>
      <c r="N465" s="27">
        <v>0.41330114201615686</v>
      </c>
      <c r="O465" s="27">
        <v>-10.792455574591092</v>
      </c>
      <c r="P465" s="27">
        <v>3.6252684141935054E-2</v>
      </c>
      <c r="Q465" s="27">
        <v>9.4223320754092512E-5</v>
      </c>
      <c r="R465" s="27">
        <v>1.0105120237261056</v>
      </c>
      <c r="S465" s="154"/>
      <c r="T465">
        <v>1.0013391102122393</v>
      </c>
      <c r="U465">
        <v>2.1799586792396961</v>
      </c>
      <c r="V465">
        <v>3.1338758011512486</v>
      </c>
      <c r="W465">
        <v>1</v>
      </c>
      <c r="Y465" s="2">
        <v>496.70458688172295</v>
      </c>
      <c r="Z465" s="2">
        <v>2266.4618409205955</v>
      </c>
      <c r="AA465" s="2">
        <v>1780.0568941134948</v>
      </c>
      <c r="AB465" s="2">
        <v>2131.3475593147741</v>
      </c>
      <c r="AC465" s="2">
        <v>638.92444061552817</v>
      </c>
      <c r="AD465" s="2">
        <v>904.58370879827407</v>
      </c>
      <c r="AE465" s="2">
        <v>545.75021146612528</v>
      </c>
      <c r="AF465" s="2">
        <v>1166.9018759523769</v>
      </c>
      <c r="AG465" s="2">
        <v>153.88516615705123</v>
      </c>
      <c r="AH465" s="2">
        <v>293.25604890861132</v>
      </c>
      <c r="AI465" s="2">
        <v>313829.53265476529</v>
      </c>
      <c r="AJ465" s="2">
        <v>278783.99307614996</v>
      </c>
      <c r="AL465" s="27">
        <v>0.90908526776523046</v>
      </c>
      <c r="AM465" s="27">
        <v>0.91563587404517111</v>
      </c>
      <c r="AN465" s="27">
        <v>0.91700324676216027</v>
      </c>
      <c r="AO465" s="27">
        <v>0.87680536549142662</v>
      </c>
      <c r="AP465" s="27">
        <v>0.55819463290257409</v>
      </c>
      <c r="AQ465" s="27">
        <v>0.90908526776523046</v>
      </c>
      <c r="AR465" s="27">
        <v>0.91563587404517111</v>
      </c>
      <c r="AS465" s="27">
        <v>0.91700324676216027</v>
      </c>
      <c r="AT465" s="27">
        <v>0.87680536549142662</v>
      </c>
      <c r="AU465" s="27">
        <v>0.55819463290257409</v>
      </c>
      <c r="AW465" s="1">
        <v>12.98489498846793</v>
      </c>
      <c r="AX465" s="1">
        <v>15.572039470898959</v>
      </c>
      <c r="AY465" s="2">
        <v>1204667.3726794138</v>
      </c>
      <c r="AZ465" s="1">
        <v>14.969200207223276</v>
      </c>
      <c r="BA465" s="1">
        <v>17.351003752070309</v>
      </c>
      <c r="BB465" s="2">
        <v>910138.52606860304</v>
      </c>
      <c r="BC465" s="2">
        <f t="shared" si="56"/>
        <v>-294528.84661081072</v>
      </c>
      <c r="BD465" s="292">
        <f t="shared" si="57"/>
        <v>1.9843052187553454</v>
      </c>
      <c r="BF465" s="170">
        <f t="shared" si="52"/>
        <v>872915.82547545503</v>
      </c>
      <c r="BG465" s="2">
        <f t="shared" si="53"/>
        <v>1484933.5070871208</v>
      </c>
      <c r="BI465">
        <f t="shared" si="54"/>
        <v>0</v>
      </c>
      <c r="BJ465" s="95">
        <f t="shared" si="55"/>
        <v>1</v>
      </c>
      <c r="BP465" s="217">
        <f t="shared" si="58"/>
        <v>1484933.5070871208</v>
      </c>
    </row>
    <row r="466" spans="1:68">
      <c r="A466" s="11">
        <v>460</v>
      </c>
      <c r="C466" s="27">
        <v>0.92673488919127434</v>
      </c>
      <c r="D466" s="27">
        <v>7.3265110808725706E-2</v>
      </c>
      <c r="E466" s="27">
        <v>0</v>
      </c>
      <c r="F466" s="27">
        <v>0.86237413087663572</v>
      </c>
      <c r="G466" s="27">
        <v>0.13762586912336425</v>
      </c>
      <c r="H466" s="27">
        <v>0</v>
      </c>
      <c r="I466" s="27">
        <v>0.75299058417468467</v>
      </c>
      <c r="J466" s="27">
        <v>0.24700941582531527</v>
      </c>
      <c r="K466" s="27">
        <v>0</v>
      </c>
      <c r="L466" s="27">
        <v>0.14701957131780818</v>
      </c>
      <c r="M466" s="27">
        <v>0.445196696740977</v>
      </c>
      <c r="N466" s="27">
        <v>0.40778373194121476</v>
      </c>
      <c r="O466" s="27">
        <v>-11.348158430371381</v>
      </c>
      <c r="P466" s="27">
        <v>3.542385896252636E-2</v>
      </c>
      <c r="Q466" s="27">
        <v>5.2203743350821843E-5</v>
      </c>
      <c r="R466" s="27">
        <v>1.0965606947735287</v>
      </c>
      <c r="S466" s="154"/>
      <c r="T466">
        <v>1.0272646748135132</v>
      </c>
      <c r="U466">
        <v>2.286258835422418</v>
      </c>
      <c r="V466">
        <v>3.1312336087458079</v>
      </c>
      <c r="W466">
        <v>1</v>
      </c>
      <c r="Y466" s="2">
        <v>947.6303834287877</v>
      </c>
      <c r="Z466" s="2">
        <v>3477.7095882689955</v>
      </c>
      <c r="AA466" s="2">
        <v>2039.8446150728037</v>
      </c>
      <c r="AB466" s="2">
        <v>1318.7684656653685</v>
      </c>
      <c r="AC466" s="2">
        <v>267.08662919987609</v>
      </c>
      <c r="AD466" s="2">
        <v>548.27249634714315</v>
      </c>
      <c r="AE466" s="2">
        <v>528.25865303003968</v>
      </c>
      <c r="AF466" s="2">
        <v>911.83382929609854</v>
      </c>
      <c r="AG466" s="2">
        <v>219.43631061683885</v>
      </c>
      <c r="AH466" s="2">
        <v>243.63817323573326</v>
      </c>
      <c r="AI466" s="2">
        <v>558667.20603190525</v>
      </c>
      <c r="AJ466" s="2">
        <v>531401.50358949299</v>
      </c>
      <c r="AL466" s="27">
        <v>0.91766482646145198</v>
      </c>
      <c r="AM466" s="27">
        <v>0.91872174546395358</v>
      </c>
      <c r="AN466" s="27">
        <v>0.89999264813037694</v>
      </c>
      <c r="AO466" s="27">
        <v>0.81982547595926425</v>
      </c>
      <c r="AP466" s="27">
        <v>0.67474804141207145</v>
      </c>
      <c r="AQ466" s="27">
        <v>0.91766482646145198</v>
      </c>
      <c r="AR466" s="27">
        <v>0.91872174546395358</v>
      </c>
      <c r="AS466" s="27">
        <v>0.89999264813037694</v>
      </c>
      <c r="AT466" s="27">
        <v>0.81982547595926425</v>
      </c>
      <c r="AU466" s="27">
        <v>0.67474804141207145</v>
      </c>
      <c r="AW466" s="1">
        <v>13.280241876345022</v>
      </c>
      <c r="AX466" s="1">
        <v>15.299488122663702</v>
      </c>
      <c r="AY466" s="2">
        <v>1905005.3781060143</v>
      </c>
      <c r="AZ466" s="1">
        <v>15.315154034037873</v>
      </c>
      <c r="BA466" s="1">
        <v>17.284383526696079</v>
      </c>
      <c r="BB466" s="2">
        <v>1331789.8565028466</v>
      </c>
      <c r="BC466" s="2">
        <f t="shared" si="56"/>
        <v>-573215.52160316776</v>
      </c>
      <c r="BD466" s="292">
        <f t="shared" si="57"/>
        <v>2.0349121576928511</v>
      </c>
      <c r="BF466" s="170">
        <f t="shared" si="52"/>
        <v>219833.32210918935</v>
      </c>
      <c r="BG466" s="2">
        <f t="shared" si="53"/>
        <v>1118634.7889432132</v>
      </c>
      <c r="BI466">
        <f t="shared" si="54"/>
        <v>0</v>
      </c>
      <c r="BJ466" s="95">
        <f t="shared" si="55"/>
        <v>1</v>
      </c>
      <c r="BP466" s="217">
        <f t="shared" si="58"/>
        <v>1118634.7889432132</v>
      </c>
    </row>
    <row r="467" spans="1:68">
      <c r="A467" s="11">
        <v>461</v>
      </c>
      <c r="C467" s="27">
        <v>0.92284456589825603</v>
      </c>
      <c r="D467" s="27">
        <v>7.7155434101743969E-2</v>
      </c>
      <c r="E467" s="27">
        <v>0</v>
      </c>
      <c r="F467" s="27">
        <v>0.86108955263185127</v>
      </c>
      <c r="G467" s="27">
        <v>0.13891044736814873</v>
      </c>
      <c r="H467" s="27">
        <v>0</v>
      </c>
      <c r="I467" s="27">
        <v>0.74935248417954181</v>
      </c>
      <c r="J467" s="27">
        <v>0.25064751582045819</v>
      </c>
      <c r="K467" s="27">
        <v>0</v>
      </c>
      <c r="L467" s="27">
        <v>0.10948621555961324</v>
      </c>
      <c r="M467" s="27">
        <v>0.51119301265528616</v>
      </c>
      <c r="N467" s="27">
        <v>0.3793207717851006</v>
      </c>
      <c r="O467" s="27">
        <v>-10.988808790787003</v>
      </c>
      <c r="P467" s="27">
        <v>3.2672716209980128E-2</v>
      </c>
      <c r="Q467" s="27">
        <v>6.6616736714609131E-5</v>
      </c>
      <c r="R467" s="27">
        <v>1.0629598258991537</v>
      </c>
      <c r="S467" s="154"/>
      <c r="T467">
        <v>1.0651527032601018</v>
      </c>
      <c r="U467">
        <v>2.2586288511619634</v>
      </c>
      <c r="V467">
        <v>3.1491784920331982</v>
      </c>
      <c r="W467">
        <v>1</v>
      </c>
      <c r="Y467" s="2">
        <v>984.67120360586398</v>
      </c>
      <c r="Z467" s="2">
        <v>4014.0905167061469</v>
      </c>
      <c r="AA467" s="2">
        <v>1671.0068626292355</v>
      </c>
      <c r="AB467" s="2">
        <v>937.92463237741345</v>
      </c>
      <c r="AC467" s="2">
        <v>752.9607322408699</v>
      </c>
      <c r="AD467" s="2">
        <v>664.85319917664731</v>
      </c>
      <c r="AE467" s="2">
        <v>552.26438349630098</v>
      </c>
      <c r="AF467" s="2">
        <v>723.68938563911684</v>
      </c>
      <c r="AG467" s="2">
        <v>119.81205248812427</v>
      </c>
      <c r="AH467" s="2">
        <v>262.37833426487515</v>
      </c>
      <c r="AI467" s="2">
        <v>497265.55966537882</v>
      </c>
      <c r="AJ467" s="2">
        <v>452492.29910109879</v>
      </c>
      <c r="AL467" s="27">
        <v>0.91644794876494773</v>
      </c>
      <c r="AM467" s="27">
        <v>0.90828521338757306</v>
      </c>
      <c r="AN467" s="27">
        <v>0.89722296352393693</v>
      </c>
      <c r="AO467" s="27">
        <v>0.88014800606354626</v>
      </c>
      <c r="AP467" s="27">
        <v>0.67388693588192927</v>
      </c>
      <c r="AQ467" s="27">
        <v>0.91644794876494773</v>
      </c>
      <c r="AR467" s="27">
        <v>0.90828521338757306</v>
      </c>
      <c r="AS467" s="27">
        <v>0.89722296352393693</v>
      </c>
      <c r="AT467" s="27">
        <v>0.88014800606354626</v>
      </c>
      <c r="AU467" s="27">
        <v>0.67388693588192927</v>
      </c>
      <c r="AW467" s="1">
        <v>13.251445139030544</v>
      </c>
      <c r="AX467" s="1">
        <v>15.403894011575753</v>
      </c>
      <c r="AY467" s="2">
        <v>1943431.3880519243</v>
      </c>
      <c r="AZ467" s="1">
        <v>15.31115887476553</v>
      </c>
      <c r="BA467" s="1">
        <v>17.401104811383654</v>
      </c>
      <c r="BB467" s="2">
        <v>1324931.1889368414</v>
      </c>
      <c r="BC467" s="2">
        <f t="shared" si="56"/>
        <v>-618500.19911508285</v>
      </c>
      <c r="BD467" s="292">
        <f t="shared" si="57"/>
        <v>2.0597137357349862</v>
      </c>
      <c r="BF467" s="170">
        <f t="shared" si="52"/>
        <v>176799.83419296285</v>
      </c>
      <c r="BG467" s="2">
        <f t="shared" si="53"/>
        <v>1124854.2310256434</v>
      </c>
      <c r="BI467">
        <f t="shared" si="54"/>
        <v>0</v>
      </c>
      <c r="BJ467" s="95">
        <f t="shared" si="55"/>
        <v>1</v>
      </c>
      <c r="BP467" s="217">
        <f t="shared" si="58"/>
        <v>1124854.2310256434</v>
      </c>
    </row>
    <row r="468" spans="1:68">
      <c r="A468" s="11">
        <v>462</v>
      </c>
      <c r="C468" s="27">
        <v>0.92258751604545342</v>
      </c>
      <c r="D468" s="27">
        <v>7.7412483954546585E-2</v>
      </c>
      <c r="E468" s="27">
        <v>0</v>
      </c>
      <c r="F468" s="27">
        <v>0.85757161074880994</v>
      </c>
      <c r="G468" s="27">
        <v>0.14242838925119003</v>
      </c>
      <c r="H468" s="27">
        <v>0</v>
      </c>
      <c r="I468" s="27">
        <v>0.74714117153392823</v>
      </c>
      <c r="J468" s="27">
        <v>0.25285882846607177</v>
      </c>
      <c r="K468" s="27">
        <v>0</v>
      </c>
      <c r="L468" s="27">
        <v>0.16938719047113138</v>
      </c>
      <c r="M468" s="27">
        <v>0.4616267390059795</v>
      </c>
      <c r="N468" s="27">
        <v>0.36898607052288912</v>
      </c>
      <c r="O468" s="27">
        <v>-11.780220343443677</v>
      </c>
      <c r="P468" s="27">
        <v>3.506033098681282E-2</v>
      </c>
      <c r="Q468" s="27">
        <v>3.3375567354668256E-5</v>
      </c>
      <c r="R468" s="27">
        <v>1.1566614166284128</v>
      </c>
      <c r="S468" s="154"/>
      <c r="T468">
        <v>0.98747724458124753</v>
      </c>
      <c r="U468">
        <v>2.213922306433183</v>
      </c>
      <c r="V468">
        <v>3.1692775713081329</v>
      </c>
      <c r="W468">
        <v>1</v>
      </c>
      <c r="Y468" s="2">
        <v>1214.6933474451951</v>
      </c>
      <c r="Z468" s="2">
        <v>7018.7765588982265</v>
      </c>
      <c r="AA468" s="2">
        <v>1046.7440292849244</v>
      </c>
      <c r="AB468" s="2">
        <v>349.60948094098961</v>
      </c>
      <c r="AC468" s="2">
        <v>485.49394246027759</v>
      </c>
      <c r="AD468" s="2">
        <v>2833.8610534461559</v>
      </c>
      <c r="AE468" s="2">
        <v>607.87405367894121</v>
      </c>
      <c r="AF468" s="2">
        <v>910.88075409327496</v>
      </c>
      <c r="AG468" s="2">
        <v>71.479440811530182</v>
      </c>
      <c r="AH468" s="2">
        <v>302.62673506001619</v>
      </c>
      <c r="AI468" s="2">
        <v>410253.36261915497</v>
      </c>
      <c r="AJ468" s="2">
        <v>375413.60977081215</v>
      </c>
      <c r="AL468" s="27">
        <v>0.91949767455111264</v>
      </c>
      <c r="AM468" s="27">
        <v>0.91212997577461952</v>
      </c>
      <c r="AN468" s="27">
        <v>0.9079037054003164</v>
      </c>
      <c r="AO468" s="27">
        <v>0.86444620085826684</v>
      </c>
      <c r="AP468" s="27">
        <v>0.75919249526142552</v>
      </c>
      <c r="AQ468" s="27">
        <v>0.91949767455111264</v>
      </c>
      <c r="AR468" s="27">
        <v>0.91212997577461952</v>
      </c>
      <c r="AS468" s="27">
        <v>0.9079037054003164</v>
      </c>
      <c r="AT468" s="27">
        <v>0.86444620085826684</v>
      </c>
      <c r="AU468" s="27">
        <v>0.75919249526142552</v>
      </c>
      <c r="AW468" s="1">
        <v>13.525560806005982</v>
      </c>
      <c r="AX468" s="1">
        <v>15.275796392914357</v>
      </c>
      <c r="AY468" s="2">
        <v>1440465.4588959138</v>
      </c>
      <c r="AZ468" s="1">
        <v>15.341460659338493</v>
      </c>
      <c r="BA468" s="1">
        <v>17.125786191589778</v>
      </c>
      <c r="BB468" s="2">
        <v>1016474.8790139294</v>
      </c>
      <c r="BC468" s="2">
        <f t="shared" si="56"/>
        <v>-423990.57988198439</v>
      </c>
      <c r="BD468" s="292">
        <f t="shared" si="57"/>
        <v>1.8158998533325104</v>
      </c>
      <c r="BF468" s="170">
        <f t="shared" si="52"/>
        <v>723624.27006504359</v>
      </c>
      <c r="BG468" s="2">
        <f t="shared" si="53"/>
        <v>1438158.8264802294</v>
      </c>
      <c r="BI468">
        <f t="shared" si="54"/>
        <v>0</v>
      </c>
      <c r="BJ468" s="95">
        <f t="shared" si="55"/>
        <v>1</v>
      </c>
      <c r="BP468" s="217">
        <f t="shared" si="58"/>
        <v>1438158.8264802294</v>
      </c>
    </row>
    <row r="469" spans="1:68">
      <c r="A469" s="11">
        <v>463</v>
      </c>
      <c r="C469" s="27">
        <v>0.92068086652939785</v>
      </c>
      <c r="D469" s="27">
        <v>7.9319133470602154E-2</v>
      </c>
      <c r="E469" s="27">
        <v>0</v>
      </c>
      <c r="F469" s="27">
        <v>0.86138496482740345</v>
      </c>
      <c r="G469" s="27">
        <v>0.13861503517259649</v>
      </c>
      <c r="H469" s="27">
        <v>0</v>
      </c>
      <c r="I469" s="27">
        <v>0.75356512472839787</v>
      </c>
      <c r="J469" s="27">
        <v>0.24643487527160207</v>
      </c>
      <c r="K469" s="27">
        <v>0</v>
      </c>
      <c r="L469" s="27">
        <v>7.462096377590044E-2</v>
      </c>
      <c r="M469" s="27">
        <v>0.5071577987236866</v>
      </c>
      <c r="N469" s="27">
        <v>0.41822123750041296</v>
      </c>
      <c r="O469" s="27">
        <v>-10.905662114007617</v>
      </c>
      <c r="P469" s="27">
        <v>3.2386645665541981E-2</v>
      </c>
      <c r="Q469" s="27">
        <v>7.1527898464388291E-5</v>
      </c>
      <c r="R469" s="27">
        <v>1.0589060641602477</v>
      </c>
      <c r="S469" s="154"/>
      <c r="T469">
        <v>0.9886588292302253</v>
      </c>
      <c r="U469">
        <v>2.2729098607833973</v>
      </c>
      <c r="V469">
        <v>3.0780937261299304</v>
      </c>
      <c r="W469">
        <v>1</v>
      </c>
      <c r="Y469" s="2">
        <v>852.93240209383885</v>
      </c>
      <c r="Z469" s="2">
        <v>6006.6265835681606</v>
      </c>
      <c r="AA469" s="2">
        <v>439.67412294272651</v>
      </c>
      <c r="AB469" s="2">
        <v>967.94051814278941</v>
      </c>
      <c r="AC469" s="2">
        <v>1032.286007068077</v>
      </c>
      <c r="AD469" s="2">
        <v>546.76842240456074</v>
      </c>
      <c r="AE469" s="2">
        <v>551.82547902618649</v>
      </c>
      <c r="AF469" s="2">
        <v>764.32494139182631</v>
      </c>
      <c r="AG469" s="2">
        <v>60.603856613341271</v>
      </c>
      <c r="AH469" s="2">
        <v>604.25924471946848</v>
      </c>
      <c r="AI469" s="2">
        <v>382931.34841998213</v>
      </c>
      <c r="AJ469" s="2">
        <v>350196.09444179834</v>
      </c>
      <c r="AL469" s="27">
        <v>0.91922631244043784</v>
      </c>
      <c r="AM469" s="27">
        <v>0.91442807919860014</v>
      </c>
      <c r="AN469" s="27">
        <v>0.90737257318900066</v>
      </c>
      <c r="AO469" s="27">
        <v>0.82913919011592019</v>
      </c>
      <c r="AP469" s="27">
        <v>0.66042260093677996</v>
      </c>
      <c r="AQ469" s="27">
        <v>0.91922631244043784</v>
      </c>
      <c r="AR469" s="27">
        <v>0.91442807919860014</v>
      </c>
      <c r="AS469" s="27">
        <v>0.90737257318900066</v>
      </c>
      <c r="AT469" s="27">
        <v>0.82913919011592019</v>
      </c>
      <c r="AU469" s="27">
        <v>0.66042260093677996</v>
      </c>
      <c r="AW469" s="1">
        <v>13.237920341668779</v>
      </c>
      <c r="AX469" s="1">
        <v>15.350474979602545</v>
      </c>
      <c r="AY469" s="2">
        <v>1440492.4358379822</v>
      </c>
      <c r="AZ469" s="1">
        <v>15.188611048117444</v>
      </c>
      <c r="BA469" s="1">
        <v>17.226754083795001</v>
      </c>
      <c r="BB469" s="2">
        <v>982182.32264042576</v>
      </c>
      <c r="BC469" s="2">
        <f t="shared" si="56"/>
        <v>-458310.11319755646</v>
      </c>
      <c r="BD469" s="292">
        <f t="shared" si="57"/>
        <v>1.9506907064486647</v>
      </c>
      <c r="BF469" s="170">
        <f t="shared" si="52"/>
        <v>677574.81882902235</v>
      </c>
      <c r="BG469" s="2">
        <f t="shared" si="53"/>
        <v>1447995.4450583651</v>
      </c>
      <c r="BI469">
        <f t="shared" si="54"/>
        <v>0</v>
      </c>
      <c r="BJ469" s="95">
        <f t="shared" si="55"/>
        <v>1</v>
      </c>
      <c r="BP469" s="217">
        <f t="shared" si="58"/>
        <v>1447995.4450583651</v>
      </c>
    </row>
    <row r="470" spans="1:68">
      <c r="A470" s="11">
        <v>464</v>
      </c>
      <c r="C470" s="27">
        <v>0.92531401231323041</v>
      </c>
      <c r="D470" s="27">
        <v>7.468598768676965E-2</v>
      </c>
      <c r="E470" s="27">
        <v>0</v>
      </c>
      <c r="F470" s="27">
        <v>0.85508996365527157</v>
      </c>
      <c r="G470" s="27">
        <v>0.14491003634472843</v>
      </c>
      <c r="H470" s="27">
        <v>0</v>
      </c>
      <c r="I470" s="27">
        <v>0.75664576792639004</v>
      </c>
      <c r="J470" s="27">
        <v>0.2433542320736099</v>
      </c>
      <c r="K470" s="27">
        <v>0</v>
      </c>
      <c r="L470" s="27">
        <v>9.243804648986953E-2</v>
      </c>
      <c r="M470" s="27">
        <v>0.51825584484201381</v>
      </c>
      <c r="N470" s="27">
        <v>0.38930610866811666</v>
      </c>
      <c r="O470" s="27">
        <v>-10.71373455287007</v>
      </c>
      <c r="P470" s="27">
        <v>3.0952249748593619E-2</v>
      </c>
      <c r="Q470" s="27">
        <v>8.1595204718214678E-5</v>
      </c>
      <c r="R470" s="27">
        <v>1.0391328286220258</v>
      </c>
      <c r="S470" s="154"/>
      <c r="T470">
        <v>1.0239131494378184</v>
      </c>
      <c r="U470">
        <v>2.2341109287799488</v>
      </c>
      <c r="V470">
        <v>2.8578060629782231</v>
      </c>
      <c r="W470">
        <v>1</v>
      </c>
      <c r="Y470" s="2">
        <v>84.696734482216613</v>
      </c>
      <c r="Z470" s="2">
        <v>1954.6768008547972</v>
      </c>
      <c r="AA470" s="2">
        <v>64.303570586168547</v>
      </c>
      <c r="AB470" s="2">
        <v>10016.175708056933</v>
      </c>
      <c r="AC470" s="2">
        <v>834.09584736175293</v>
      </c>
      <c r="AD470" s="2">
        <v>1180.1276538583268</v>
      </c>
      <c r="AE470" s="2">
        <v>612.31768261753496</v>
      </c>
      <c r="AF470" s="2">
        <v>907.34724307047497</v>
      </c>
      <c r="AG470" s="2">
        <v>138.09525646947273</v>
      </c>
      <c r="AH470" s="2">
        <v>230.30148557054267</v>
      </c>
      <c r="AI470" s="2">
        <v>484388.46680771268</v>
      </c>
      <c r="AJ470" s="2">
        <v>442703.51458138641</v>
      </c>
      <c r="AL470" s="27">
        <v>0.9155527695735064</v>
      </c>
      <c r="AM470" s="27">
        <v>0.91814756933684949</v>
      </c>
      <c r="AN470" s="27">
        <v>0.90684700910058968</v>
      </c>
      <c r="AO470" s="27">
        <v>0.912823630159876</v>
      </c>
      <c r="AP470" s="27">
        <v>0.7335394924988401</v>
      </c>
      <c r="AQ470" s="27">
        <v>0.9155527695735064</v>
      </c>
      <c r="AR470" s="27">
        <v>0.91814756933684949</v>
      </c>
      <c r="AS470" s="27">
        <v>0.90684700910058968</v>
      </c>
      <c r="AT470" s="27">
        <v>0.912823630159876</v>
      </c>
      <c r="AU470" s="27">
        <v>0.7335394924988401</v>
      </c>
      <c r="AW470" s="1">
        <v>13.728880550753878</v>
      </c>
      <c r="AX470" s="1">
        <v>15.643166300563143</v>
      </c>
      <c r="AY470" s="2">
        <v>1810333.7615761207</v>
      </c>
      <c r="AZ470" s="1">
        <v>15.546079383075639</v>
      </c>
      <c r="BA470" s="1">
        <v>17.440330319681518</v>
      </c>
      <c r="BB470" s="2">
        <v>1432340.9416687062</v>
      </c>
      <c r="BC470" s="2">
        <f t="shared" si="56"/>
        <v>-377992.81990741449</v>
      </c>
      <c r="BD470" s="292">
        <f t="shared" si="57"/>
        <v>1.8171988323217612</v>
      </c>
      <c r="BF470" s="170">
        <f t="shared" si="52"/>
        <v>386287.12654449977</v>
      </c>
      <c r="BG470" s="2">
        <f t="shared" si="53"/>
        <v>1055031.759623396</v>
      </c>
      <c r="BI470">
        <f t="shared" si="54"/>
        <v>0</v>
      </c>
      <c r="BJ470" s="95">
        <f t="shared" si="55"/>
        <v>1</v>
      </c>
      <c r="BP470" s="217">
        <f t="shared" si="58"/>
        <v>1055031.759623396</v>
      </c>
    </row>
    <row r="471" spans="1:68">
      <c r="A471" s="11">
        <v>465</v>
      </c>
      <c r="C471" s="27">
        <v>0.92197226176516001</v>
      </c>
      <c r="D471" s="27">
        <v>7.8027738234839994E-2</v>
      </c>
      <c r="E471" s="27">
        <v>0</v>
      </c>
      <c r="F471" s="27">
        <v>0.86418890916067692</v>
      </c>
      <c r="G471" s="27">
        <v>0.13581109083932313</v>
      </c>
      <c r="H471" s="27">
        <v>0</v>
      </c>
      <c r="I471" s="27">
        <v>0.749239233928225</v>
      </c>
      <c r="J471" s="27">
        <v>0.250760766071775</v>
      </c>
      <c r="K471" s="27">
        <v>0</v>
      </c>
      <c r="L471" s="27">
        <v>0.12631607937213518</v>
      </c>
      <c r="M471" s="27">
        <v>0.48624518266430117</v>
      </c>
      <c r="N471" s="27">
        <v>0.38743873796356365</v>
      </c>
      <c r="O471" s="27">
        <v>-10.679487981758832</v>
      </c>
      <c r="P471" s="27">
        <v>3.2250568814567442E-2</v>
      </c>
      <c r="Q471" s="27">
        <v>8.9170161065284796E-5</v>
      </c>
      <c r="R471" s="27">
        <v>1.0265011991393767</v>
      </c>
      <c r="S471" s="154"/>
      <c r="T471">
        <v>1.0414501066150639</v>
      </c>
      <c r="U471">
        <v>2.2425255999705103</v>
      </c>
      <c r="V471">
        <v>2.8274801101246596</v>
      </c>
      <c r="W471">
        <v>1</v>
      </c>
      <c r="Y471" s="2">
        <v>58.535363917236189</v>
      </c>
      <c r="Z471" s="2">
        <v>1652.510302786181</v>
      </c>
      <c r="AA471" s="2">
        <v>3711.8606341952759</v>
      </c>
      <c r="AB471" s="2">
        <v>4828.2374978827957</v>
      </c>
      <c r="AC471" s="2">
        <v>2668.3263773830158</v>
      </c>
      <c r="AD471" s="2">
        <v>174.76261080787242</v>
      </c>
      <c r="AE471" s="2">
        <v>467.80542204841936</v>
      </c>
      <c r="AF471" s="2">
        <v>1119.095086144142</v>
      </c>
      <c r="AG471" s="2">
        <v>123.31065588127909</v>
      </c>
      <c r="AH471" s="2">
        <v>331.2966891413314</v>
      </c>
      <c r="AI471" s="2">
        <v>401895.30059555935</v>
      </c>
      <c r="AJ471" s="2">
        <v>381102.28636410303</v>
      </c>
      <c r="AL471" s="27">
        <v>0.92262661186481876</v>
      </c>
      <c r="AM471" s="27">
        <v>0.91546054187408998</v>
      </c>
      <c r="AN471" s="27">
        <v>0.90749579473453879</v>
      </c>
      <c r="AO471" s="27">
        <v>0.86325389009122122</v>
      </c>
      <c r="AP471" s="27">
        <v>0.70455842003659186</v>
      </c>
      <c r="AQ471" s="27">
        <v>0.92262661186481876</v>
      </c>
      <c r="AR471" s="27">
        <v>0.91546054187408998</v>
      </c>
      <c r="AS471" s="27">
        <v>0.90749579473453879</v>
      </c>
      <c r="AT471" s="27">
        <v>0.86325389009122122</v>
      </c>
      <c r="AU471" s="27">
        <v>0.70455842003659186</v>
      </c>
      <c r="AW471" s="1">
        <v>13.52381756243577</v>
      </c>
      <c r="AX471" s="1">
        <v>15.497720974560364</v>
      </c>
      <c r="AY471" s="2">
        <v>1589601.4524093822</v>
      </c>
      <c r="AZ471" s="1">
        <v>15.474962674730962</v>
      </c>
      <c r="BA471" s="1">
        <v>17.395904489521605</v>
      </c>
      <c r="BB471" s="2">
        <v>1213580.0207933243</v>
      </c>
      <c r="BC471" s="2">
        <f t="shared" si="56"/>
        <v>-376021.43161605787</v>
      </c>
      <c r="BD471" s="292">
        <f t="shared" si="57"/>
        <v>1.9511451122951922</v>
      </c>
      <c r="BF471" s="170">
        <f t="shared" si="52"/>
        <v>574209.35758034117</v>
      </c>
      <c r="BG471" s="2">
        <f t="shared" si="53"/>
        <v>1262414.0071636299</v>
      </c>
      <c r="BI471">
        <f t="shared" si="54"/>
        <v>0</v>
      </c>
      <c r="BJ471" s="95">
        <f t="shared" si="55"/>
        <v>1</v>
      </c>
      <c r="BP471" s="217">
        <f t="shared" si="58"/>
        <v>1262414.0071636299</v>
      </c>
    </row>
    <row r="472" spans="1:68">
      <c r="A472" s="11">
        <v>466</v>
      </c>
      <c r="C472" s="27">
        <v>0.91793572907815113</v>
      </c>
      <c r="D472" s="27">
        <v>8.206427092184887E-2</v>
      </c>
      <c r="E472" s="27">
        <v>0</v>
      </c>
      <c r="F472" s="27">
        <v>0.85632041538324188</v>
      </c>
      <c r="G472" s="27">
        <v>0.14367958461675812</v>
      </c>
      <c r="H472" s="27">
        <v>0</v>
      </c>
      <c r="I472" s="27">
        <v>0.75060013305057027</v>
      </c>
      <c r="J472" s="27">
        <v>0.2493998669494297</v>
      </c>
      <c r="K472" s="27">
        <v>0</v>
      </c>
      <c r="L472" s="27">
        <v>0.14775711385904455</v>
      </c>
      <c r="M472" s="27">
        <v>0.44862858949707302</v>
      </c>
      <c r="N472" s="27">
        <v>0.40361429664388249</v>
      </c>
      <c r="O472" s="27">
        <v>-11.107523973277299</v>
      </c>
      <c r="P472" s="27">
        <v>3.1068191374130191E-2</v>
      </c>
      <c r="Q472" s="27">
        <v>5.5304297744125116E-5</v>
      </c>
      <c r="R472" s="27">
        <v>1.094058120410381</v>
      </c>
      <c r="S472" s="154"/>
      <c r="T472">
        <v>1.0349326579511144</v>
      </c>
      <c r="U472">
        <v>2.3229404284048334</v>
      </c>
      <c r="V472">
        <v>2.9179805017840028</v>
      </c>
      <c r="W472">
        <v>1</v>
      </c>
      <c r="Y472" s="2">
        <v>84.535959101712606</v>
      </c>
      <c r="Z472" s="2">
        <v>9448.0733977186519</v>
      </c>
      <c r="AA472" s="2">
        <v>956.48688250929717</v>
      </c>
      <c r="AB472" s="2">
        <v>13878.081462205013</v>
      </c>
      <c r="AC472" s="2">
        <v>142.31130073937956</v>
      </c>
      <c r="AD472" s="2">
        <v>521.80717932437256</v>
      </c>
      <c r="AE472" s="2">
        <v>662.26657817760395</v>
      </c>
      <c r="AF472" s="2">
        <v>902.40775885372591</v>
      </c>
      <c r="AG472" s="2">
        <v>143.76421098298852</v>
      </c>
      <c r="AH472" s="2">
        <v>223.88409875180108</v>
      </c>
      <c r="AI472" s="2">
        <v>451763.40559089498</v>
      </c>
      <c r="AJ472" s="2">
        <v>420433.46909085847</v>
      </c>
      <c r="AL472" s="27">
        <v>0.91898193904260195</v>
      </c>
      <c r="AM472" s="27">
        <v>0.9177261938597977</v>
      </c>
      <c r="AN472" s="27">
        <v>0.91360169533533153</v>
      </c>
      <c r="AO472" s="27">
        <v>0.86649350731084007</v>
      </c>
      <c r="AP472" s="27">
        <v>0.71253644309944475</v>
      </c>
      <c r="AQ472" s="27">
        <v>0.91898193904260195</v>
      </c>
      <c r="AR472" s="27">
        <v>0.9177261938597977</v>
      </c>
      <c r="AS472" s="27">
        <v>0.91360169533533153</v>
      </c>
      <c r="AT472" s="27">
        <v>0.86649350731084007</v>
      </c>
      <c r="AU472" s="27">
        <v>0.71253644309944475</v>
      </c>
      <c r="AW472" s="1">
        <v>13.025925690542245</v>
      </c>
      <c r="AX472" s="1">
        <v>14.891326952947113</v>
      </c>
      <c r="AY472" s="2">
        <v>1670914.6827312189</v>
      </c>
      <c r="AZ472" s="1">
        <v>15.1178510337029</v>
      </c>
      <c r="BA472" s="1">
        <v>16.964670678686474</v>
      </c>
      <c r="BB472" s="2">
        <v>1330620.7585771827</v>
      </c>
      <c r="BC472" s="2">
        <f t="shared" si="56"/>
        <v>-340293.92415403621</v>
      </c>
      <c r="BD472" s="292">
        <f t="shared" si="57"/>
        <v>2.0919253431606553</v>
      </c>
      <c r="BF472" s="170">
        <f t="shared" si="52"/>
        <v>413233.42775554024</v>
      </c>
      <c r="BG472" s="2">
        <f t="shared" si="53"/>
        <v>1088235.4068152814</v>
      </c>
      <c r="BI472">
        <f t="shared" si="54"/>
        <v>0</v>
      </c>
      <c r="BJ472" s="95">
        <f t="shared" si="55"/>
        <v>1</v>
      </c>
      <c r="BP472" s="217">
        <f t="shared" si="58"/>
        <v>1088235.4068152814</v>
      </c>
    </row>
    <row r="473" spans="1:68">
      <c r="A473" s="11">
        <v>467</v>
      </c>
      <c r="C473" s="27">
        <v>0.92315475555163429</v>
      </c>
      <c r="D473" s="27">
        <v>7.6845244448365713E-2</v>
      </c>
      <c r="E473" s="27">
        <v>0</v>
      </c>
      <c r="F473" s="27">
        <v>0.85541117543284073</v>
      </c>
      <c r="G473" s="27">
        <v>0.14458882456715927</v>
      </c>
      <c r="H473" s="27">
        <v>0</v>
      </c>
      <c r="I473" s="27">
        <v>0.75669246165314297</v>
      </c>
      <c r="J473" s="27">
        <v>0.24330753834685709</v>
      </c>
      <c r="K473" s="27">
        <v>0</v>
      </c>
      <c r="L473" s="27">
        <v>0.1320942178814104</v>
      </c>
      <c r="M473" s="27">
        <v>0.5323581107523977</v>
      </c>
      <c r="N473" s="27">
        <v>0.3355476713661919</v>
      </c>
      <c r="O473" s="27">
        <v>-11.338030359647988</v>
      </c>
      <c r="P473" s="27">
        <v>3.4381015796104628E-2</v>
      </c>
      <c r="Q473" s="27">
        <v>5.0475237109583975E-5</v>
      </c>
      <c r="R473" s="27">
        <v>1.1006891929711482</v>
      </c>
      <c r="S473" s="154"/>
      <c r="T473">
        <v>0.96896509240508377</v>
      </c>
      <c r="U473">
        <v>2.2819316921461787</v>
      </c>
      <c r="V473">
        <v>2.8533308272688505</v>
      </c>
      <c r="W473">
        <v>1</v>
      </c>
      <c r="Y473" s="2">
        <v>304.41995150844753</v>
      </c>
      <c r="Z473" s="2">
        <v>991.63144295762322</v>
      </c>
      <c r="AA473" s="2">
        <v>245.1746793842741</v>
      </c>
      <c r="AB473" s="2">
        <v>6150.2664212069567</v>
      </c>
      <c r="AC473" s="2">
        <v>4220.2613444707986</v>
      </c>
      <c r="AD473" s="2">
        <v>1471.8162524613929</v>
      </c>
      <c r="AE473" s="2">
        <v>557.86635710757457</v>
      </c>
      <c r="AF473" s="2">
        <v>899.49175621463201</v>
      </c>
      <c r="AG473" s="2">
        <v>143.70214087996283</v>
      </c>
      <c r="AH473" s="2">
        <v>313.0787570159668</v>
      </c>
      <c r="AI473" s="2">
        <v>547028.47849530971</v>
      </c>
      <c r="AJ473" s="2">
        <v>508583.03408132092</v>
      </c>
      <c r="AL473" s="27">
        <v>0.91332172584026405</v>
      </c>
      <c r="AM473" s="27">
        <v>0.91639439935744527</v>
      </c>
      <c r="AN473" s="27">
        <v>0.91149355442560032</v>
      </c>
      <c r="AO473" s="27">
        <v>0.86957550303242337</v>
      </c>
      <c r="AP473" s="27">
        <v>0.6140681294671908</v>
      </c>
      <c r="AQ473" s="27">
        <v>0.91332172584026405</v>
      </c>
      <c r="AR473" s="27">
        <v>0.91639439935744527</v>
      </c>
      <c r="AS473" s="27">
        <v>0.91149355442560032</v>
      </c>
      <c r="AT473" s="27">
        <v>0.86957550303242337</v>
      </c>
      <c r="AU473" s="27">
        <v>0.6140681294671908</v>
      </c>
      <c r="AW473" s="1">
        <v>13.433301582444477</v>
      </c>
      <c r="AX473" s="1">
        <v>15.812073317141468</v>
      </c>
      <c r="AY473" s="2">
        <v>2130741.2442297507</v>
      </c>
      <c r="AZ473" s="1">
        <v>15.232759730261641</v>
      </c>
      <c r="BA473" s="1">
        <v>17.468528973067784</v>
      </c>
      <c r="BB473" s="2">
        <v>1608395.4685735104</v>
      </c>
      <c r="BC473" s="2">
        <f t="shared" si="56"/>
        <v>-522345.77565624029</v>
      </c>
      <c r="BD473" s="292">
        <f t="shared" si="57"/>
        <v>1.7994581478171643</v>
      </c>
      <c r="BF473" s="170">
        <f t="shared" si="52"/>
        <v>18587.008961365558</v>
      </c>
      <c r="BG473" s="2">
        <f t="shared" si="53"/>
        <v>828846.08826835197</v>
      </c>
      <c r="BI473">
        <f t="shared" si="54"/>
        <v>0</v>
      </c>
      <c r="BJ473" s="95">
        <f t="shared" si="55"/>
        <v>1</v>
      </c>
      <c r="BP473" s="217">
        <f t="shared" si="58"/>
        <v>828846.08826835197</v>
      </c>
    </row>
    <row r="474" spans="1:68">
      <c r="A474" s="11">
        <v>468</v>
      </c>
      <c r="C474" s="27">
        <v>0.92459650218748268</v>
      </c>
      <c r="D474" s="27">
        <v>7.5403497812517331E-2</v>
      </c>
      <c r="E474" s="27">
        <v>0</v>
      </c>
      <c r="F474" s="27">
        <v>0.84967046195975371</v>
      </c>
      <c r="G474" s="27">
        <v>0.15032953804024629</v>
      </c>
      <c r="H474" s="27">
        <v>0</v>
      </c>
      <c r="I474" s="27">
        <v>0.74322539714012481</v>
      </c>
      <c r="J474" s="27">
        <v>0.25677460285987519</v>
      </c>
      <c r="K474" s="27">
        <v>0</v>
      </c>
      <c r="L474" s="27">
        <v>0.14763244077547144</v>
      </c>
      <c r="M474" s="27">
        <v>0.45341002497234262</v>
      </c>
      <c r="N474" s="27">
        <v>0.39895753425218594</v>
      </c>
      <c r="O474" s="27">
        <v>-11.503130811592548</v>
      </c>
      <c r="P474" s="27">
        <v>3.5712938296217779E-2</v>
      </c>
      <c r="Q474" s="27">
        <v>4.5255452259629201E-5</v>
      </c>
      <c r="R474" s="27">
        <v>1.1138544803711956</v>
      </c>
      <c r="S474" s="154"/>
      <c r="T474">
        <v>1.0472780193598901</v>
      </c>
      <c r="U474">
        <v>2.2019516192022937</v>
      </c>
      <c r="V474">
        <v>3.2376882733431005</v>
      </c>
      <c r="W474">
        <v>1</v>
      </c>
      <c r="Y474" s="2">
        <v>1057.0799323514511</v>
      </c>
      <c r="Z474" s="2">
        <v>2539.1433193970711</v>
      </c>
      <c r="AA474" s="2">
        <v>11.854651871822842</v>
      </c>
      <c r="AB474" s="2">
        <v>1559.4245513394508</v>
      </c>
      <c r="AC474" s="2">
        <v>2763.2463377368499</v>
      </c>
      <c r="AD474" s="2">
        <v>855.86206828359775</v>
      </c>
      <c r="AE474" s="2">
        <v>516.79340880815187</v>
      </c>
      <c r="AF474" s="2">
        <v>847.54603159301246</v>
      </c>
      <c r="AG474" s="2">
        <v>110.31608766375383</v>
      </c>
      <c r="AH474" s="2">
        <v>268.90584098914292</v>
      </c>
      <c r="AI474" s="2">
        <v>465104.38651350327</v>
      </c>
      <c r="AJ474" s="2">
        <v>443449.65333706472</v>
      </c>
      <c r="AL474" s="27">
        <v>0.92287884793548969</v>
      </c>
      <c r="AM474" s="27">
        <v>0.92395570897954826</v>
      </c>
      <c r="AN474" s="27">
        <v>0.91059513507117062</v>
      </c>
      <c r="AO474" s="27">
        <v>0.81725331631489628</v>
      </c>
      <c r="AP474" s="27">
        <v>0.57545994708037151</v>
      </c>
      <c r="AQ474" s="27">
        <v>0.92287884793548969</v>
      </c>
      <c r="AR474" s="27">
        <v>0.92395570897954826</v>
      </c>
      <c r="AS474" s="27">
        <v>0.91059513507117062</v>
      </c>
      <c r="AT474" s="27">
        <v>0.81725331631489628</v>
      </c>
      <c r="AU474" s="27">
        <v>0.57545994708037151</v>
      </c>
      <c r="AW474" s="1">
        <v>12.828106293038914</v>
      </c>
      <c r="AX474" s="1">
        <v>15.09489394688258</v>
      </c>
      <c r="AY474" s="2">
        <v>1691655.8175497069</v>
      </c>
      <c r="AZ474" s="1">
        <v>14.96980324716416</v>
      </c>
      <c r="BA474" s="1">
        <v>17.076579660595506</v>
      </c>
      <c r="BB474" s="2">
        <v>1167061.632677126</v>
      </c>
      <c r="BC474" s="2">
        <f t="shared" si="56"/>
        <v>-524594.18487258093</v>
      </c>
      <c r="BD474" s="292">
        <f t="shared" si="57"/>
        <v>2.141696954125246</v>
      </c>
      <c r="BF474" s="170">
        <f t="shared" si="52"/>
        <v>360841.18933651946</v>
      </c>
      <c r="BG474" s="2">
        <f t="shared" si="53"/>
        <v>1228106.8868691397</v>
      </c>
      <c r="BI474">
        <f t="shared" si="54"/>
        <v>0</v>
      </c>
      <c r="BJ474" s="95">
        <f t="shared" si="55"/>
        <v>1</v>
      </c>
      <c r="BP474" s="217">
        <f t="shared" si="58"/>
        <v>1228106.8868691397</v>
      </c>
    </row>
    <row r="475" spans="1:68">
      <c r="A475" s="11">
        <v>469</v>
      </c>
      <c r="C475" s="27">
        <v>0.92552902612169896</v>
      </c>
      <c r="D475" s="27">
        <v>7.4470973878301053E-2</v>
      </c>
      <c r="E475" s="27">
        <v>0</v>
      </c>
      <c r="F475" s="27">
        <v>0.85763256440615554</v>
      </c>
      <c r="G475" s="27">
        <v>0.14236743559384449</v>
      </c>
      <c r="H475" s="27">
        <v>0</v>
      </c>
      <c r="I475" s="27">
        <v>0.74436191264841123</v>
      </c>
      <c r="J475" s="27">
        <v>0.25563808735158877</v>
      </c>
      <c r="K475" s="27">
        <v>0</v>
      </c>
      <c r="L475" s="27">
        <v>0.10567739132504406</v>
      </c>
      <c r="M475" s="27">
        <v>0.47707698299225371</v>
      </c>
      <c r="N475" s="27">
        <v>0.41724562568270229</v>
      </c>
      <c r="O475" s="27">
        <v>-11.417055761796188</v>
      </c>
      <c r="P475" s="27">
        <v>3.5981602992933959E-2</v>
      </c>
      <c r="Q475" s="27">
        <v>4.9883092708721285E-5</v>
      </c>
      <c r="R475" s="27">
        <v>1.1022948736893354</v>
      </c>
      <c r="S475" s="154"/>
      <c r="T475">
        <v>0.97423413417924376</v>
      </c>
      <c r="U475">
        <v>2.2516485918282991</v>
      </c>
      <c r="V475">
        <v>2.9817536870353183</v>
      </c>
      <c r="W475">
        <v>1</v>
      </c>
      <c r="Y475" s="2">
        <v>383.05001200506337</v>
      </c>
      <c r="Z475" s="2">
        <v>255.26614676014989</v>
      </c>
      <c r="AA475" s="2">
        <v>219.27393864850433</v>
      </c>
      <c r="AB475" s="2">
        <v>8098.1876405686853</v>
      </c>
      <c r="AC475" s="2">
        <v>1679.806892360047</v>
      </c>
      <c r="AD475" s="2">
        <v>302.31866604412954</v>
      </c>
      <c r="AE475" s="2">
        <v>612.61220734819824</v>
      </c>
      <c r="AF475" s="2">
        <v>1089.2424965675962</v>
      </c>
      <c r="AG475" s="2">
        <v>148.05876984896446</v>
      </c>
      <c r="AH475" s="2">
        <v>959.18762564335725</v>
      </c>
      <c r="AI475" s="2">
        <v>341387.93831664626</v>
      </c>
      <c r="AJ475" s="2">
        <v>309526.62373066787</v>
      </c>
      <c r="AL475" s="27">
        <v>0.92498635617377789</v>
      </c>
      <c r="AM475" s="27">
        <v>0.90922527241911766</v>
      </c>
      <c r="AN475" s="27">
        <v>0.91294201436310796</v>
      </c>
      <c r="AO475" s="27">
        <v>0.86434119494577821</v>
      </c>
      <c r="AP475" s="27">
        <v>0.7701449918041281</v>
      </c>
      <c r="AQ475" s="27">
        <v>0.92498635617377789</v>
      </c>
      <c r="AR475" s="27">
        <v>0.90922527241911766</v>
      </c>
      <c r="AS475" s="27">
        <v>0.91294201436310796</v>
      </c>
      <c r="AT475" s="27">
        <v>0.86434119494577821</v>
      </c>
      <c r="AU475" s="27">
        <v>0.7701449918041281</v>
      </c>
      <c r="AW475" s="1">
        <v>13.755548865796866</v>
      </c>
      <c r="AX475" s="1">
        <v>15.427350089890423</v>
      </c>
      <c r="AY475" s="2">
        <v>1115003.0396219064</v>
      </c>
      <c r="AZ475" s="1">
        <v>15.475106066199663</v>
      </c>
      <c r="BA475" s="1">
        <v>17.188650633152754</v>
      </c>
      <c r="BB475" s="2">
        <v>942192.58686785505</v>
      </c>
      <c r="BC475" s="2">
        <f t="shared" si="56"/>
        <v>-172810.45275405131</v>
      </c>
      <c r="BD475" s="292">
        <f t="shared" si="57"/>
        <v>1.7195572004027966</v>
      </c>
      <c r="BF475" s="170">
        <f t="shared" si="52"/>
        <v>1085884.7789055924</v>
      </c>
      <c r="BG475" s="2">
        <f t="shared" si="53"/>
        <v>1533824.3837240911</v>
      </c>
      <c r="BI475">
        <f t="shared" si="54"/>
        <v>0</v>
      </c>
      <c r="BJ475" s="95">
        <f t="shared" si="55"/>
        <v>1</v>
      </c>
      <c r="BP475" s="217">
        <f t="shared" si="58"/>
        <v>1533824.3837240911</v>
      </c>
    </row>
    <row r="476" spans="1:68">
      <c r="A476" s="11">
        <v>470</v>
      </c>
      <c r="C476" s="27">
        <v>0.91837262607283632</v>
      </c>
      <c r="D476" s="27">
        <v>8.1627373927163682E-2</v>
      </c>
      <c r="E476" s="27">
        <v>0</v>
      </c>
      <c r="F476" s="27">
        <v>0.86575993058679346</v>
      </c>
      <c r="G476" s="27">
        <v>0.13424006941320651</v>
      </c>
      <c r="H476" s="27">
        <v>0</v>
      </c>
      <c r="I476" s="27">
        <v>0.74116297255447039</v>
      </c>
      <c r="J476" s="27">
        <v>0.25883702744552961</v>
      </c>
      <c r="K476" s="27">
        <v>0</v>
      </c>
      <c r="L476" s="27">
        <v>0.29008946416643905</v>
      </c>
      <c r="M476" s="27">
        <v>0.44245381881897705</v>
      </c>
      <c r="N476" s="27">
        <v>0.2674567170145839</v>
      </c>
      <c r="O476" s="27">
        <v>-11.389012912406892</v>
      </c>
      <c r="P476" s="27">
        <v>3.2305825007528981E-2</v>
      </c>
      <c r="Q476" s="27">
        <v>4.3962732917173177E-5</v>
      </c>
      <c r="R476" s="27">
        <v>1.1217356537726408</v>
      </c>
      <c r="S476" s="154"/>
      <c r="T476">
        <v>0.88464696691636702</v>
      </c>
      <c r="U476">
        <v>2.2319577266444215</v>
      </c>
      <c r="V476">
        <v>3.1703979743700392</v>
      </c>
      <c r="W476">
        <v>1</v>
      </c>
      <c r="Y476" s="2">
        <v>499.09970276490282</v>
      </c>
      <c r="Z476" s="2">
        <v>366.36993820494479</v>
      </c>
      <c r="AA476" s="2">
        <v>1217.7883115555003</v>
      </c>
      <c r="AB476" s="2">
        <v>8879.2924896741824</v>
      </c>
      <c r="AC476" s="2">
        <v>1488.072928403345</v>
      </c>
      <c r="AD476" s="2">
        <v>44.428589423542562</v>
      </c>
      <c r="AE476" s="2">
        <v>641.85350908993519</v>
      </c>
      <c r="AF476" s="2">
        <v>934.41055058008988</v>
      </c>
      <c r="AG476" s="2">
        <v>110.28382358182506</v>
      </c>
      <c r="AH476" s="2">
        <v>461.84536309923163</v>
      </c>
      <c r="AI476" s="2">
        <v>480163.94943601999</v>
      </c>
      <c r="AJ476" s="2">
        <v>455371.49819758383</v>
      </c>
      <c r="AL476" s="27">
        <v>0.91602371326700516</v>
      </c>
      <c r="AM476" s="27">
        <v>0.91550340463579982</v>
      </c>
      <c r="AN476" s="27">
        <v>0.90665493294963695</v>
      </c>
      <c r="AO476" s="27">
        <v>0.88016998420875303</v>
      </c>
      <c r="AP476" s="27">
        <v>0.77486202821379613</v>
      </c>
      <c r="AQ476" s="27">
        <v>0.91602371326700516</v>
      </c>
      <c r="AR476" s="27">
        <v>0.91550340463579982</v>
      </c>
      <c r="AS476" s="27">
        <v>0.90665493294963695</v>
      </c>
      <c r="AT476" s="27">
        <v>0.88016998420875303</v>
      </c>
      <c r="AU476" s="27">
        <v>0.77486202821379613</v>
      </c>
      <c r="AW476" s="1">
        <v>14.152582804164803</v>
      </c>
      <c r="AX476" s="1">
        <v>15.973933012436136</v>
      </c>
      <c r="AY476" s="2">
        <v>1791899.6983138868</v>
      </c>
      <c r="AZ476" s="1">
        <v>15.608833899210605</v>
      </c>
      <c r="BA476" s="1">
        <v>17.446333953325986</v>
      </c>
      <c r="BB476" s="2">
        <v>1483430.9753319698</v>
      </c>
      <c r="BC476" s="2">
        <f t="shared" si="56"/>
        <v>-308468.72298191697</v>
      </c>
      <c r="BD476" s="292">
        <f t="shared" si="57"/>
        <v>1.4562510950458023</v>
      </c>
      <c r="BF476" s="170">
        <f t="shared" si="52"/>
        <v>472513.55035248166</v>
      </c>
      <c r="BG476" s="2">
        <f t="shared" si="53"/>
        <v>1013982.4485417271</v>
      </c>
      <c r="BI476">
        <f t="shared" si="54"/>
        <v>0</v>
      </c>
      <c r="BJ476" s="95">
        <f t="shared" si="55"/>
        <v>1</v>
      </c>
      <c r="BP476" s="217">
        <f t="shared" si="58"/>
        <v>1013982.4485417271</v>
      </c>
    </row>
    <row r="477" spans="1:68">
      <c r="A477" s="11">
        <v>471</v>
      </c>
      <c r="C477" s="27">
        <v>0.92087096995916506</v>
      </c>
      <c r="D477" s="27">
        <v>7.9129030040834936E-2</v>
      </c>
      <c r="E477" s="27">
        <v>0</v>
      </c>
      <c r="F477" s="27">
        <v>0.85554900926927424</v>
      </c>
      <c r="G477" s="27">
        <v>0.14445099073072576</v>
      </c>
      <c r="H477" s="27">
        <v>0</v>
      </c>
      <c r="I477" s="27">
        <v>0.75261177657054179</v>
      </c>
      <c r="J477" s="27">
        <v>0.24738822342945821</v>
      </c>
      <c r="K477" s="27">
        <v>0</v>
      </c>
      <c r="L477" s="27">
        <v>0.17136458975402002</v>
      </c>
      <c r="M477" s="27">
        <v>0.50531192113488999</v>
      </c>
      <c r="N477" s="27">
        <v>0.32332348911108999</v>
      </c>
      <c r="O477" s="27">
        <v>-11.2437418121681</v>
      </c>
      <c r="P477" s="27">
        <v>3.5312865910179889E-2</v>
      </c>
      <c r="Q477" s="27">
        <v>5.7679920462047892E-5</v>
      </c>
      <c r="R477" s="27">
        <v>1.0801507269676223</v>
      </c>
      <c r="S477" s="154"/>
      <c r="T477">
        <v>0.98901407823633092</v>
      </c>
      <c r="U477">
        <v>2.3320510145022157</v>
      </c>
      <c r="V477">
        <v>2.7889698969379779</v>
      </c>
      <c r="W477">
        <v>1</v>
      </c>
      <c r="Y477" s="2">
        <v>357.22192906225428</v>
      </c>
      <c r="Z477" s="2">
        <v>3664.8803023669502</v>
      </c>
      <c r="AA477" s="2">
        <v>1645.285353309896</v>
      </c>
      <c r="AB477" s="2">
        <v>1783.8272047073951</v>
      </c>
      <c r="AC477" s="2">
        <v>171.78526107877494</v>
      </c>
      <c r="AD477" s="2">
        <v>818.44241962272554</v>
      </c>
      <c r="AE477" s="2">
        <v>575.12996718112629</v>
      </c>
      <c r="AF477" s="2">
        <v>1081.9259780679399</v>
      </c>
      <c r="AG477" s="2">
        <v>95.186011044202189</v>
      </c>
      <c r="AH477" s="2">
        <v>466.3635502518465</v>
      </c>
      <c r="AI477" s="2">
        <v>482439.70321374614</v>
      </c>
      <c r="AJ477" s="2">
        <v>449113.15994681313</v>
      </c>
      <c r="AL477" s="27">
        <v>0.91871569846293044</v>
      </c>
      <c r="AM477" s="27">
        <v>0.91097160852353209</v>
      </c>
      <c r="AN477" s="27">
        <v>0.910295631697704</v>
      </c>
      <c r="AO477" s="27">
        <v>0.87501982430499636</v>
      </c>
      <c r="AP477" s="27">
        <v>0.71829020848870062</v>
      </c>
      <c r="AQ477" s="27">
        <v>0.91871569846293044</v>
      </c>
      <c r="AR477" s="27">
        <v>0.91097160852353209</v>
      </c>
      <c r="AS477" s="27">
        <v>0.910295631697704</v>
      </c>
      <c r="AT477" s="27">
        <v>0.87501982430499636</v>
      </c>
      <c r="AU477" s="27">
        <v>0.71829020848870062</v>
      </c>
      <c r="AW477" s="1">
        <v>13.721030299114172</v>
      </c>
      <c r="AX477" s="1">
        <v>15.739516473735909</v>
      </c>
      <c r="AY477" s="2">
        <v>1955277.0264037815</v>
      </c>
      <c r="AZ477" s="1">
        <v>15.478229455264607</v>
      </c>
      <c r="BA477" s="1">
        <v>17.454836995052588</v>
      </c>
      <c r="BB477" s="2">
        <v>1429625.962087207</v>
      </c>
      <c r="BC477" s="2">
        <f t="shared" si="56"/>
        <v>-525651.06431657448</v>
      </c>
      <c r="BD477" s="292">
        <f t="shared" si="57"/>
        <v>1.7571991561504348</v>
      </c>
      <c r="BF477" s="170">
        <f t="shared" si="52"/>
        <v>240087.82145448588</v>
      </c>
      <c r="BG477" s="2">
        <f t="shared" si="53"/>
        <v>1046890.7507551303</v>
      </c>
      <c r="BI477">
        <f t="shared" si="54"/>
        <v>0</v>
      </c>
      <c r="BJ477" s="95">
        <f t="shared" si="55"/>
        <v>1</v>
      </c>
      <c r="BP477" s="217">
        <f t="shared" si="58"/>
        <v>1046890.7507551303</v>
      </c>
    </row>
    <row r="478" spans="1:68">
      <c r="A478" s="11">
        <v>472</v>
      </c>
      <c r="C478" s="27">
        <v>0.92404340920999128</v>
      </c>
      <c r="D478" s="27">
        <v>7.5956590790008729E-2</v>
      </c>
      <c r="E478" s="27">
        <v>0</v>
      </c>
      <c r="F478" s="27">
        <v>0.86217230558831726</v>
      </c>
      <c r="G478" s="27">
        <v>0.13782769441168269</v>
      </c>
      <c r="H478" s="27">
        <v>0</v>
      </c>
      <c r="I478" s="27">
        <v>0.7561347208235365</v>
      </c>
      <c r="J478" s="27">
        <v>0.24386527917646356</v>
      </c>
      <c r="K478" s="27">
        <v>0</v>
      </c>
      <c r="L478" s="27">
        <v>-2.905015436878966E-2</v>
      </c>
      <c r="M478" s="27">
        <v>0.61510990674041865</v>
      </c>
      <c r="N478" s="27">
        <v>0.41394024762837101</v>
      </c>
      <c r="O478" s="27">
        <v>-11.075698786611694</v>
      </c>
      <c r="P478" s="27">
        <v>3.3445581665944239E-2</v>
      </c>
      <c r="Q478" s="27">
        <v>6.3087723939311371E-5</v>
      </c>
      <c r="R478" s="27">
        <v>1.0664640876546119</v>
      </c>
      <c r="S478" s="154"/>
      <c r="T478">
        <v>0.9944170871211383</v>
      </c>
      <c r="U478">
        <v>2.2965212636110683</v>
      </c>
      <c r="V478">
        <v>2.9300915896473567</v>
      </c>
      <c r="W478">
        <v>1</v>
      </c>
      <c r="Y478" s="2">
        <v>323.38793140995693</v>
      </c>
      <c r="Z478" s="2">
        <v>3249.421155688709</v>
      </c>
      <c r="AA478" s="2">
        <v>1746.5391762794029</v>
      </c>
      <c r="AB478" s="2">
        <v>6272.5328260554224</v>
      </c>
      <c r="AC478" s="2">
        <v>322.05744945981399</v>
      </c>
      <c r="AD478" s="2">
        <v>1033.3539381834401</v>
      </c>
      <c r="AE478" s="2">
        <v>642.73532729471788</v>
      </c>
      <c r="AF478" s="2">
        <v>668.54617412996333</v>
      </c>
      <c r="AG478" s="2">
        <v>189.73279422995927</v>
      </c>
      <c r="AH478" s="2">
        <v>395.02735429609504</v>
      </c>
      <c r="AI478" s="2">
        <v>651313.48766942555</v>
      </c>
      <c r="AJ478" s="2">
        <v>627983.3541370962</v>
      </c>
      <c r="AL478" s="27">
        <v>0.92201733917401762</v>
      </c>
      <c r="AM478" s="27">
        <v>0.9137513050625643</v>
      </c>
      <c r="AN478" s="27">
        <v>0.90678597561288232</v>
      </c>
      <c r="AO478" s="27">
        <v>0.85056886966536605</v>
      </c>
      <c r="AP478" s="27">
        <v>0.75456308507177949</v>
      </c>
      <c r="AQ478" s="27">
        <v>0.92201733917401762</v>
      </c>
      <c r="AR478" s="27">
        <v>0.9137513050625643</v>
      </c>
      <c r="AS478" s="27">
        <v>0.90678597561288232</v>
      </c>
      <c r="AT478" s="27">
        <v>0.85056886966536605</v>
      </c>
      <c r="AU478" s="27">
        <v>0.75456308507177949</v>
      </c>
      <c r="AW478" s="1">
        <v>13.919408955281698</v>
      </c>
      <c r="AX478" s="1">
        <v>15.782896479613136</v>
      </c>
      <c r="AY478" s="2">
        <v>2666115.0525403623</v>
      </c>
      <c r="AZ478" s="1">
        <v>15.683361906281045</v>
      </c>
      <c r="BA478" s="1">
        <v>17.536882899319721</v>
      </c>
      <c r="BB478" s="2">
        <v>1977172.9325244124</v>
      </c>
      <c r="BC478" s="2">
        <f t="shared" si="56"/>
        <v>-688942.12001594994</v>
      </c>
      <c r="BD478" s="292">
        <f t="shared" si="57"/>
        <v>1.7639529509993466</v>
      </c>
      <c r="BF478" s="170">
        <f t="shared" si="52"/>
        <v>-439009.61969529046</v>
      </c>
      <c r="BG478" s="2">
        <f t="shared" si="53"/>
        <v>532164.9724805546</v>
      </c>
      <c r="BI478">
        <f t="shared" si="54"/>
        <v>0</v>
      </c>
      <c r="BJ478" s="95">
        <f t="shared" si="55"/>
        <v>1</v>
      </c>
      <c r="BP478" s="217">
        <f t="shared" si="58"/>
        <v>532164.9724805546</v>
      </c>
    </row>
    <row r="479" spans="1:68">
      <c r="A479" s="11">
        <v>473</v>
      </c>
      <c r="C479" s="27">
        <v>0.92274388307486355</v>
      </c>
      <c r="D479" s="27">
        <v>7.7256116925136453E-2</v>
      </c>
      <c r="E479" s="27">
        <v>0</v>
      </c>
      <c r="F479" s="27">
        <v>0.85333987710339398</v>
      </c>
      <c r="G479" s="27">
        <v>0.14666012289660602</v>
      </c>
      <c r="H479" s="27">
        <v>0</v>
      </c>
      <c r="I479" s="27">
        <v>0.75223037382574776</v>
      </c>
      <c r="J479" s="27">
        <v>0.24776962617425222</v>
      </c>
      <c r="K479" s="27">
        <v>0</v>
      </c>
      <c r="L479" s="27">
        <v>4.4237201459534581E-2</v>
      </c>
      <c r="M479" s="27">
        <v>0.57877085302153997</v>
      </c>
      <c r="N479" s="27">
        <v>0.37699194551892545</v>
      </c>
      <c r="O479" s="27">
        <v>-10.910676542694437</v>
      </c>
      <c r="P479" s="27">
        <v>3.2029969679539909E-2</v>
      </c>
      <c r="Q479" s="27">
        <v>7.0111914351054784E-5</v>
      </c>
      <c r="R479" s="27">
        <v>1.0577107936151806</v>
      </c>
      <c r="S479" s="154"/>
      <c r="T479">
        <v>1.176894120504002</v>
      </c>
      <c r="U479">
        <v>2.3088171844077743</v>
      </c>
      <c r="V479">
        <v>3.0329390457423351</v>
      </c>
      <c r="W479">
        <v>1</v>
      </c>
      <c r="Y479" s="2">
        <v>4389.461153418325</v>
      </c>
      <c r="Z479" s="2">
        <v>1928.3942544692788</v>
      </c>
      <c r="AA479" s="2">
        <v>2240.863080631947</v>
      </c>
      <c r="AB479" s="2">
        <v>15659.488110554463</v>
      </c>
      <c r="AC479" s="2">
        <v>1960.7179279319409</v>
      </c>
      <c r="AD479" s="2">
        <v>973.096578764112</v>
      </c>
      <c r="AE479" s="2">
        <v>558.48283353240402</v>
      </c>
      <c r="AF479" s="2">
        <v>1097.1178526598508</v>
      </c>
      <c r="AG479" s="2">
        <v>177.03452628596614</v>
      </c>
      <c r="AH479" s="2">
        <v>507.29524342750517</v>
      </c>
      <c r="AI479" s="2">
        <v>522123.49782363564</v>
      </c>
      <c r="AJ479" s="2">
        <v>494510.98426501499</v>
      </c>
      <c r="AL479" s="27">
        <v>0.92247492264924913</v>
      </c>
      <c r="AM479" s="27">
        <v>0.91348619368786299</v>
      </c>
      <c r="AN479" s="27">
        <v>0.91002854224008045</v>
      </c>
      <c r="AO479" s="27">
        <v>0.87858170625687548</v>
      </c>
      <c r="AP479" s="27">
        <v>0.71988169661601886</v>
      </c>
      <c r="AQ479" s="27">
        <v>0.92247492264924913</v>
      </c>
      <c r="AR479" s="27">
        <v>0.91348619368786299</v>
      </c>
      <c r="AS479" s="27">
        <v>0.91002854224008045</v>
      </c>
      <c r="AT479" s="27">
        <v>0.87858170625687548</v>
      </c>
      <c r="AU479" s="27">
        <v>0.71988169661601886</v>
      </c>
      <c r="AW479" s="1">
        <v>13.234429354427201</v>
      </c>
      <c r="AX479" s="1">
        <v>15.226995840167312</v>
      </c>
      <c r="AY479" s="2">
        <v>2382081.1821486386</v>
      </c>
      <c r="AZ479" s="1">
        <v>15.514853469075945</v>
      </c>
      <c r="BA479" s="1">
        <v>17.440801974749483</v>
      </c>
      <c r="BB479" s="2">
        <v>1814589.5583233018</v>
      </c>
      <c r="BC479" s="2">
        <f t="shared" si="56"/>
        <v>-567491.62382533681</v>
      </c>
      <c r="BD479" s="292">
        <f t="shared" si="57"/>
        <v>2.2804241146487438</v>
      </c>
      <c r="BF479" s="170">
        <f t="shared" si="52"/>
        <v>-264572.48544028634</v>
      </c>
      <c r="BG479" s="2">
        <f t="shared" si="53"/>
        <v>667786.99672884913</v>
      </c>
      <c r="BI479">
        <f t="shared" si="54"/>
        <v>0</v>
      </c>
      <c r="BJ479" s="95">
        <f t="shared" si="55"/>
        <v>1</v>
      </c>
      <c r="BP479" s="217">
        <f t="shared" si="58"/>
        <v>667786.99672884913</v>
      </c>
    </row>
    <row r="480" spans="1:68">
      <c r="A480" s="11">
        <v>474</v>
      </c>
      <c r="C480" s="27">
        <v>0.92168265773244729</v>
      </c>
      <c r="D480" s="27">
        <v>7.8317342267552714E-2</v>
      </c>
      <c r="E480" s="27">
        <v>0</v>
      </c>
      <c r="F480" s="27">
        <v>0.86034080915816546</v>
      </c>
      <c r="G480" s="27">
        <v>0.13965919084183459</v>
      </c>
      <c r="H480" s="27">
        <v>0</v>
      </c>
      <c r="I480" s="27">
        <v>0.748685114979596</v>
      </c>
      <c r="J480" s="27">
        <v>0.251314885020404</v>
      </c>
      <c r="K480" s="27">
        <v>0</v>
      </c>
      <c r="L480" s="27">
        <v>0.19555280499722338</v>
      </c>
      <c r="M480" s="27">
        <v>0.4335292328167869</v>
      </c>
      <c r="N480" s="27">
        <v>0.37091796218598971</v>
      </c>
      <c r="O480" s="27">
        <v>-11.173362664409723</v>
      </c>
      <c r="P480" s="27">
        <v>3.4762634035992244E-2</v>
      </c>
      <c r="Q480" s="27">
        <v>6.0471883596129082E-5</v>
      </c>
      <c r="R480" s="27">
        <v>1.0708696018152573</v>
      </c>
      <c r="S480" s="154"/>
      <c r="T480">
        <v>0.96295021346416521</v>
      </c>
      <c r="U480">
        <v>2.262633080955061</v>
      </c>
      <c r="V480">
        <v>2.960799724091296</v>
      </c>
      <c r="W480">
        <v>1</v>
      </c>
      <c r="Y480" s="2">
        <v>505.58707500784129</v>
      </c>
      <c r="Z480" s="2">
        <v>6383.2378007438447</v>
      </c>
      <c r="AA480" s="2">
        <v>1826.2657815998025</v>
      </c>
      <c r="AB480" s="2">
        <v>2993.4042406039339</v>
      </c>
      <c r="AC480" s="2">
        <v>666.62213807675062</v>
      </c>
      <c r="AD480" s="2">
        <v>2859.703742493311</v>
      </c>
      <c r="AE480" s="2">
        <v>604.26954653755763</v>
      </c>
      <c r="AF480" s="2">
        <v>1094.2809000981183</v>
      </c>
      <c r="AG480" s="2">
        <v>88.843328017319777</v>
      </c>
      <c r="AH480" s="2">
        <v>613.88152438453074</v>
      </c>
      <c r="AI480" s="2">
        <v>429809.7728769753</v>
      </c>
      <c r="AJ480" s="2">
        <v>380361.31431297143</v>
      </c>
      <c r="AL480" s="27">
        <v>0.91745410719292475</v>
      </c>
      <c r="AM480" s="27">
        <v>0.90961233145114895</v>
      </c>
      <c r="AN480" s="27">
        <v>0.91378261265151872</v>
      </c>
      <c r="AO480" s="27">
        <v>0.8837987759643956</v>
      </c>
      <c r="AP480" s="27">
        <v>0.7492394347487894</v>
      </c>
      <c r="AQ480" s="27">
        <v>0.91745410719292475</v>
      </c>
      <c r="AR480" s="27">
        <v>0.90961233145114895</v>
      </c>
      <c r="AS480" s="27">
        <v>0.91378261265151872</v>
      </c>
      <c r="AT480" s="27">
        <v>0.8837987759643956</v>
      </c>
      <c r="AU480" s="27">
        <v>0.7492394347487894</v>
      </c>
      <c r="AW480" s="1">
        <v>13.705791283872452</v>
      </c>
      <c r="AX480" s="1">
        <v>15.534936177450856</v>
      </c>
      <c r="AY480" s="2">
        <v>1519178.5622082865</v>
      </c>
      <c r="AZ480" s="1">
        <v>15.424030653371091</v>
      </c>
      <c r="BA480" s="1">
        <v>17.267170079231377</v>
      </c>
      <c r="BB480" s="2">
        <v>1156183.0581597441</v>
      </c>
      <c r="BC480" s="2">
        <f t="shared" si="56"/>
        <v>-362995.50404854235</v>
      </c>
      <c r="BD480" s="292">
        <f t="shared" si="57"/>
        <v>1.7182393694986384</v>
      </c>
      <c r="BF480" s="170">
        <f t="shared" si="52"/>
        <v>673748.04321130598</v>
      </c>
      <c r="BG480" s="2">
        <f t="shared" si="53"/>
        <v>1311661.8463796305</v>
      </c>
      <c r="BI480">
        <f t="shared" si="54"/>
        <v>0</v>
      </c>
      <c r="BJ480" s="95">
        <f t="shared" si="55"/>
        <v>1</v>
      </c>
      <c r="BP480" s="217">
        <f t="shared" si="58"/>
        <v>1311661.8463796305</v>
      </c>
    </row>
    <row r="481" spans="1:68">
      <c r="A481" s="11">
        <v>475</v>
      </c>
      <c r="C481" s="27">
        <v>0.92342433558629788</v>
      </c>
      <c r="D481" s="27">
        <v>7.6575664413702116E-2</v>
      </c>
      <c r="E481" s="27">
        <v>0</v>
      </c>
      <c r="F481" s="27">
        <v>0.85552946455316126</v>
      </c>
      <c r="G481" s="27">
        <v>0.14447053544683874</v>
      </c>
      <c r="H481" s="27">
        <v>0</v>
      </c>
      <c r="I481" s="27">
        <v>0.75003796979577508</v>
      </c>
      <c r="J481" s="27">
        <v>0.24996203020422486</v>
      </c>
      <c r="K481" s="27">
        <v>0</v>
      </c>
      <c r="L481" s="27">
        <v>7.0609443868485555E-2</v>
      </c>
      <c r="M481" s="27">
        <v>0.55950864805888534</v>
      </c>
      <c r="N481" s="27">
        <v>0.36988190807262911</v>
      </c>
      <c r="O481" s="27">
        <v>-11.04949006300521</v>
      </c>
      <c r="P481" s="27">
        <v>3.6738672967363453E-2</v>
      </c>
      <c r="Q481" s="27">
        <v>7.436941432912005E-5</v>
      </c>
      <c r="R481" s="27">
        <v>1.0439992038371082</v>
      </c>
      <c r="S481" s="154"/>
      <c r="T481">
        <v>1.1325186245652861</v>
      </c>
      <c r="U481">
        <v>2.2571556666817698</v>
      </c>
      <c r="V481">
        <v>2.7033027038516253</v>
      </c>
      <c r="W481">
        <v>1</v>
      </c>
      <c r="Y481" s="2">
        <v>352.46583494570234</v>
      </c>
      <c r="Z481" s="2">
        <v>7160.4768416913257</v>
      </c>
      <c r="AA481" s="2">
        <v>2480.7726971946668</v>
      </c>
      <c r="AB481" s="2">
        <v>2446.0008193036942</v>
      </c>
      <c r="AC481" s="2">
        <v>102.48077515261616</v>
      </c>
      <c r="AD481" s="2">
        <v>4082.5939105766956</v>
      </c>
      <c r="AE481" s="2">
        <v>523.44525885703376</v>
      </c>
      <c r="AF481" s="2">
        <v>818.60210714228401</v>
      </c>
      <c r="AG481" s="2">
        <v>106.47864609569459</v>
      </c>
      <c r="AH481" s="2">
        <v>366.78530578761598</v>
      </c>
      <c r="AI481" s="2">
        <v>478699.30951907928</v>
      </c>
      <c r="AJ481" s="2">
        <v>444175.85971912189</v>
      </c>
      <c r="AL481" s="27">
        <v>0.92211630944171163</v>
      </c>
      <c r="AM481" s="27">
        <v>0.90635473775369824</v>
      </c>
      <c r="AN481" s="27">
        <v>0.91351734002773266</v>
      </c>
      <c r="AO481" s="27">
        <v>0.8644840696242817</v>
      </c>
      <c r="AP481" s="27">
        <v>0.76138773344693955</v>
      </c>
      <c r="AQ481" s="27">
        <v>0.92211630944171163</v>
      </c>
      <c r="AR481" s="27">
        <v>0.90635473775369824</v>
      </c>
      <c r="AS481" s="27">
        <v>0.91351734002773266</v>
      </c>
      <c r="AT481" s="27">
        <v>0.8644840696242817</v>
      </c>
      <c r="AU481" s="27">
        <v>0.76138773344693955</v>
      </c>
      <c r="AW481" s="1">
        <v>13.657661507679391</v>
      </c>
      <c r="AX481" s="1">
        <v>15.533747108729438</v>
      </c>
      <c r="AY481" s="2">
        <v>2118420.8701032801</v>
      </c>
      <c r="AZ481" s="1">
        <v>15.659531642781133</v>
      </c>
      <c r="BA481" s="1">
        <v>17.523883333227371</v>
      </c>
      <c r="BB481" s="2">
        <v>1511690.1153524292</v>
      </c>
      <c r="BC481" s="2">
        <f t="shared" si="56"/>
        <v>-606730.75475085084</v>
      </c>
      <c r="BD481" s="292">
        <f t="shared" si="57"/>
        <v>2.0018701351017416</v>
      </c>
      <c r="BF481" s="170">
        <f t="shared" si="52"/>
        <v>66804.971125422511</v>
      </c>
      <c r="BG481" s="2">
        <f t="shared" si="53"/>
        <v>993834.94749255222</v>
      </c>
      <c r="BI481">
        <f t="shared" si="54"/>
        <v>0</v>
      </c>
      <c r="BJ481" s="95">
        <f t="shared" si="55"/>
        <v>1</v>
      </c>
      <c r="BP481" s="217">
        <f t="shared" si="58"/>
        <v>993834.94749255222</v>
      </c>
    </row>
    <row r="482" spans="1:68">
      <c r="A482" s="11">
        <v>476</v>
      </c>
      <c r="C482" s="27">
        <v>0.92053905674130054</v>
      </c>
      <c r="D482" s="27">
        <v>7.9460943258699457E-2</v>
      </c>
      <c r="E482" s="27">
        <v>0</v>
      </c>
      <c r="F482" s="27">
        <v>0.86369887609015139</v>
      </c>
      <c r="G482" s="27">
        <v>0.13630112390984864</v>
      </c>
      <c r="H482" s="27">
        <v>0</v>
      </c>
      <c r="I482" s="27">
        <v>0.74837938261814574</v>
      </c>
      <c r="J482" s="27">
        <v>0.25162061738185426</v>
      </c>
      <c r="K482" s="27">
        <v>0</v>
      </c>
      <c r="L482" s="27">
        <v>0.1416835700748259</v>
      </c>
      <c r="M482" s="27">
        <v>0.47101120439452226</v>
      </c>
      <c r="N482" s="27">
        <v>0.38730522553065183</v>
      </c>
      <c r="O482" s="27">
        <v>-11.239873019188549</v>
      </c>
      <c r="P482" s="27">
        <v>3.7099433661686942E-2</v>
      </c>
      <c r="Q482" s="27">
        <v>6.2415506903206643E-5</v>
      </c>
      <c r="R482" s="27">
        <v>1.0608634070833753</v>
      </c>
      <c r="S482" s="154"/>
      <c r="T482">
        <v>1.0145001420521227</v>
      </c>
      <c r="U482">
        <v>2.2748719415985375</v>
      </c>
      <c r="V482">
        <v>2.8892352082339028</v>
      </c>
      <c r="W482">
        <v>1</v>
      </c>
      <c r="Y482" s="2">
        <v>505.94363886750841</v>
      </c>
      <c r="Z482" s="2">
        <v>8955.0698252688908</v>
      </c>
      <c r="AA482" s="2">
        <v>992.71017953290198</v>
      </c>
      <c r="AB482" s="2">
        <v>2149.1991553068378</v>
      </c>
      <c r="AC482" s="2">
        <v>956.14445604370485</v>
      </c>
      <c r="AD482" s="2">
        <v>556.00019376345733</v>
      </c>
      <c r="AE482" s="2">
        <v>530.77625781779341</v>
      </c>
      <c r="AF482" s="2">
        <v>932.35187766343006</v>
      </c>
      <c r="AG482" s="2">
        <v>75.7300856689548</v>
      </c>
      <c r="AH482" s="2">
        <v>409.97281527805455</v>
      </c>
      <c r="AI482" s="2">
        <v>514884.36666966911</v>
      </c>
      <c r="AJ482" s="2">
        <v>482021.46332070237</v>
      </c>
      <c r="AL482" s="27">
        <v>0.91571045968943121</v>
      </c>
      <c r="AM482" s="27">
        <v>0.91405458847408905</v>
      </c>
      <c r="AN482" s="27">
        <v>0.91331133445679746</v>
      </c>
      <c r="AO482" s="27">
        <v>0.82830515833005736</v>
      </c>
      <c r="AP482" s="27">
        <v>0.69422130431063034</v>
      </c>
      <c r="AQ482" s="27">
        <v>0.91571045968943121</v>
      </c>
      <c r="AR482" s="27">
        <v>0.91405458847408905</v>
      </c>
      <c r="AS482" s="27">
        <v>0.91331133445679746</v>
      </c>
      <c r="AT482" s="27">
        <v>0.82830515833005736</v>
      </c>
      <c r="AU482" s="27">
        <v>0.69422130431063034</v>
      </c>
      <c r="AW482" s="1">
        <v>13.392620830613836</v>
      </c>
      <c r="AX482" s="1">
        <v>15.475583437669027</v>
      </c>
      <c r="AY482" s="2">
        <v>2064801.8192461552</v>
      </c>
      <c r="AZ482" s="1">
        <v>15.322771679730224</v>
      </c>
      <c r="BA482" s="1">
        <v>17.338057033840133</v>
      </c>
      <c r="BB482" s="2">
        <v>1407907.3400832331</v>
      </c>
      <c r="BC482" s="2">
        <f t="shared" si="56"/>
        <v>-656894.47916292213</v>
      </c>
      <c r="BD482" s="292">
        <f t="shared" si="57"/>
        <v>1.9301508491163872</v>
      </c>
      <c r="BF482" s="170">
        <f t="shared" si="52"/>
        <v>78017.513652058784</v>
      </c>
      <c r="BG482" s="2">
        <f t="shared" si="53"/>
        <v>1043736.1286736028</v>
      </c>
      <c r="BI482">
        <f t="shared" si="54"/>
        <v>0</v>
      </c>
      <c r="BJ482" s="95">
        <f t="shared" si="55"/>
        <v>1</v>
      </c>
      <c r="BP482" s="217">
        <f t="shared" si="58"/>
        <v>1043736.1286736028</v>
      </c>
    </row>
    <row r="483" spans="1:68">
      <c r="A483" s="11">
        <v>477</v>
      </c>
      <c r="C483" s="27">
        <v>0.923631008465301</v>
      </c>
      <c r="D483" s="27">
        <v>7.6368991534698963E-2</v>
      </c>
      <c r="E483" s="27">
        <v>0</v>
      </c>
      <c r="F483" s="27">
        <v>0.85987244368789151</v>
      </c>
      <c r="G483" s="27">
        <v>0.14012755631210855</v>
      </c>
      <c r="H483" s="27">
        <v>0</v>
      </c>
      <c r="I483" s="27">
        <v>0.74561604282884408</v>
      </c>
      <c r="J483" s="27">
        <v>0.25438395717115592</v>
      </c>
      <c r="K483" s="27">
        <v>0</v>
      </c>
      <c r="L483" s="27">
        <v>5.6898390636360374E-2</v>
      </c>
      <c r="M483" s="27">
        <v>0.47544141156041608</v>
      </c>
      <c r="N483" s="27">
        <v>0.46766019780322354</v>
      </c>
      <c r="O483" s="27">
        <v>-11.115049652425387</v>
      </c>
      <c r="P483" s="27">
        <v>3.4097216763274617E-2</v>
      </c>
      <c r="Q483" s="27">
        <v>6.2336305545412262E-5</v>
      </c>
      <c r="R483" s="27">
        <v>1.0753593895201987</v>
      </c>
      <c r="S483" s="154"/>
      <c r="T483">
        <v>1.1479759394157807</v>
      </c>
      <c r="U483">
        <v>2.1850133619752365</v>
      </c>
      <c r="V483">
        <v>2.9934143166402545</v>
      </c>
      <c r="W483">
        <v>1</v>
      </c>
      <c r="Y483" s="2">
        <v>2045.4407102005273</v>
      </c>
      <c r="Z483" s="2">
        <v>1955.2622654710017</v>
      </c>
      <c r="AA483" s="2">
        <v>279.22200467194057</v>
      </c>
      <c r="AB483" s="2">
        <v>1166.7238997574452</v>
      </c>
      <c r="AC483" s="2">
        <v>566.31347803032111</v>
      </c>
      <c r="AD483" s="2">
        <v>3160.7840782046587</v>
      </c>
      <c r="AE483" s="2">
        <v>605.04791623056019</v>
      </c>
      <c r="AF483" s="2">
        <v>991.8782721120042</v>
      </c>
      <c r="AG483" s="2">
        <v>118.94827012147753</v>
      </c>
      <c r="AH483" s="2">
        <v>690.2398597634475</v>
      </c>
      <c r="AI483" s="2">
        <v>424709.12155858777</v>
      </c>
      <c r="AJ483" s="2">
        <v>395524.54988052387</v>
      </c>
      <c r="AL483" s="27">
        <v>0.91843332068610761</v>
      </c>
      <c r="AM483" s="27">
        <v>0.91427489800250095</v>
      </c>
      <c r="AN483" s="27">
        <v>0.91303343869657272</v>
      </c>
      <c r="AO483" s="27">
        <v>0.88965536456401795</v>
      </c>
      <c r="AP483" s="27">
        <v>0.65607278116254708</v>
      </c>
      <c r="AQ483" s="27">
        <v>0.91843332068610761</v>
      </c>
      <c r="AR483" s="27">
        <v>0.91427489800250095</v>
      </c>
      <c r="AS483" s="27">
        <v>0.91303343869657272</v>
      </c>
      <c r="AT483" s="27">
        <v>0.88965536456401795</v>
      </c>
      <c r="AU483" s="27">
        <v>0.65607278116254708</v>
      </c>
      <c r="AW483" s="1">
        <v>12.756105718213878</v>
      </c>
      <c r="AX483" s="1">
        <v>14.76672075959522</v>
      </c>
      <c r="AY483" s="2">
        <v>1500774.5553776489</v>
      </c>
      <c r="AZ483" s="1">
        <v>15.114741361409971</v>
      </c>
      <c r="BA483" s="1">
        <v>17.062688962764216</v>
      </c>
      <c r="BB483" s="2">
        <v>1051365.1599374118</v>
      </c>
      <c r="BC483" s="2">
        <f t="shared" si="56"/>
        <v>-449409.39544023713</v>
      </c>
      <c r="BD483" s="292">
        <f t="shared" si="57"/>
        <v>2.3586356431960933</v>
      </c>
      <c r="BF483" s="170">
        <f t="shared" si="52"/>
        <v>540202.35953657143</v>
      </c>
      <c r="BG483" s="2">
        <f t="shared" si="53"/>
        <v>1366993.4578881834</v>
      </c>
      <c r="BI483">
        <f t="shared" si="54"/>
        <v>0</v>
      </c>
      <c r="BJ483" s="95">
        <f t="shared" si="55"/>
        <v>1</v>
      </c>
      <c r="BP483" s="217">
        <f t="shared" si="58"/>
        <v>1366993.4578881834</v>
      </c>
    </row>
    <row r="484" spans="1:68">
      <c r="A484" s="11">
        <v>478</v>
      </c>
      <c r="C484" s="27">
        <v>0.92272987426835307</v>
      </c>
      <c r="D484" s="27">
        <v>7.7270125731646933E-2</v>
      </c>
      <c r="E484" s="27">
        <v>0</v>
      </c>
      <c r="F484" s="27">
        <v>0.86039841561069075</v>
      </c>
      <c r="G484" s="27">
        <v>0.13960158438930931</v>
      </c>
      <c r="H484" s="27">
        <v>0</v>
      </c>
      <c r="I484" s="27">
        <v>0.75021615841551936</v>
      </c>
      <c r="J484" s="27">
        <v>0.24978384158448061</v>
      </c>
      <c r="K484" s="27">
        <v>0</v>
      </c>
      <c r="L484" s="27">
        <v>0.12422785884265242</v>
      </c>
      <c r="M484" s="27">
        <v>0.44624856537803886</v>
      </c>
      <c r="N484" s="27">
        <v>0.42952357577930877</v>
      </c>
      <c r="O484" s="27">
        <v>-11.53729438840066</v>
      </c>
      <c r="P484" s="27">
        <v>3.291869845974444E-2</v>
      </c>
      <c r="Q484" s="27">
        <v>3.8892502912804953E-5</v>
      </c>
      <c r="R484" s="27">
        <v>1.136768683735897</v>
      </c>
      <c r="S484" s="154"/>
      <c r="T484">
        <v>1.0224370513384609</v>
      </c>
      <c r="U484">
        <v>2.2487981684613985</v>
      </c>
      <c r="V484">
        <v>2.9550196394812609</v>
      </c>
      <c r="W484">
        <v>1</v>
      </c>
      <c r="Y484" s="2">
        <v>728.5301516313117</v>
      </c>
      <c r="Z484" s="2">
        <v>2238.8625534611147</v>
      </c>
      <c r="AA484" s="2">
        <v>2522.3203545930301</v>
      </c>
      <c r="AB484" s="2">
        <v>3612.9223234271853</v>
      </c>
      <c r="AC484" s="2">
        <v>177.5398221452601</v>
      </c>
      <c r="AD484" s="2">
        <v>2501.0355596104878</v>
      </c>
      <c r="AE484" s="2">
        <v>615.82957157799638</v>
      </c>
      <c r="AF484" s="2">
        <v>876.87323456600268</v>
      </c>
      <c r="AG484" s="2">
        <v>118.37290258983539</v>
      </c>
      <c r="AH484" s="2">
        <v>317.19362789714847</v>
      </c>
      <c r="AI484" s="2">
        <v>489452.30667640566</v>
      </c>
      <c r="AJ484" s="2">
        <v>451151.01887718879</v>
      </c>
      <c r="AL484" s="27">
        <v>0.91677151778037935</v>
      </c>
      <c r="AM484" s="27">
        <v>0.91329345051724675</v>
      </c>
      <c r="AN484" s="27">
        <v>0.90802573353765148</v>
      </c>
      <c r="AO484" s="27">
        <v>0.89998219495144349</v>
      </c>
      <c r="AP484" s="27">
        <v>0.69218892707118584</v>
      </c>
      <c r="AQ484" s="27">
        <v>0.91677151778037935</v>
      </c>
      <c r="AR484" s="27">
        <v>0.91329345051724675</v>
      </c>
      <c r="AS484" s="27">
        <v>0.90802573353765148</v>
      </c>
      <c r="AT484" s="27">
        <v>0.89998219495144349</v>
      </c>
      <c r="AU484" s="27">
        <v>0.69218892707118584</v>
      </c>
      <c r="AW484" s="1">
        <v>13.117495692122501</v>
      </c>
      <c r="AX484" s="1">
        <v>14.999223707627147</v>
      </c>
      <c r="AY484" s="2">
        <v>1542185.613136092</v>
      </c>
      <c r="AZ484" s="1">
        <v>15.135673049738026</v>
      </c>
      <c r="BA484" s="1">
        <v>17.014636274639859</v>
      </c>
      <c r="BB484" s="2">
        <v>1194918.137036768</v>
      </c>
      <c r="BC484" s="2">
        <f t="shared" si="56"/>
        <v>-347267.47609932395</v>
      </c>
      <c r="BD484" s="292">
        <f t="shared" si="57"/>
        <v>2.0181773576155244</v>
      </c>
      <c r="BF484" s="170">
        <f t="shared" si="52"/>
        <v>556613.69760350813</v>
      </c>
      <c r="BG484" s="2">
        <f t="shared" si="53"/>
        <v>1226789.550921316</v>
      </c>
      <c r="BI484">
        <f t="shared" si="54"/>
        <v>0</v>
      </c>
      <c r="BJ484" s="95">
        <f t="shared" si="55"/>
        <v>1</v>
      </c>
      <c r="BP484" s="217">
        <f t="shared" si="58"/>
        <v>1226789.550921316</v>
      </c>
    </row>
    <row r="485" spans="1:68">
      <c r="A485" s="11">
        <v>479</v>
      </c>
      <c r="C485" s="27">
        <v>0.92598409262516757</v>
      </c>
      <c r="D485" s="27">
        <v>7.4015907374832476E-2</v>
      </c>
      <c r="E485" s="27">
        <v>0</v>
      </c>
      <c r="F485" s="27">
        <v>0.85716971003951226</v>
      </c>
      <c r="G485" s="27">
        <v>0.14283028996048772</v>
      </c>
      <c r="H485" s="27">
        <v>0</v>
      </c>
      <c r="I485" s="27">
        <v>0.75458131263588324</v>
      </c>
      <c r="J485" s="27">
        <v>0.24541868736411676</v>
      </c>
      <c r="K485" s="27">
        <v>0</v>
      </c>
      <c r="L485" s="27">
        <v>0.16911891886398234</v>
      </c>
      <c r="M485" s="27">
        <v>0.47116828936130534</v>
      </c>
      <c r="N485" s="27">
        <v>0.35971279177471227</v>
      </c>
      <c r="O485" s="27">
        <v>-11.078410720301996</v>
      </c>
      <c r="P485" s="27">
        <v>3.6153397582288152E-2</v>
      </c>
      <c r="Q485" s="27">
        <v>7.0495052927740324E-5</v>
      </c>
      <c r="R485" s="27">
        <v>1.0484986139222996</v>
      </c>
      <c r="S485" s="154"/>
      <c r="T485">
        <v>0.93358465506783817</v>
      </c>
      <c r="U485">
        <v>2.1987639024427295</v>
      </c>
      <c r="V485">
        <v>3.1303969113804979</v>
      </c>
      <c r="W485">
        <v>1</v>
      </c>
      <c r="Y485" s="2">
        <v>904.91870793873488</v>
      </c>
      <c r="Z485" s="2">
        <v>199.01722722108457</v>
      </c>
      <c r="AA485" s="2">
        <v>65.268494579804212</v>
      </c>
      <c r="AB485" s="2">
        <v>1935.1613964896883</v>
      </c>
      <c r="AC485" s="2">
        <v>1268.7932005316356</v>
      </c>
      <c r="AD485" s="2">
        <v>261.69021787766849</v>
      </c>
      <c r="AE485" s="2">
        <v>524.88350179647352</v>
      </c>
      <c r="AF485" s="2">
        <v>1132.1109845602473</v>
      </c>
      <c r="AG485" s="2">
        <v>79.531110079704092</v>
      </c>
      <c r="AH485" s="2">
        <v>500.98655248518099</v>
      </c>
      <c r="AI485" s="2">
        <v>524497.38633110293</v>
      </c>
      <c r="AJ485" s="2">
        <v>495976.70957558602</v>
      </c>
      <c r="AL485" s="27">
        <v>0.92393358908671275</v>
      </c>
      <c r="AM485" s="27">
        <v>0.91880828274416337</v>
      </c>
      <c r="AN485" s="27">
        <v>0.91346546702919285</v>
      </c>
      <c r="AO485" s="27">
        <v>0.85795042711980507</v>
      </c>
      <c r="AP485" s="27">
        <v>0.82128639371995082</v>
      </c>
      <c r="AQ485" s="27">
        <v>0.92393358908671275</v>
      </c>
      <c r="AR485" s="27">
        <v>0.91880828274416337</v>
      </c>
      <c r="AS485" s="27">
        <v>0.91346546702919285</v>
      </c>
      <c r="AT485" s="27">
        <v>0.85795042711980507</v>
      </c>
      <c r="AU485" s="27">
        <v>0.82128639371995082</v>
      </c>
      <c r="AW485" s="1">
        <v>14.388577386256436</v>
      </c>
      <c r="AX485" s="1">
        <v>15.982688565884658</v>
      </c>
      <c r="AY485" s="2">
        <v>1934558.8354686876</v>
      </c>
      <c r="AZ485" s="1">
        <v>15.882621608491473</v>
      </c>
      <c r="BA485" s="1">
        <v>17.519027595418134</v>
      </c>
      <c r="BB485" s="2">
        <v>1433194.2602056691</v>
      </c>
      <c r="BC485" s="2">
        <f t="shared" si="56"/>
        <v>-501364.57526301849</v>
      </c>
      <c r="BD485" s="292">
        <f t="shared" si="57"/>
        <v>1.4940442222350363</v>
      </c>
      <c r="BF485" s="170">
        <f t="shared" si="52"/>
        <v>367613.54633234208</v>
      </c>
      <c r="BG485" s="2">
        <f t="shared" si="53"/>
        <v>1108025.1971529664</v>
      </c>
      <c r="BI485">
        <f t="shared" si="54"/>
        <v>0</v>
      </c>
      <c r="BJ485" s="95">
        <f t="shared" si="55"/>
        <v>1</v>
      </c>
      <c r="BP485" s="217">
        <f t="shared" si="58"/>
        <v>1108025.1971529664</v>
      </c>
    </row>
    <row r="486" spans="1:68">
      <c r="A486" s="11">
        <v>480</v>
      </c>
      <c r="C486" s="27">
        <v>0.92418545753870285</v>
      </c>
      <c r="D486" s="27">
        <v>7.5814542461297124E-2</v>
      </c>
      <c r="E486" s="27">
        <v>0</v>
      </c>
      <c r="F486" s="27">
        <v>0.86277329951569515</v>
      </c>
      <c r="G486" s="27">
        <v>0.13722670048430483</v>
      </c>
      <c r="H486" s="27">
        <v>0</v>
      </c>
      <c r="I486" s="27">
        <v>0.74057124128513119</v>
      </c>
      <c r="J486" s="27">
        <v>0.25942875871486881</v>
      </c>
      <c r="K486" s="27">
        <v>0</v>
      </c>
      <c r="L486" s="27">
        <v>0.15442300579792101</v>
      </c>
      <c r="M486" s="27">
        <v>0.4883787893658677</v>
      </c>
      <c r="N486" s="27">
        <v>0.35719820483621123</v>
      </c>
      <c r="O486" s="27">
        <v>-11.568770400928027</v>
      </c>
      <c r="P486" s="27">
        <v>3.931228013536095E-2</v>
      </c>
      <c r="Q486" s="27">
        <v>4.9296639908977597E-5</v>
      </c>
      <c r="R486" s="27">
        <v>1.0928432482767452</v>
      </c>
      <c r="S486" s="154"/>
      <c r="T486">
        <v>0.97833361661177176</v>
      </c>
      <c r="U486">
        <v>2.2460911955121685</v>
      </c>
      <c r="V486">
        <v>3.0568184801022378</v>
      </c>
      <c r="W486">
        <v>1</v>
      </c>
      <c r="Y486" s="2">
        <v>760.94082846340473</v>
      </c>
      <c r="Z486" s="2">
        <v>3019.431151971809</v>
      </c>
      <c r="AA486" s="2">
        <v>1774.382708582832</v>
      </c>
      <c r="AB486" s="2">
        <v>4509.3725827972057</v>
      </c>
      <c r="AC486" s="2">
        <v>38.065358164198123</v>
      </c>
      <c r="AD486" s="2">
        <v>3451.6780185651892</v>
      </c>
      <c r="AE486" s="2">
        <v>652.16022881964841</v>
      </c>
      <c r="AF486" s="2">
        <v>1180.277610428343</v>
      </c>
      <c r="AG486" s="2">
        <v>113.46530286725871</v>
      </c>
      <c r="AH486" s="2">
        <v>173.43704826571235</v>
      </c>
      <c r="AI486" s="2">
        <v>518029.90340232674</v>
      </c>
      <c r="AJ486" s="2">
        <v>488122.72629506246</v>
      </c>
      <c r="AL486" s="27">
        <v>0.91670516257233703</v>
      </c>
      <c r="AM486" s="27">
        <v>0.9121714544198869</v>
      </c>
      <c r="AN486" s="27">
        <v>0.91540466806603715</v>
      </c>
      <c r="AO486" s="27">
        <v>0.887215559967236</v>
      </c>
      <c r="AP486" s="27">
        <v>0.63158729968141114</v>
      </c>
      <c r="AQ486" s="27">
        <v>0.91670516257233703</v>
      </c>
      <c r="AR486" s="27">
        <v>0.9121714544198869</v>
      </c>
      <c r="AS486" s="27">
        <v>0.91540466806603715</v>
      </c>
      <c r="AT486" s="27">
        <v>0.887215559967236</v>
      </c>
      <c r="AU486" s="27">
        <v>0.63158729968141114</v>
      </c>
      <c r="AW486" s="1">
        <v>13.509056835719363</v>
      </c>
      <c r="AX486" s="1">
        <v>15.762844645067162</v>
      </c>
      <c r="AY486" s="2">
        <v>1977753.4665880224</v>
      </c>
      <c r="AZ486" s="1">
        <v>15.319510947087645</v>
      </c>
      <c r="BA486" s="1">
        <v>17.456886520848872</v>
      </c>
      <c r="BB486" s="2">
        <v>1535346.2922466444</v>
      </c>
      <c r="BC486" s="2">
        <f t="shared" si="56"/>
        <v>-442407.17434137804</v>
      </c>
      <c r="BD486" s="292">
        <f t="shared" si="57"/>
        <v>1.8104541113682817</v>
      </c>
      <c r="BF486" s="170">
        <f t="shared" si="52"/>
        <v>183695.6271270758</v>
      </c>
      <c r="BG486" s="2">
        <f t="shared" si="53"/>
        <v>915775.45928737894</v>
      </c>
      <c r="BI486">
        <f t="shared" si="54"/>
        <v>0</v>
      </c>
      <c r="BJ486" s="95">
        <f t="shared" si="55"/>
        <v>1</v>
      </c>
      <c r="BP486" s="217">
        <f t="shared" si="58"/>
        <v>915775.45928737894</v>
      </c>
    </row>
    <row r="487" spans="1:68">
      <c r="A487" s="11">
        <v>481</v>
      </c>
      <c r="C487" s="27">
        <v>0.92414553769341778</v>
      </c>
      <c r="D487" s="27">
        <v>7.585446230658216E-2</v>
      </c>
      <c r="E487" s="27">
        <v>0</v>
      </c>
      <c r="F487" s="27">
        <v>0.85398300310942288</v>
      </c>
      <c r="G487" s="27">
        <v>0.14601699689057712</v>
      </c>
      <c r="H487" s="27">
        <v>0</v>
      </c>
      <c r="I487" s="27">
        <v>0.74451770524072058</v>
      </c>
      <c r="J487" s="27">
        <v>0.25548229475927942</v>
      </c>
      <c r="K487" s="27">
        <v>0</v>
      </c>
      <c r="L487" s="27">
        <v>0.18240074703725911</v>
      </c>
      <c r="M487" s="27">
        <v>0.49212489917766139</v>
      </c>
      <c r="N487" s="27">
        <v>0.32547435378507944</v>
      </c>
      <c r="O487" s="27">
        <v>-11.347600153398943</v>
      </c>
      <c r="P487" s="27">
        <v>3.5602217577424197E-2</v>
      </c>
      <c r="Q487" s="27">
        <v>5.2625644703067433E-5</v>
      </c>
      <c r="R487" s="27">
        <v>1.0938530048627975</v>
      </c>
      <c r="S487" s="154"/>
      <c r="T487">
        <v>0.93585239844709023</v>
      </c>
      <c r="U487">
        <v>2.326961742145115</v>
      </c>
      <c r="V487">
        <v>3.0377677759966599</v>
      </c>
      <c r="W487">
        <v>1</v>
      </c>
      <c r="Y487" s="2">
        <v>418.59331004183281</v>
      </c>
      <c r="Z487" s="2">
        <v>824.82815111225887</v>
      </c>
      <c r="AA487" s="2">
        <v>1054.0654264611162</v>
      </c>
      <c r="AB487" s="2">
        <v>2594.0096225598913</v>
      </c>
      <c r="AC487" s="2">
        <v>69.645944010926499</v>
      </c>
      <c r="AD487" s="2">
        <v>1924.7211405643768</v>
      </c>
      <c r="AE487" s="2">
        <v>586.17255095992721</v>
      </c>
      <c r="AF487" s="2">
        <v>1003.7601023131189</v>
      </c>
      <c r="AG487" s="2">
        <v>122.68373784643029</v>
      </c>
      <c r="AH487" s="2">
        <v>449.0253201356274</v>
      </c>
      <c r="AI487" s="2">
        <v>612157.32245508709</v>
      </c>
      <c r="AJ487" s="2">
        <v>583639.16937653988</v>
      </c>
      <c r="AL487" s="27">
        <v>0.90884625652838469</v>
      </c>
      <c r="AM487" s="27">
        <v>0.91610669189679106</v>
      </c>
      <c r="AN487" s="27">
        <v>0.90795958671681776</v>
      </c>
      <c r="AO487" s="27">
        <v>0.88132839027163645</v>
      </c>
      <c r="AP487" s="27">
        <v>0.66787684594825758</v>
      </c>
      <c r="AQ487" s="27">
        <v>0.90884625652838469</v>
      </c>
      <c r="AR487" s="27">
        <v>0.91610669189679106</v>
      </c>
      <c r="AS487" s="27">
        <v>0.90795958671681776</v>
      </c>
      <c r="AT487" s="27">
        <v>0.88132839027163645</v>
      </c>
      <c r="AU487" s="27">
        <v>0.66787684594825758</v>
      </c>
      <c r="AW487" s="1">
        <v>13.632926133588114</v>
      </c>
      <c r="AX487" s="1">
        <v>15.858206639556021</v>
      </c>
      <c r="AY487" s="2">
        <v>2318430.3943498651</v>
      </c>
      <c r="AZ487" s="1">
        <v>15.286650032898468</v>
      </c>
      <c r="BA487" s="1">
        <v>17.431197975036941</v>
      </c>
      <c r="BB487" s="2">
        <v>1778531.8706854214</v>
      </c>
      <c r="BC487" s="2">
        <f t="shared" si="56"/>
        <v>-539898.52366444375</v>
      </c>
      <c r="BD487" s="292">
        <f t="shared" si="57"/>
        <v>1.6537238993103536</v>
      </c>
      <c r="BF487" s="170">
        <f t="shared" si="52"/>
        <v>-137162.21297576698</v>
      </c>
      <c r="BG487" s="2">
        <f t="shared" si="53"/>
        <v>667332.13457833324</v>
      </c>
      <c r="BI487">
        <f t="shared" si="54"/>
        <v>0</v>
      </c>
      <c r="BJ487" s="95">
        <f t="shared" si="55"/>
        <v>1</v>
      </c>
      <c r="BP487" s="217">
        <f t="shared" si="58"/>
        <v>667332.13457833324</v>
      </c>
    </row>
    <row r="488" spans="1:68">
      <c r="A488" s="11">
        <v>482</v>
      </c>
      <c r="C488" s="27">
        <v>0.92445822939120814</v>
      </c>
      <c r="D488" s="27">
        <v>7.5541770608791831E-2</v>
      </c>
      <c r="E488" s="27">
        <v>0</v>
      </c>
      <c r="F488" s="27">
        <v>0.85593444899035676</v>
      </c>
      <c r="G488" s="27">
        <v>0.14406555100964324</v>
      </c>
      <c r="H488" s="27">
        <v>0</v>
      </c>
      <c r="I488" s="27">
        <v>0.75012633983504695</v>
      </c>
      <c r="J488" s="27">
        <v>0.24987366016495308</v>
      </c>
      <c r="K488" s="27">
        <v>0</v>
      </c>
      <c r="L488" s="27">
        <v>9.5657177760968826E-2</v>
      </c>
      <c r="M488" s="27">
        <v>0.51207220275298582</v>
      </c>
      <c r="N488" s="27">
        <v>0.39227061948604536</v>
      </c>
      <c r="O488" s="27">
        <v>-11.581126107751532</v>
      </c>
      <c r="P488" s="27">
        <v>3.9191028787359888E-2</v>
      </c>
      <c r="Q488" s="27">
        <v>4.8443959676348002E-5</v>
      </c>
      <c r="R488" s="27">
        <v>1.1041623684335076</v>
      </c>
      <c r="S488" s="154"/>
      <c r="T488">
        <v>0.96904510882197681</v>
      </c>
      <c r="U488">
        <v>2.2566070793119306</v>
      </c>
      <c r="V488">
        <v>2.9556836015828813</v>
      </c>
      <c r="W488">
        <v>1</v>
      </c>
      <c r="Y488" s="2">
        <v>110.93961380297507</v>
      </c>
      <c r="Z488" s="2">
        <v>11766.278369002657</v>
      </c>
      <c r="AA488" s="2">
        <v>110.92776643336512</v>
      </c>
      <c r="AB488" s="2">
        <v>4366.7149921102418</v>
      </c>
      <c r="AC488" s="2">
        <v>6.5551423838693682E-2</v>
      </c>
      <c r="AD488" s="2">
        <v>2478.6063486587941</v>
      </c>
      <c r="AE488" s="2">
        <v>471.25027931890833</v>
      </c>
      <c r="AF488" s="2">
        <v>813.41928055441963</v>
      </c>
      <c r="AG488" s="2">
        <v>75.918826839605927</v>
      </c>
      <c r="AH488" s="2">
        <v>328.98509075206709</v>
      </c>
      <c r="AI488" s="2">
        <v>447088.58854943363</v>
      </c>
      <c r="AJ488" s="2">
        <v>414376.57324626826</v>
      </c>
      <c r="AL488" s="27">
        <v>0.9177626300892493</v>
      </c>
      <c r="AM488" s="27">
        <v>0.91388078063653855</v>
      </c>
      <c r="AN488" s="27">
        <v>0.91593726166546241</v>
      </c>
      <c r="AO488" s="27">
        <v>0.841495907194177</v>
      </c>
      <c r="AP488" s="27">
        <v>0.71240882333831235</v>
      </c>
      <c r="AQ488" s="27">
        <v>0.9177626300892493</v>
      </c>
      <c r="AR488" s="27">
        <v>0.91388078063653855</v>
      </c>
      <c r="AS488" s="27">
        <v>0.91593726166546241</v>
      </c>
      <c r="AT488" s="27">
        <v>0.841495907194177</v>
      </c>
      <c r="AU488" s="27">
        <v>0.71240882333831235</v>
      </c>
      <c r="AW488" s="1">
        <v>13.624653015912207</v>
      </c>
      <c r="AX488" s="1">
        <v>15.584669362410523</v>
      </c>
      <c r="AY488" s="2">
        <v>1709529.1499806657</v>
      </c>
      <c r="AZ488" s="1">
        <v>15.368879480461951</v>
      </c>
      <c r="BA488" s="1">
        <v>17.294078139341696</v>
      </c>
      <c r="BB488" s="2">
        <v>1232770.1071953387</v>
      </c>
      <c r="BC488" s="2">
        <f t="shared" si="56"/>
        <v>-476759.04278532695</v>
      </c>
      <c r="BD488" s="292">
        <f t="shared" si="57"/>
        <v>1.7442264645497438</v>
      </c>
      <c r="BF488" s="170">
        <f t="shared" si="52"/>
        <v>470415.33256528759</v>
      </c>
      <c r="BG488" s="2">
        <f t="shared" si="53"/>
        <v>1226250.6096785734</v>
      </c>
      <c r="BI488">
        <f t="shared" si="54"/>
        <v>0</v>
      </c>
      <c r="BJ488" s="95">
        <f t="shared" si="55"/>
        <v>1</v>
      </c>
      <c r="BP488" s="217">
        <f t="shared" si="58"/>
        <v>1226250.6096785734</v>
      </c>
    </row>
    <row r="489" spans="1:68">
      <c r="A489" s="11">
        <v>483</v>
      </c>
      <c r="C489" s="27">
        <v>0.91850111848947946</v>
      </c>
      <c r="D489" s="27">
        <v>8.1498881510520538E-2</v>
      </c>
      <c r="E489" s="27">
        <v>0</v>
      </c>
      <c r="F489" s="27">
        <v>0.85869574779730784</v>
      </c>
      <c r="G489" s="27">
        <v>0.14130425220269216</v>
      </c>
      <c r="H489" s="27">
        <v>0</v>
      </c>
      <c r="I489" s="27">
        <v>0.75309786303605919</v>
      </c>
      <c r="J489" s="27">
        <v>0.24690213696394078</v>
      </c>
      <c r="K489" s="27">
        <v>0</v>
      </c>
      <c r="L489" s="27">
        <v>0.12253786379236364</v>
      </c>
      <c r="M489" s="27">
        <v>0.48310949376572443</v>
      </c>
      <c r="N489" s="27">
        <v>0.39435264244191193</v>
      </c>
      <c r="O489" s="27">
        <v>-11.128741092594973</v>
      </c>
      <c r="P489" s="27">
        <v>3.1909380176352288E-2</v>
      </c>
      <c r="Q489" s="27">
        <v>5.6090330329333385E-5</v>
      </c>
      <c r="R489" s="27">
        <v>1.0903197656307317</v>
      </c>
      <c r="S489" s="154"/>
      <c r="T489">
        <v>1.010924912011975</v>
      </c>
      <c r="U489">
        <v>2.231736103874904</v>
      </c>
      <c r="V489">
        <v>2.9240363383939041</v>
      </c>
      <c r="W489">
        <v>1</v>
      </c>
      <c r="Y489" s="2">
        <v>632.53208659529548</v>
      </c>
      <c r="Z489" s="2">
        <v>1711.2631573907163</v>
      </c>
      <c r="AA489" s="2">
        <v>1109.0632839789562</v>
      </c>
      <c r="AB489" s="2">
        <v>1238.0395409323473</v>
      </c>
      <c r="AC489" s="2">
        <v>1810.6967082263457</v>
      </c>
      <c r="AD489" s="2">
        <v>1720.3415051654561</v>
      </c>
      <c r="AE489" s="2">
        <v>567.69840864823266</v>
      </c>
      <c r="AF489" s="2">
        <v>822.01587819788347</v>
      </c>
      <c r="AG489" s="2">
        <v>114.28434666367828</v>
      </c>
      <c r="AH489" s="2">
        <v>578.25796672121487</v>
      </c>
      <c r="AI489" s="2">
        <v>459256.10486470268</v>
      </c>
      <c r="AJ489" s="2">
        <v>440838.16766227549</v>
      </c>
      <c r="AL489" s="27">
        <v>0.91751031581386155</v>
      </c>
      <c r="AM489" s="27">
        <v>0.91851749896698154</v>
      </c>
      <c r="AN489" s="27">
        <v>0.9030637333085374</v>
      </c>
      <c r="AO489" s="27">
        <v>0.89452865213522237</v>
      </c>
      <c r="AP489" s="27">
        <v>0.66003586626559096</v>
      </c>
      <c r="AQ489" s="27">
        <v>0.91751031581386155</v>
      </c>
      <c r="AR489" s="27">
        <v>0.91851749896698154</v>
      </c>
      <c r="AS489" s="27">
        <v>0.9030637333085374</v>
      </c>
      <c r="AT489" s="27">
        <v>0.89452865213522237</v>
      </c>
      <c r="AU489" s="27">
        <v>0.66003586626559096</v>
      </c>
      <c r="AW489" s="1">
        <v>13.124621143250089</v>
      </c>
      <c r="AX489" s="1">
        <v>15.196541576804361</v>
      </c>
      <c r="AY489" s="2">
        <v>1723985.7733077938</v>
      </c>
      <c r="AZ489" s="1">
        <v>15.11055395036094</v>
      </c>
      <c r="BA489" s="1">
        <v>17.117696476315324</v>
      </c>
      <c r="BB489" s="2">
        <v>1251363.8354262437</v>
      </c>
      <c r="BC489" s="2">
        <f t="shared" si="56"/>
        <v>-472621.93788155005</v>
      </c>
      <c r="BD489" s="292">
        <f t="shared" si="57"/>
        <v>1.9859328071108511</v>
      </c>
      <c r="BF489" s="170">
        <f t="shared" si="52"/>
        <v>375953.60961222043</v>
      </c>
      <c r="BG489" s="2">
        <f t="shared" si="53"/>
        <v>1166324.7966315064</v>
      </c>
      <c r="BI489">
        <f t="shared" si="54"/>
        <v>0</v>
      </c>
      <c r="BJ489" s="95">
        <f t="shared" si="55"/>
        <v>1</v>
      </c>
      <c r="BP489" s="217">
        <f t="shared" si="58"/>
        <v>1166324.7966315064</v>
      </c>
    </row>
    <row r="490" spans="1:68">
      <c r="A490" s="11">
        <v>484</v>
      </c>
      <c r="C490" s="27">
        <v>0.92189429560624259</v>
      </c>
      <c r="D490" s="27">
        <v>7.8105704393757414E-2</v>
      </c>
      <c r="E490" s="27">
        <v>0</v>
      </c>
      <c r="F490" s="27">
        <v>0.85504816926366467</v>
      </c>
      <c r="G490" s="27">
        <v>0.14495183073633533</v>
      </c>
      <c r="H490" s="27">
        <v>0</v>
      </c>
      <c r="I490" s="27">
        <v>0.75790029950106286</v>
      </c>
      <c r="J490" s="27">
        <v>0.24209970049893714</v>
      </c>
      <c r="K490" s="27">
        <v>0</v>
      </c>
      <c r="L490" s="27">
        <v>0.16043876337330193</v>
      </c>
      <c r="M490" s="27">
        <v>0.51751592790563028</v>
      </c>
      <c r="N490" s="27">
        <v>0.32204530872106779</v>
      </c>
      <c r="O490" s="27">
        <v>-10.905942213701401</v>
      </c>
      <c r="P490" s="27">
        <v>3.3488635334957127E-2</v>
      </c>
      <c r="Q490" s="27">
        <v>7.4895291769798054E-5</v>
      </c>
      <c r="R490" s="27">
        <v>1.0512426449487344</v>
      </c>
      <c r="S490" s="154"/>
      <c r="T490">
        <v>0.95221156297985843</v>
      </c>
      <c r="U490">
        <v>2.1397127382874892</v>
      </c>
      <c r="V490">
        <v>2.9399705888202874</v>
      </c>
      <c r="W490">
        <v>1</v>
      </c>
      <c r="Y490" s="2">
        <v>1580.0651697228852</v>
      </c>
      <c r="Z490" s="2">
        <v>3.4371004766752318</v>
      </c>
      <c r="AA490" s="2">
        <v>1854.8795690968902</v>
      </c>
      <c r="AB490" s="2">
        <v>5079.5045320854551</v>
      </c>
      <c r="AC490" s="2">
        <v>1725.832810017786</v>
      </c>
      <c r="AD490" s="2">
        <v>4389.3786464617624</v>
      </c>
      <c r="AE490" s="2">
        <v>518.42975524506471</v>
      </c>
      <c r="AF490" s="2">
        <v>954.85520523539049</v>
      </c>
      <c r="AG490" s="2">
        <v>152.41239657305718</v>
      </c>
      <c r="AH490" s="2">
        <v>344.11800787513152</v>
      </c>
      <c r="AI490" s="2">
        <v>365982.88637891586</v>
      </c>
      <c r="AJ490" s="2">
        <v>340030.57869905047</v>
      </c>
      <c r="AL490" s="27">
        <v>0.9166711361402764</v>
      </c>
      <c r="AM490" s="27">
        <v>0.91777904564114399</v>
      </c>
      <c r="AN490" s="27">
        <v>0.91218514840998632</v>
      </c>
      <c r="AO490" s="27">
        <v>0.85968718004481126</v>
      </c>
      <c r="AP490" s="27">
        <v>0.80324923327848219</v>
      </c>
      <c r="AQ490" s="27">
        <v>0.9166711361402764</v>
      </c>
      <c r="AR490" s="27">
        <v>0.91777904564114399</v>
      </c>
      <c r="AS490" s="27">
        <v>0.91218514840998632</v>
      </c>
      <c r="AT490" s="27">
        <v>0.85968718004481126</v>
      </c>
      <c r="AU490" s="27">
        <v>0.80324923327848219</v>
      </c>
      <c r="AW490" s="1">
        <v>14.242740414328658</v>
      </c>
      <c r="AX490" s="1">
        <v>15.997113932789304</v>
      </c>
      <c r="AY490" s="2">
        <v>1462038.5536100119</v>
      </c>
      <c r="AZ490" s="1">
        <v>15.761424536129113</v>
      </c>
      <c r="BA490" s="1">
        <v>17.536235578013525</v>
      </c>
      <c r="BB490" s="2">
        <v>1229383.0899344273</v>
      </c>
      <c r="BC490" s="2">
        <f t="shared" si="56"/>
        <v>-232655.46367558464</v>
      </c>
      <c r="BD490" s="292">
        <f t="shared" si="57"/>
        <v>1.5186841218004545</v>
      </c>
      <c r="BF490" s="170">
        <f t="shared" si="52"/>
        <v>816799.91268257331</v>
      </c>
      <c r="BG490" s="2">
        <f t="shared" si="53"/>
        <v>1292444.8358462309</v>
      </c>
      <c r="BI490">
        <f t="shared" si="54"/>
        <v>0</v>
      </c>
      <c r="BJ490" s="95">
        <f t="shared" si="55"/>
        <v>1</v>
      </c>
      <c r="BP490" s="217">
        <f t="shared" si="58"/>
        <v>1292444.8358462309</v>
      </c>
    </row>
    <row r="491" spans="1:68">
      <c r="A491" s="11">
        <v>485</v>
      </c>
      <c r="C491" s="27">
        <v>0.92278717532159238</v>
      </c>
      <c r="D491" s="27">
        <v>7.7212824678407621E-2</v>
      </c>
      <c r="E491" s="27">
        <v>0</v>
      </c>
      <c r="F491" s="27">
        <v>0.85502700214713379</v>
      </c>
      <c r="G491" s="27">
        <v>0.14497299785286621</v>
      </c>
      <c r="H491" s="27">
        <v>0</v>
      </c>
      <c r="I491" s="27">
        <v>0.73859995034544457</v>
      </c>
      <c r="J491" s="27">
        <v>0.26140004965455543</v>
      </c>
      <c r="K491" s="27">
        <v>0</v>
      </c>
      <c r="L491" s="27">
        <v>0.13679075223674453</v>
      </c>
      <c r="M491" s="27">
        <v>0.48170201680757063</v>
      </c>
      <c r="N491" s="27">
        <v>0.38150723095568484</v>
      </c>
      <c r="O491" s="27">
        <v>-11.495204473782371</v>
      </c>
      <c r="P491" s="27">
        <v>3.5289186665977051E-2</v>
      </c>
      <c r="Q491" s="27">
        <v>4.4810922887356068E-5</v>
      </c>
      <c r="R491" s="27">
        <v>1.1092777006855861</v>
      </c>
      <c r="S491" s="154"/>
      <c r="T491">
        <v>1.0444277188935895</v>
      </c>
      <c r="U491">
        <v>2.3132075491889639</v>
      </c>
      <c r="V491">
        <v>3.2618491490926615</v>
      </c>
      <c r="W491">
        <v>1</v>
      </c>
      <c r="Y491" s="2">
        <v>48.91974874975466</v>
      </c>
      <c r="Z491" s="2">
        <v>174.82358255466775</v>
      </c>
      <c r="AA491" s="2">
        <v>1791.1949380648782</v>
      </c>
      <c r="AB491" s="2">
        <v>301.19673528971708</v>
      </c>
      <c r="AC491" s="2">
        <v>727.77945236802702</v>
      </c>
      <c r="AD491" s="2">
        <v>4521.8275870504831</v>
      </c>
      <c r="AE491" s="2">
        <v>497.44719123492791</v>
      </c>
      <c r="AF491" s="2">
        <v>1252.01041596865</v>
      </c>
      <c r="AG491" s="2">
        <v>81.084014847099027</v>
      </c>
      <c r="AH491" s="2">
        <v>493.85705988597783</v>
      </c>
      <c r="AI491" s="2">
        <v>558280.81545077672</v>
      </c>
      <c r="AJ491" s="2">
        <v>520335.02013331692</v>
      </c>
      <c r="AL491" s="27">
        <v>0.91402491650929951</v>
      </c>
      <c r="AM491" s="27">
        <v>0.9160967505501223</v>
      </c>
      <c r="AN491" s="27">
        <v>0.91731788458470653</v>
      </c>
      <c r="AO491" s="27">
        <v>0.84871705205314585</v>
      </c>
      <c r="AP491" s="27">
        <v>0.78672076871829977</v>
      </c>
      <c r="AQ491" s="27">
        <v>0.91402491650929951</v>
      </c>
      <c r="AR491" s="27">
        <v>0.9160967505501223</v>
      </c>
      <c r="AS491" s="27">
        <v>0.91731788458470653</v>
      </c>
      <c r="AT491" s="27">
        <v>0.84871705205314585</v>
      </c>
      <c r="AU491" s="27">
        <v>0.78672076871829977</v>
      </c>
      <c r="AW491" s="1">
        <v>13.459084370141747</v>
      </c>
      <c r="AX491" s="1">
        <v>15.212410373076432</v>
      </c>
      <c r="AY491" s="2">
        <v>2063732.8487065807</v>
      </c>
      <c r="AZ491" s="1">
        <v>15.420472077004899</v>
      </c>
      <c r="BA491" s="1">
        <v>17.201568175467418</v>
      </c>
      <c r="BB491" s="2">
        <v>1539781.3116911033</v>
      </c>
      <c r="BC491" s="2">
        <f t="shared" si="56"/>
        <v>-523951.53701547743</v>
      </c>
      <c r="BD491" s="292">
        <f t="shared" si="57"/>
        <v>1.9613877068631513</v>
      </c>
      <c r="BF491" s="170">
        <f t="shared" si="52"/>
        <v>89720.650516098831</v>
      </c>
      <c r="BG491" s="2">
        <f t="shared" si="53"/>
        <v>927494.22062968067</v>
      </c>
      <c r="BI491">
        <f t="shared" si="54"/>
        <v>0</v>
      </c>
      <c r="BJ491" s="95">
        <f t="shared" si="55"/>
        <v>1</v>
      </c>
      <c r="BP491" s="217">
        <f t="shared" si="58"/>
        <v>927494.22062968067</v>
      </c>
    </row>
    <row r="492" spans="1:68">
      <c r="A492" s="11">
        <v>486</v>
      </c>
      <c r="C492" s="27">
        <v>0.92297517193573853</v>
      </c>
      <c r="D492" s="27">
        <v>7.7024828064261475E-2</v>
      </c>
      <c r="E492" s="27">
        <v>0</v>
      </c>
      <c r="F492" s="27">
        <v>0.85152144051712775</v>
      </c>
      <c r="G492" s="27">
        <v>0.14847855948287225</v>
      </c>
      <c r="H492" s="27">
        <v>0</v>
      </c>
      <c r="I492" s="27">
        <v>0.74960917529892701</v>
      </c>
      <c r="J492" s="27">
        <v>0.25039082470107299</v>
      </c>
      <c r="K492" s="27">
        <v>0</v>
      </c>
      <c r="L492" s="27">
        <v>0.14599494657597889</v>
      </c>
      <c r="M492" s="27">
        <v>0.48973333037742495</v>
      </c>
      <c r="N492" s="27">
        <v>0.36427172304659616</v>
      </c>
      <c r="O492" s="27">
        <v>-11.221583262140394</v>
      </c>
      <c r="P492" s="27">
        <v>3.6282803023328189E-2</v>
      </c>
      <c r="Q492" s="27">
        <v>6.1424269316896136E-5</v>
      </c>
      <c r="R492" s="27">
        <v>1.072677197244565</v>
      </c>
      <c r="S492" s="154"/>
      <c r="T492">
        <v>1.0034242718806197</v>
      </c>
      <c r="U492">
        <v>2.2735671715727728</v>
      </c>
      <c r="V492">
        <v>3.0243155995686939</v>
      </c>
      <c r="W492">
        <v>1</v>
      </c>
      <c r="Y492" s="2">
        <v>1917.1230206904572</v>
      </c>
      <c r="Z492" s="2">
        <v>315.33581862926548</v>
      </c>
      <c r="AA492" s="2">
        <v>1345.2797594321357</v>
      </c>
      <c r="AB492" s="2">
        <v>481.29754648250906</v>
      </c>
      <c r="AC492" s="2">
        <v>375.46525454776457</v>
      </c>
      <c r="AD492" s="2">
        <v>3015.345691458569</v>
      </c>
      <c r="AE492" s="2">
        <v>593.79035445908755</v>
      </c>
      <c r="AF492" s="2">
        <v>1022.8538099859204</v>
      </c>
      <c r="AG492" s="2">
        <v>93.972285856415567</v>
      </c>
      <c r="AH492" s="2">
        <v>263.93023606153884</v>
      </c>
      <c r="AI492" s="2">
        <v>460752.93883396604</v>
      </c>
      <c r="AJ492" s="2">
        <v>421275.40800728102</v>
      </c>
      <c r="AL492" s="27">
        <v>0.91330515474492291</v>
      </c>
      <c r="AM492" s="27">
        <v>0.91505763653242334</v>
      </c>
      <c r="AN492" s="27">
        <v>0.9095803226367285</v>
      </c>
      <c r="AO492" s="27">
        <v>0.85275936440147382</v>
      </c>
      <c r="AP492" s="27">
        <v>0.79914365447496083</v>
      </c>
      <c r="AQ492" s="27">
        <v>0.91330515474492291</v>
      </c>
      <c r="AR492" s="27">
        <v>0.91505763653242334</v>
      </c>
      <c r="AS492" s="27">
        <v>0.9095803226367285</v>
      </c>
      <c r="AT492" s="27">
        <v>0.85275936440147382</v>
      </c>
      <c r="AU492" s="27">
        <v>0.79914365447496083</v>
      </c>
      <c r="AW492" s="1">
        <v>13.764303249329659</v>
      </c>
      <c r="AX492" s="1">
        <v>15.520427215189613</v>
      </c>
      <c r="AY492" s="2">
        <v>1724162.8709348843</v>
      </c>
      <c r="AZ492" s="1">
        <v>15.516239725950808</v>
      </c>
      <c r="BA492" s="1">
        <v>17.311968473901143</v>
      </c>
      <c r="BB492" s="2">
        <v>1283904.3955555821</v>
      </c>
      <c r="BC492" s="2">
        <f t="shared" si="56"/>
        <v>-440258.47537930217</v>
      </c>
      <c r="BD492" s="292">
        <f t="shared" si="57"/>
        <v>1.7519364766211485</v>
      </c>
      <c r="BF492" s="170">
        <f t="shared" si="52"/>
        <v>478125.64895786135</v>
      </c>
      <c r="BG492" s="2">
        <f t="shared" si="53"/>
        <v>1198693.9605965472</v>
      </c>
      <c r="BI492">
        <f t="shared" si="54"/>
        <v>0</v>
      </c>
      <c r="BJ492" s="95">
        <f t="shared" si="55"/>
        <v>1</v>
      </c>
      <c r="BP492" s="217">
        <f t="shared" si="58"/>
        <v>1198693.9605965472</v>
      </c>
    </row>
    <row r="493" spans="1:68">
      <c r="A493" s="11">
        <v>487</v>
      </c>
      <c r="C493" s="27">
        <v>0.92525320380134835</v>
      </c>
      <c r="D493" s="27">
        <v>7.4746796198651655E-2</v>
      </c>
      <c r="E493" s="27">
        <v>0</v>
      </c>
      <c r="F493" s="27">
        <v>0.86017541156634814</v>
      </c>
      <c r="G493" s="27">
        <v>0.13982458843365186</v>
      </c>
      <c r="H493" s="27">
        <v>0</v>
      </c>
      <c r="I493" s="27">
        <v>0.74854421917453196</v>
      </c>
      <c r="J493" s="27">
        <v>0.25145578082546804</v>
      </c>
      <c r="K493" s="27">
        <v>0</v>
      </c>
      <c r="L493" s="27">
        <v>0.16665640839158724</v>
      </c>
      <c r="M493" s="27">
        <v>0.48735015996448688</v>
      </c>
      <c r="N493" s="27">
        <v>0.34599343164392582</v>
      </c>
      <c r="O493" s="27">
        <v>-11.148801768416025</v>
      </c>
      <c r="P493" s="27">
        <v>3.4848675666221143E-2</v>
      </c>
      <c r="Q493" s="27">
        <v>6.219988603629428E-5</v>
      </c>
      <c r="R493" s="27">
        <v>1.0662633168202953</v>
      </c>
      <c r="S493" s="154"/>
      <c r="T493">
        <v>0.89407478723122646</v>
      </c>
      <c r="U493">
        <v>2.2808665788602056</v>
      </c>
      <c r="V493">
        <v>3.1099207104119095</v>
      </c>
      <c r="W493">
        <v>1</v>
      </c>
      <c r="Y493" s="2">
        <v>882.46050336900987</v>
      </c>
      <c r="Z493" s="2">
        <v>2111.2137432164072</v>
      </c>
      <c r="AA493" s="2">
        <v>1168.6147274281857</v>
      </c>
      <c r="AB493" s="2">
        <v>430.4533254395779</v>
      </c>
      <c r="AC493" s="2">
        <v>250.88864619268875</v>
      </c>
      <c r="AD493" s="2">
        <v>22.49577360656146</v>
      </c>
      <c r="AE493" s="2">
        <v>567.61412136611386</v>
      </c>
      <c r="AF493" s="2">
        <v>1031.6916030416</v>
      </c>
      <c r="AG493" s="2">
        <v>147.09791290391183</v>
      </c>
      <c r="AH493" s="2">
        <v>169.8778365250763</v>
      </c>
      <c r="AI493" s="2">
        <v>389365.70490125893</v>
      </c>
      <c r="AJ493" s="2">
        <v>364561.76862472657</v>
      </c>
      <c r="AL493" s="27">
        <v>0.91793467614228552</v>
      </c>
      <c r="AM493" s="27">
        <v>0.91317819423879221</v>
      </c>
      <c r="AN493" s="27">
        <v>0.90898577348691667</v>
      </c>
      <c r="AO493" s="27">
        <v>0.84535770511684749</v>
      </c>
      <c r="AP493" s="27">
        <v>0.71873346011043571</v>
      </c>
      <c r="AQ493" s="27">
        <v>0.91793467614228552</v>
      </c>
      <c r="AR493" s="27">
        <v>0.91317819423879221</v>
      </c>
      <c r="AS493" s="27">
        <v>0.90898577348691667</v>
      </c>
      <c r="AT493" s="27">
        <v>0.84535770511684749</v>
      </c>
      <c r="AU493" s="27">
        <v>0.71873346011043571</v>
      </c>
      <c r="AW493" s="1">
        <v>14.095779857721782</v>
      </c>
      <c r="AX493" s="1">
        <v>16.097089897422237</v>
      </c>
      <c r="AY493" s="2">
        <v>1447199.8498343022</v>
      </c>
      <c r="AZ493" s="1">
        <v>15.571139168367798</v>
      </c>
      <c r="BA493" s="1">
        <v>17.540568954082797</v>
      </c>
      <c r="BB493" s="2">
        <v>1070044.6556773931</v>
      </c>
      <c r="BC493" s="2">
        <f t="shared" si="56"/>
        <v>-377155.19415690913</v>
      </c>
      <c r="BD493" s="292">
        <f t="shared" si="57"/>
        <v>1.4753593106460166</v>
      </c>
      <c r="BF493" s="170">
        <f t="shared" si="52"/>
        <v>808124.92740118294</v>
      </c>
      <c r="BG493" s="2">
        <f t="shared" si="53"/>
        <v>1421337.6112614549</v>
      </c>
      <c r="BI493">
        <f t="shared" si="54"/>
        <v>0</v>
      </c>
      <c r="BJ493" s="95">
        <f t="shared" si="55"/>
        <v>1</v>
      </c>
      <c r="BP493" s="217">
        <f t="shared" si="58"/>
        <v>1421337.6112614549</v>
      </c>
    </row>
    <row r="494" spans="1:68">
      <c r="A494" s="11">
        <v>488</v>
      </c>
      <c r="C494" s="27">
        <v>0.92196438429960847</v>
      </c>
      <c r="D494" s="27">
        <v>7.8035615700391525E-2</v>
      </c>
      <c r="E494" s="27">
        <v>0</v>
      </c>
      <c r="F494" s="27">
        <v>0.85979137227708113</v>
      </c>
      <c r="G494" s="27">
        <v>0.14020862772291881</v>
      </c>
      <c r="H494" s="27">
        <v>0</v>
      </c>
      <c r="I494" s="27">
        <v>0.75557296599451829</v>
      </c>
      <c r="J494" s="27">
        <v>0.24442703400548174</v>
      </c>
      <c r="K494" s="27">
        <v>0</v>
      </c>
      <c r="L494" s="27">
        <v>0.13659054528909598</v>
      </c>
      <c r="M494" s="27">
        <v>0.51387861830923742</v>
      </c>
      <c r="N494" s="27">
        <v>0.3495308364016666</v>
      </c>
      <c r="O494" s="27">
        <v>-11.173682879537756</v>
      </c>
      <c r="P494" s="27">
        <v>3.6610183419542357E-2</v>
      </c>
      <c r="Q494" s="27">
        <v>6.5330263489137125E-5</v>
      </c>
      <c r="R494" s="27">
        <v>1.0572690636207656</v>
      </c>
      <c r="S494" s="154"/>
      <c r="T494">
        <v>1.0086694241391472</v>
      </c>
      <c r="U494">
        <v>2.2194777927764031</v>
      </c>
      <c r="V494">
        <v>2.8195574554695941</v>
      </c>
      <c r="W494">
        <v>1</v>
      </c>
      <c r="Y494" s="2">
        <v>2.2974315083310706</v>
      </c>
      <c r="Z494" s="2">
        <v>3263.4576758071421</v>
      </c>
      <c r="AA494" s="2">
        <v>1482.2446348103763</v>
      </c>
      <c r="AB494" s="2">
        <v>4867.468372860345</v>
      </c>
      <c r="AC494" s="2">
        <v>614.12361014242219</v>
      </c>
      <c r="AD494" s="2">
        <v>6738.1795102991218</v>
      </c>
      <c r="AE494" s="2">
        <v>605.53432451169135</v>
      </c>
      <c r="AF494" s="2">
        <v>1115.6300241263996</v>
      </c>
      <c r="AG494" s="2">
        <v>205.86203261131385</v>
      </c>
      <c r="AH494" s="2">
        <v>631.48203488435115</v>
      </c>
      <c r="AI494" s="2">
        <v>596392.78148130304</v>
      </c>
      <c r="AJ494" s="2">
        <v>560957.06607141322</v>
      </c>
      <c r="AL494" s="27">
        <v>0.91356147922415909</v>
      </c>
      <c r="AM494" s="27">
        <v>0.9129830324738627</v>
      </c>
      <c r="AN494" s="27">
        <v>0.91472436069283058</v>
      </c>
      <c r="AO494" s="27">
        <v>0.81199010590570297</v>
      </c>
      <c r="AP494" s="27">
        <v>0.61461706917714587</v>
      </c>
      <c r="AQ494" s="27">
        <v>0.91356147922415909</v>
      </c>
      <c r="AR494" s="27">
        <v>0.9129830324738627</v>
      </c>
      <c r="AS494" s="27">
        <v>0.91472436069283058</v>
      </c>
      <c r="AT494" s="27">
        <v>0.81199010590570297</v>
      </c>
      <c r="AU494" s="27">
        <v>0.61461706917714587</v>
      </c>
      <c r="AW494" s="1">
        <v>13.357627170920621</v>
      </c>
      <c r="AX494" s="1">
        <v>15.81979524249736</v>
      </c>
      <c r="AY494" s="2">
        <v>2437324.4898269074</v>
      </c>
      <c r="AZ494" s="1">
        <v>15.249268404616497</v>
      </c>
      <c r="BA494" s="1">
        <v>17.540403674126104</v>
      </c>
      <c r="BB494" s="2">
        <v>1903251.332673416</v>
      </c>
      <c r="BC494" s="2">
        <f t="shared" si="56"/>
        <v>-534073.1571534914</v>
      </c>
      <c r="BD494" s="292">
        <f t="shared" si="57"/>
        <v>1.8916412336958768</v>
      </c>
      <c r="BF494" s="170">
        <f t="shared" si="52"/>
        <v>-300104.1424796083</v>
      </c>
      <c r="BG494" s="2">
        <f t="shared" si="53"/>
        <v>536631.61206522351</v>
      </c>
      <c r="BI494">
        <f t="shared" si="54"/>
        <v>0</v>
      </c>
      <c r="BJ494" s="95">
        <f t="shared" si="55"/>
        <v>1</v>
      </c>
      <c r="BP494" s="217">
        <f t="shared" si="58"/>
        <v>536631.61206522351</v>
      </c>
    </row>
    <row r="495" spans="1:68">
      <c r="A495" s="11">
        <v>489</v>
      </c>
      <c r="C495" s="27">
        <v>0.92428666469732867</v>
      </c>
      <c r="D495" s="27">
        <v>7.5713335302671297E-2</v>
      </c>
      <c r="E495" s="27">
        <v>0</v>
      </c>
      <c r="F495" s="27">
        <v>0.86482402346894649</v>
      </c>
      <c r="G495" s="27">
        <v>0.13517597653105351</v>
      </c>
      <c r="H495" s="27">
        <v>0</v>
      </c>
      <c r="I495" s="27">
        <v>0.75334017978571099</v>
      </c>
      <c r="J495" s="27">
        <v>0.24665982021428898</v>
      </c>
      <c r="K495" s="27">
        <v>0</v>
      </c>
      <c r="L495" s="27">
        <v>8.0754340648514611E-2</v>
      </c>
      <c r="M495" s="27">
        <v>0.52989587659962079</v>
      </c>
      <c r="N495" s="27">
        <v>0.3893497827518646</v>
      </c>
      <c r="O495" s="27">
        <v>-11.442843990567388</v>
      </c>
      <c r="P495" s="27">
        <v>3.6784217372216967E-2</v>
      </c>
      <c r="Q495" s="27">
        <v>5.0279814633465507E-5</v>
      </c>
      <c r="R495" s="27">
        <v>1.097324487643319</v>
      </c>
      <c r="S495" s="154"/>
      <c r="T495">
        <v>1.0830672970346809</v>
      </c>
      <c r="U495">
        <v>2.2325290842972394</v>
      </c>
      <c r="V495">
        <v>2.9818033871615284</v>
      </c>
      <c r="W495">
        <v>1</v>
      </c>
      <c r="Y495" s="2">
        <v>547.46505186604224</v>
      </c>
      <c r="Z495" s="2">
        <v>761.80325623657495</v>
      </c>
      <c r="AA495" s="2">
        <v>616.56722951091945</v>
      </c>
      <c r="AB495" s="2">
        <v>3448.0947870408172</v>
      </c>
      <c r="AC495" s="2">
        <v>206.58007508234246</v>
      </c>
      <c r="AD495" s="2">
        <v>292.70058546972513</v>
      </c>
      <c r="AE495" s="2">
        <v>591.90443879869645</v>
      </c>
      <c r="AF495" s="2">
        <v>1159.5473230349817</v>
      </c>
      <c r="AG495" s="2">
        <v>99.393577343866767</v>
      </c>
      <c r="AH495" s="2">
        <v>557.58240151691166</v>
      </c>
      <c r="AI495" s="2">
        <v>412044.11010179529</v>
      </c>
      <c r="AJ495" s="2">
        <v>388268.56612575764</v>
      </c>
      <c r="AL495" s="27">
        <v>0.91688815714358585</v>
      </c>
      <c r="AM495" s="27">
        <v>0.91692744244763635</v>
      </c>
      <c r="AN495" s="27">
        <v>0.90656784367294962</v>
      </c>
      <c r="AO495" s="27">
        <v>0.84979356812433415</v>
      </c>
      <c r="AP495" s="27">
        <v>0.79146283187910849</v>
      </c>
      <c r="AQ495" s="27">
        <v>0.91688815714358585</v>
      </c>
      <c r="AR495" s="27">
        <v>0.91692744244763635</v>
      </c>
      <c r="AS495" s="27">
        <v>0.90656784367294962</v>
      </c>
      <c r="AT495" s="27">
        <v>0.84979356812433415</v>
      </c>
      <c r="AU495" s="27">
        <v>0.79146283187910849</v>
      </c>
      <c r="AW495" s="1">
        <v>13.684419471645153</v>
      </c>
      <c r="AX495" s="1">
        <v>15.425298788426053</v>
      </c>
      <c r="AY495" s="2">
        <v>1579380.3927586121</v>
      </c>
      <c r="AZ495" s="1">
        <v>15.673924369564428</v>
      </c>
      <c r="BA495" s="1">
        <v>17.449019626830896</v>
      </c>
      <c r="BB495" s="2">
        <v>1136262.5520315312</v>
      </c>
      <c r="BC495" s="2">
        <f t="shared" si="56"/>
        <v>-443117.84072708082</v>
      </c>
      <c r="BD495" s="292">
        <f t="shared" si="57"/>
        <v>1.9895048979192751</v>
      </c>
      <c r="BF495" s="170">
        <f t="shared" si="52"/>
        <v>610126.72270461265</v>
      </c>
      <c r="BG495" s="2">
        <f t="shared" si="53"/>
        <v>1371565.3470987773</v>
      </c>
      <c r="BI495">
        <f t="shared" si="54"/>
        <v>0</v>
      </c>
      <c r="BJ495" s="95">
        <f t="shared" si="55"/>
        <v>1</v>
      </c>
      <c r="BP495" s="217">
        <f t="shared" si="58"/>
        <v>1371565.3470987773</v>
      </c>
    </row>
    <row r="496" spans="1:68">
      <c r="A496" s="11">
        <v>490</v>
      </c>
      <c r="C496" s="27">
        <v>0.9226151497604228</v>
      </c>
      <c r="D496" s="27">
        <v>7.7384850239577196E-2</v>
      </c>
      <c r="E496" s="27">
        <v>0</v>
      </c>
      <c r="F496" s="27">
        <v>0.85876081520476399</v>
      </c>
      <c r="G496" s="27">
        <v>0.14123918479523603</v>
      </c>
      <c r="H496" s="27">
        <v>0</v>
      </c>
      <c r="I496" s="27">
        <v>0.75024898690384167</v>
      </c>
      <c r="J496" s="27">
        <v>0.2497510130961583</v>
      </c>
      <c r="K496" s="27">
        <v>0</v>
      </c>
      <c r="L496" s="27">
        <v>6.3392027431927511E-2</v>
      </c>
      <c r="M496" s="27">
        <v>0.55708685802219826</v>
      </c>
      <c r="N496" s="27">
        <v>0.37952111454587423</v>
      </c>
      <c r="O496" s="27">
        <v>-10.528836022259465</v>
      </c>
      <c r="P496" s="27">
        <v>3.5509105260446608E-2</v>
      </c>
      <c r="Q496" s="27">
        <v>1.188731498175095E-4</v>
      </c>
      <c r="R496" s="27">
        <v>0.9902830439158905</v>
      </c>
      <c r="S496" s="154"/>
      <c r="T496">
        <v>0.96457337970700985</v>
      </c>
      <c r="U496">
        <v>2.2046564366389534</v>
      </c>
      <c r="V496">
        <v>3.0154921644949426</v>
      </c>
      <c r="W496">
        <v>1</v>
      </c>
      <c r="Y496" s="2">
        <v>709.87625640325871</v>
      </c>
      <c r="Z496" s="2">
        <v>1931.5633663104013</v>
      </c>
      <c r="AA496" s="2">
        <v>497.42365500573533</v>
      </c>
      <c r="AB496" s="2">
        <v>3031.761789925863</v>
      </c>
      <c r="AC496" s="2">
        <v>3389.795296178761</v>
      </c>
      <c r="AD496" s="2">
        <v>745.21273205916998</v>
      </c>
      <c r="AE496" s="2">
        <v>498.25751394881831</v>
      </c>
      <c r="AF496" s="2">
        <v>1079.2478049655567</v>
      </c>
      <c r="AG496" s="2">
        <v>92.628780468157373</v>
      </c>
      <c r="AH496" s="2">
        <v>553.67465800318882</v>
      </c>
      <c r="AI496" s="2">
        <v>492561.69351830863</v>
      </c>
      <c r="AJ496" s="2">
        <v>455941.69676445774</v>
      </c>
      <c r="AL496" s="27">
        <v>0.91073035362524302</v>
      </c>
      <c r="AM496" s="27">
        <v>0.91518512765714677</v>
      </c>
      <c r="AN496" s="27">
        <v>0.90369018633601461</v>
      </c>
      <c r="AO496" s="27">
        <v>0.80757695472400381</v>
      </c>
      <c r="AP496" s="27">
        <v>0.67129487154685386</v>
      </c>
      <c r="AQ496" s="27">
        <v>0.91073035362524302</v>
      </c>
      <c r="AR496" s="27">
        <v>0.91518512765714677</v>
      </c>
      <c r="AS496" s="27">
        <v>0.90369018633601461</v>
      </c>
      <c r="AT496" s="27">
        <v>0.80757695472400381</v>
      </c>
      <c r="AU496" s="27">
        <v>0.67129487154685386</v>
      </c>
      <c r="AW496" s="1">
        <v>13.640012061326139</v>
      </c>
      <c r="AX496" s="1">
        <v>15.94782067643399</v>
      </c>
      <c r="AY496" s="2">
        <v>2030602.5097368967</v>
      </c>
      <c r="AZ496" s="1">
        <v>15.343190201656421</v>
      </c>
      <c r="BA496" s="1">
        <v>17.549689186304533</v>
      </c>
      <c r="BB496" s="2">
        <v>1485713.3644805665</v>
      </c>
      <c r="BC496" s="2">
        <f t="shared" si="56"/>
        <v>-544889.14525633026</v>
      </c>
      <c r="BD496" s="292">
        <f t="shared" si="57"/>
        <v>1.7031781403302819</v>
      </c>
      <c r="BF496" s="170">
        <f t="shared" si="52"/>
        <v>151799.42007528548</v>
      </c>
      <c r="BG496" s="2">
        <f t="shared" si="53"/>
        <v>969197.06778446096</v>
      </c>
      <c r="BI496">
        <f t="shared" si="54"/>
        <v>0</v>
      </c>
      <c r="BJ496" s="95">
        <f t="shared" si="55"/>
        <v>1</v>
      </c>
      <c r="BP496" s="217">
        <f t="shared" si="58"/>
        <v>969197.06778446096</v>
      </c>
    </row>
    <row r="497" spans="1:68">
      <c r="A497" s="11">
        <v>491</v>
      </c>
      <c r="C497" s="27">
        <v>0.92174353763369443</v>
      </c>
      <c r="D497" s="27">
        <v>7.8256462366305568E-2</v>
      </c>
      <c r="E497" s="27">
        <v>0</v>
      </c>
      <c r="F497" s="27">
        <v>0.85756500625836052</v>
      </c>
      <c r="G497" s="27">
        <v>0.14243499374163948</v>
      </c>
      <c r="H497" s="27">
        <v>0</v>
      </c>
      <c r="I497" s="27">
        <v>0.75006618070622055</v>
      </c>
      <c r="J497" s="27">
        <v>0.2499338192937795</v>
      </c>
      <c r="K497" s="27">
        <v>0</v>
      </c>
      <c r="L497" s="27">
        <v>0.12059699696160275</v>
      </c>
      <c r="M497" s="27">
        <v>0.47868093257294975</v>
      </c>
      <c r="N497" s="27">
        <v>0.4007220704654475</v>
      </c>
      <c r="O497" s="27">
        <v>-11.091008407826134</v>
      </c>
      <c r="P497" s="27">
        <v>3.3838528036560761E-2</v>
      </c>
      <c r="Q497" s="27">
        <v>6.3163103650413005E-5</v>
      </c>
      <c r="R497" s="27">
        <v>1.0675865903990462</v>
      </c>
      <c r="S497" s="154"/>
      <c r="T497">
        <v>0.9926282610936028</v>
      </c>
      <c r="U497">
        <v>2.2172344329359701</v>
      </c>
      <c r="V497">
        <v>2.8550753980374575</v>
      </c>
      <c r="W497">
        <v>1</v>
      </c>
      <c r="Y497" s="2">
        <v>3.6794972967453252</v>
      </c>
      <c r="Z497" s="2">
        <v>8217.8436957521499</v>
      </c>
      <c r="AA497" s="2">
        <v>1710.382996026869</v>
      </c>
      <c r="AB497" s="2">
        <v>2706.1874156591325</v>
      </c>
      <c r="AC497" s="2">
        <v>1843.1367739683417</v>
      </c>
      <c r="AD497" s="2">
        <v>782.18374823372471</v>
      </c>
      <c r="AE497" s="2">
        <v>597.68045347441046</v>
      </c>
      <c r="AF497" s="2">
        <v>810.79038385032891</v>
      </c>
      <c r="AG497" s="2">
        <v>142.73988557176276</v>
      </c>
      <c r="AH497" s="2">
        <v>448.26881606182354</v>
      </c>
      <c r="AI497" s="2">
        <v>471520.3822787017</v>
      </c>
      <c r="AJ497" s="2">
        <v>441019.30024210055</v>
      </c>
      <c r="AL497" s="27">
        <v>0.9133479195531008</v>
      </c>
      <c r="AM497" s="27">
        <v>0.91676279558793206</v>
      </c>
      <c r="AN497" s="27">
        <v>0.909177480974247</v>
      </c>
      <c r="AO497" s="27">
        <v>0.79638404498694826</v>
      </c>
      <c r="AP497" s="27">
        <v>0.70854306722000926</v>
      </c>
      <c r="AQ497" s="27">
        <v>0.9133479195531008</v>
      </c>
      <c r="AR497" s="27">
        <v>0.91676279558793206</v>
      </c>
      <c r="AS497" s="27">
        <v>0.909177480974247</v>
      </c>
      <c r="AT497" s="27">
        <v>0.79638404498694826</v>
      </c>
      <c r="AU497" s="27">
        <v>0.70854306722000926</v>
      </c>
      <c r="AW497" s="1">
        <v>13.410681749879192</v>
      </c>
      <c r="AX497" s="1">
        <v>15.450462882660679</v>
      </c>
      <c r="AY497" s="2">
        <v>1811107.9867608929</v>
      </c>
      <c r="AZ497" s="1">
        <v>15.23453560877318</v>
      </c>
      <c r="BA497" s="1">
        <v>17.230105904815801</v>
      </c>
      <c r="BB497" s="2">
        <v>1285530.2544912398</v>
      </c>
      <c r="BC497" s="2">
        <f t="shared" si="56"/>
        <v>-525577.73226965312</v>
      </c>
      <c r="BD497" s="292">
        <f t="shared" si="57"/>
        <v>1.8238538588939885</v>
      </c>
      <c r="BF497" s="170">
        <f t="shared" si="52"/>
        <v>334601.09321977803</v>
      </c>
      <c r="BG497" s="2">
        <f t="shared" si="53"/>
        <v>1151995.4429124692</v>
      </c>
      <c r="BI497">
        <f t="shared" si="54"/>
        <v>0</v>
      </c>
      <c r="BJ497" s="95">
        <f t="shared" si="55"/>
        <v>1</v>
      </c>
      <c r="BP497" s="217">
        <f t="shared" si="58"/>
        <v>1151995.4429124692</v>
      </c>
    </row>
    <row r="498" spans="1:68">
      <c r="A498" s="11">
        <v>492</v>
      </c>
      <c r="C498" s="27">
        <v>0.92267161349344617</v>
      </c>
      <c r="D498" s="27">
        <v>7.7328386506553826E-2</v>
      </c>
      <c r="E498" s="27">
        <v>0</v>
      </c>
      <c r="F498" s="27">
        <v>0.8517541254742349</v>
      </c>
      <c r="G498" s="27">
        <v>0.1482458745257651</v>
      </c>
      <c r="H498" s="27">
        <v>0</v>
      </c>
      <c r="I498" s="27">
        <v>0.76193974363033767</v>
      </c>
      <c r="J498" s="27">
        <v>0.23806025636966227</v>
      </c>
      <c r="K498" s="27">
        <v>0</v>
      </c>
      <c r="L498" s="27">
        <v>0.10499361612384517</v>
      </c>
      <c r="M498" s="27">
        <v>0.51906571007535851</v>
      </c>
      <c r="N498" s="27">
        <v>0.37594067380079632</v>
      </c>
      <c r="O498" s="27">
        <v>-10.67133245676451</v>
      </c>
      <c r="P498" s="27">
        <v>3.3209151120476996E-2</v>
      </c>
      <c r="Q498" s="27">
        <v>9.3593641479043315E-5</v>
      </c>
      <c r="R498" s="27">
        <v>1.0232525851445253</v>
      </c>
      <c r="S498" s="154"/>
      <c r="T498">
        <v>0.92320927649511453</v>
      </c>
      <c r="U498">
        <v>2.1792171678021002</v>
      </c>
      <c r="V498">
        <v>3.1675395697996014</v>
      </c>
      <c r="W498">
        <v>1</v>
      </c>
      <c r="Y498" s="2">
        <v>453.97133406028422</v>
      </c>
      <c r="Z498" s="2">
        <v>9277.7598814213761</v>
      </c>
      <c r="AA498" s="2">
        <v>2094.6775785879249</v>
      </c>
      <c r="AB498" s="2">
        <v>14500.842944351272</v>
      </c>
      <c r="AC498" s="2">
        <v>957.90015152611682</v>
      </c>
      <c r="AD498" s="2">
        <v>907.97569698628661</v>
      </c>
      <c r="AE498" s="2">
        <v>500.35097944207348</v>
      </c>
      <c r="AF498" s="2">
        <v>1263.969226851061</v>
      </c>
      <c r="AG498" s="2">
        <v>167.28705730415308</v>
      </c>
      <c r="AH498" s="2">
        <v>243.70595970321602</v>
      </c>
      <c r="AI498" s="2">
        <v>443409.72029348026</v>
      </c>
      <c r="AJ498" s="2">
        <v>407235.45975606126</v>
      </c>
      <c r="AL498" s="27">
        <v>0.92022066047601392</v>
      </c>
      <c r="AM498" s="27">
        <v>0.91950992584914881</v>
      </c>
      <c r="AN498" s="27">
        <v>0.9062781388310176</v>
      </c>
      <c r="AO498" s="27">
        <v>0.812136069627863</v>
      </c>
      <c r="AP498" s="27">
        <v>0.63493643152950918</v>
      </c>
      <c r="AQ498" s="27">
        <v>0.92022066047601392</v>
      </c>
      <c r="AR498" s="27">
        <v>0.91950992584914881</v>
      </c>
      <c r="AS498" s="27">
        <v>0.9062781388310176</v>
      </c>
      <c r="AT498" s="27">
        <v>0.812136069627863</v>
      </c>
      <c r="AU498" s="27">
        <v>0.63493643152950918</v>
      </c>
      <c r="AW498" s="1">
        <v>13.613085806033071</v>
      </c>
      <c r="AX498" s="1">
        <v>15.873675311388393</v>
      </c>
      <c r="AY498" s="2">
        <v>1766053.8717912009</v>
      </c>
      <c r="AZ498" s="1">
        <v>15.269192699211455</v>
      </c>
      <c r="BA498" s="1">
        <v>17.416313892957163</v>
      </c>
      <c r="BB498" s="2">
        <v>1490983.1307873235</v>
      </c>
      <c r="BC498" s="2">
        <f t="shared" si="56"/>
        <v>-275070.74100387748</v>
      </c>
      <c r="BD498" s="292">
        <f t="shared" si="57"/>
        <v>1.656106893178384</v>
      </c>
      <c r="BF498" s="170">
        <f t="shared" si="52"/>
        <v>412039.85717409034</v>
      </c>
      <c r="BG498" s="2">
        <f t="shared" si="53"/>
        <v>952087.70108650927</v>
      </c>
      <c r="BI498">
        <f t="shared" si="54"/>
        <v>0</v>
      </c>
      <c r="BJ498" s="95">
        <f t="shared" si="55"/>
        <v>1</v>
      </c>
      <c r="BP498" s="217">
        <f t="shared" si="58"/>
        <v>952087.70108650927</v>
      </c>
    </row>
    <row r="499" spans="1:68">
      <c r="A499" s="11">
        <v>493</v>
      </c>
      <c r="C499" s="27">
        <v>0.92185301238762507</v>
      </c>
      <c r="D499" s="27">
        <v>7.814698761237493E-2</v>
      </c>
      <c r="E499" s="27">
        <v>0</v>
      </c>
      <c r="F499" s="27">
        <v>0.84983070676035299</v>
      </c>
      <c r="G499" s="27">
        <v>0.15016929323964701</v>
      </c>
      <c r="H499" s="27">
        <v>0</v>
      </c>
      <c r="I499" s="27">
        <v>0.75644969059272493</v>
      </c>
      <c r="J499" s="27">
        <v>0.24355030940727501</v>
      </c>
      <c r="K499" s="27">
        <v>0</v>
      </c>
      <c r="L499" s="27">
        <v>0.15178727007184062</v>
      </c>
      <c r="M499" s="27">
        <v>0.50430088572596032</v>
      </c>
      <c r="N499" s="27">
        <v>0.34391184420219906</v>
      </c>
      <c r="O499" s="27">
        <v>-10.963618471035625</v>
      </c>
      <c r="P499" s="27">
        <v>3.4141896449018092E-2</v>
      </c>
      <c r="Q499" s="27">
        <v>7.2664411394758463E-5</v>
      </c>
      <c r="R499" s="27">
        <v>1.0513209642697408</v>
      </c>
      <c r="S499" s="154"/>
      <c r="T499">
        <v>0.94639758675175301</v>
      </c>
      <c r="U499">
        <v>2.2572181825336224</v>
      </c>
      <c r="V499">
        <v>3.2543252041253679</v>
      </c>
      <c r="W499">
        <v>1</v>
      </c>
      <c r="Y499" s="2">
        <v>639.61538566169361</v>
      </c>
      <c r="Z499" s="2">
        <v>8024.0853056645719</v>
      </c>
      <c r="AA499" s="2">
        <v>224.29871206446953</v>
      </c>
      <c r="AB499" s="2">
        <v>5441.0900454807061</v>
      </c>
      <c r="AC499" s="2">
        <v>349.60869993777095</v>
      </c>
      <c r="AD499" s="2">
        <v>2767.976029899176</v>
      </c>
      <c r="AE499" s="2">
        <v>544.93530579094954</v>
      </c>
      <c r="AF499" s="2">
        <v>836.8249229726473</v>
      </c>
      <c r="AG499" s="2">
        <v>129.64566268065792</v>
      </c>
      <c r="AH499" s="2">
        <v>392.11986071453055</v>
      </c>
      <c r="AI499" s="2">
        <v>376940.97365667339</v>
      </c>
      <c r="AJ499" s="2">
        <v>356060.12090562092</v>
      </c>
      <c r="AL499" s="27">
        <v>0.91966762583851014</v>
      </c>
      <c r="AM499" s="27">
        <v>0.9123766665110371</v>
      </c>
      <c r="AN499" s="27">
        <v>0.91055189946414528</v>
      </c>
      <c r="AO499" s="27">
        <v>0.81989751530917476</v>
      </c>
      <c r="AP499" s="27">
        <v>0.66126918298980797</v>
      </c>
      <c r="AQ499" s="27">
        <v>0.91966762583851014</v>
      </c>
      <c r="AR499" s="27">
        <v>0.9123766665110371</v>
      </c>
      <c r="AS499" s="27">
        <v>0.91055189946414528</v>
      </c>
      <c r="AT499" s="27">
        <v>0.81989751530917476</v>
      </c>
      <c r="AU499" s="27">
        <v>0.66126918298980797</v>
      </c>
      <c r="AW499" s="1">
        <v>13.567313868836749</v>
      </c>
      <c r="AX499" s="1">
        <v>15.787667264425464</v>
      </c>
      <c r="AY499" s="2">
        <v>1598769.7742803344</v>
      </c>
      <c r="AZ499" s="1">
        <v>15.290457122768851</v>
      </c>
      <c r="BA499" s="1">
        <v>17.414595375008624</v>
      </c>
      <c r="BB499" s="2">
        <v>1215587.3370865621</v>
      </c>
      <c r="BC499" s="2">
        <f t="shared" si="56"/>
        <v>-383182.43719377229</v>
      </c>
      <c r="BD499" s="292">
        <f t="shared" si="57"/>
        <v>1.7231432539321023</v>
      </c>
      <c r="BF499" s="170">
        <f t="shared" si="52"/>
        <v>572000.44473354565</v>
      </c>
      <c r="BG499" s="2">
        <f t="shared" si="53"/>
        <v>1230885.8025564542</v>
      </c>
      <c r="BI499">
        <f t="shared" si="54"/>
        <v>0</v>
      </c>
      <c r="BJ499" s="95">
        <f t="shared" si="55"/>
        <v>1</v>
      </c>
      <c r="BP499" s="217">
        <f t="shared" si="58"/>
        <v>1230885.8025564542</v>
      </c>
    </row>
    <row r="500" spans="1:68">
      <c r="A500" s="11">
        <v>494</v>
      </c>
      <c r="C500" s="27">
        <v>0.92430727714197403</v>
      </c>
      <c r="D500" s="27">
        <v>7.5692722858025932E-2</v>
      </c>
      <c r="E500" s="27">
        <v>0</v>
      </c>
      <c r="F500" s="27">
        <v>0.86035456127202004</v>
      </c>
      <c r="G500" s="27">
        <v>0.13964543872798002</v>
      </c>
      <c r="H500" s="27">
        <v>0</v>
      </c>
      <c r="I500" s="27">
        <v>0.74881459530195893</v>
      </c>
      <c r="J500" s="27">
        <v>0.25118540469804107</v>
      </c>
      <c r="K500" s="27">
        <v>0</v>
      </c>
      <c r="L500" s="27">
        <v>0.21313525713820214</v>
      </c>
      <c r="M500" s="27">
        <v>0.41875216150234446</v>
      </c>
      <c r="N500" s="27">
        <v>0.36811258135945346</v>
      </c>
      <c r="O500" s="27">
        <v>-11.666294464241819</v>
      </c>
      <c r="P500" s="27">
        <v>3.7620479925611891E-2</v>
      </c>
      <c r="Q500" s="27">
        <v>4.1648953847826562E-5</v>
      </c>
      <c r="R500" s="27">
        <v>1.1174724449961502</v>
      </c>
      <c r="S500" s="154"/>
      <c r="T500">
        <v>0.96849344788617997</v>
      </c>
      <c r="U500">
        <v>2.1962983400885436</v>
      </c>
      <c r="V500">
        <v>2.8651886854685058</v>
      </c>
      <c r="W500">
        <v>1</v>
      </c>
      <c r="Y500" s="2">
        <v>58.264562193343487</v>
      </c>
      <c r="Z500" s="2">
        <v>7626.5840973423319</v>
      </c>
      <c r="AA500" s="2">
        <v>1790.6226466603207</v>
      </c>
      <c r="AB500" s="2">
        <v>708.78926320940695</v>
      </c>
      <c r="AC500" s="2">
        <v>964.45727447333888</v>
      </c>
      <c r="AD500" s="2">
        <v>905.62330435401805</v>
      </c>
      <c r="AE500" s="2">
        <v>538.2202494118103</v>
      </c>
      <c r="AF500" s="2">
        <v>1056.0626451066362</v>
      </c>
      <c r="AG500" s="2">
        <v>142.45620960814881</v>
      </c>
      <c r="AH500" s="2">
        <v>336.8801674653152</v>
      </c>
      <c r="AI500" s="2">
        <v>792347.08319281181</v>
      </c>
      <c r="AJ500" s="2">
        <v>755801.58381434251</v>
      </c>
      <c r="AL500" s="27">
        <v>0.91716108069088476</v>
      </c>
      <c r="AM500" s="27">
        <v>0.91405879583779759</v>
      </c>
      <c r="AN500" s="27">
        <v>0.90816169666906943</v>
      </c>
      <c r="AO500" s="27">
        <v>0.83841062941923061</v>
      </c>
      <c r="AP500" s="27">
        <v>0.71382895891708475</v>
      </c>
      <c r="AQ500" s="27">
        <v>0.91716108069088476</v>
      </c>
      <c r="AR500" s="27">
        <v>0.91405879583779759</v>
      </c>
      <c r="AS500" s="27">
        <v>0.90816169666906943</v>
      </c>
      <c r="AT500" s="27">
        <v>0.83841062941923061</v>
      </c>
      <c r="AU500" s="27">
        <v>0.71382895891708475</v>
      </c>
      <c r="AW500" s="1">
        <v>13.62626154202094</v>
      </c>
      <c r="AX500" s="1">
        <v>15.555790254364052</v>
      </c>
      <c r="AY500" s="2">
        <v>2735592.8295369851</v>
      </c>
      <c r="AZ500" s="1">
        <v>15.346213954600499</v>
      </c>
      <c r="BA500" s="1">
        <v>17.259178454694698</v>
      </c>
      <c r="BB500" s="2">
        <v>1939594.7906110338</v>
      </c>
      <c r="BC500" s="2">
        <f t="shared" si="56"/>
        <v>-795998.03892595135</v>
      </c>
      <c r="BD500" s="292">
        <f t="shared" si="57"/>
        <v>1.7199524125795591</v>
      </c>
      <c r="BF500" s="170">
        <f t="shared" si="52"/>
        <v>-555390.98281363491</v>
      </c>
      <c r="BG500" s="2">
        <f t="shared" si="53"/>
        <v>515799.44212504616</v>
      </c>
      <c r="BI500">
        <f t="shared" si="54"/>
        <v>0</v>
      </c>
      <c r="BJ500" s="95">
        <f t="shared" si="55"/>
        <v>1</v>
      </c>
      <c r="BP500" s="217">
        <f t="shared" si="58"/>
        <v>515799.44212504616</v>
      </c>
    </row>
    <row r="501" spans="1:68">
      <c r="A501" s="11">
        <v>495</v>
      </c>
      <c r="C501" s="27">
        <v>0.92530897399669121</v>
      </c>
      <c r="D501" s="27">
        <v>7.4691026003308764E-2</v>
      </c>
      <c r="E501" s="27">
        <v>0</v>
      </c>
      <c r="F501" s="27">
        <v>0.84832635578210414</v>
      </c>
      <c r="G501" s="27">
        <v>0.15167364421789586</v>
      </c>
      <c r="H501" s="27">
        <v>0</v>
      </c>
      <c r="I501" s="27">
        <v>0.75837781665252857</v>
      </c>
      <c r="J501" s="27">
        <v>0.24162218334747149</v>
      </c>
      <c r="K501" s="27">
        <v>0</v>
      </c>
      <c r="L501" s="27">
        <v>7.1017641166073009E-2</v>
      </c>
      <c r="M501" s="27">
        <v>0.54014404595852228</v>
      </c>
      <c r="N501" s="27">
        <v>0.38883831287540471</v>
      </c>
      <c r="O501" s="27">
        <v>-11.872265671018843</v>
      </c>
      <c r="P501" s="27">
        <v>3.6895621638287336E-2</v>
      </c>
      <c r="Q501" s="27">
        <v>3.2879882472804373E-5</v>
      </c>
      <c r="R501" s="27">
        <v>1.1551812907682963</v>
      </c>
      <c r="S501" s="154"/>
      <c r="T501">
        <v>1.181371500400421</v>
      </c>
      <c r="U501">
        <v>2.269098868662633</v>
      </c>
      <c r="V501">
        <v>3.0285996758686071</v>
      </c>
      <c r="W501">
        <v>1</v>
      </c>
      <c r="Y501" s="2">
        <v>756.99424907380103</v>
      </c>
      <c r="Z501" s="2">
        <v>3543.9304512599506</v>
      </c>
      <c r="AA501" s="2">
        <v>1697.7528261844891</v>
      </c>
      <c r="AB501" s="2">
        <v>4377.6744707105081</v>
      </c>
      <c r="AC501" s="2">
        <v>799.56490452985224</v>
      </c>
      <c r="AD501" s="2">
        <v>473.89652305132165</v>
      </c>
      <c r="AE501" s="2">
        <v>623.11978526997223</v>
      </c>
      <c r="AF501" s="2">
        <v>800.53501980924409</v>
      </c>
      <c r="AG501" s="2">
        <v>122.62306375004009</v>
      </c>
      <c r="AH501" s="2">
        <v>177.92988454343023</v>
      </c>
      <c r="AI501" s="2">
        <v>607351.22859757533</v>
      </c>
      <c r="AJ501" s="2">
        <v>572747.60751345055</v>
      </c>
      <c r="AL501" s="27">
        <v>0.91145829799327072</v>
      </c>
      <c r="AM501" s="27">
        <v>0.92348930693963382</v>
      </c>
      <c r="AN501" s="27">
        <v>0.90926564468519477</v>
      </c>
      <c r="AO501" s="27">
        <v>0.85517046868846958</v>
      </c>
      <c r="AP501" s="27">
        <v>0.65887311887009092</v>
      </c>
      <c r="AQ501" s="27">
        <v>0.91145829799327072</v>
      </c>
      <c r="AR501" s="27">
        <v>0.92348930693963382</v>
      </c>
      <c r="AS501" s="27">
        <v>0.90926564468519477</v>
      </c>
      <c r="AT501" s="27">
        <v>0.85517046868846958</v>
      </c>
      <c r="AU501" s="27">
        <v>0.65887311887009092</v>
      </c>
      <c r="AW501" s="1">
        <v>12.761361159649525</v>
      </c>
      <c r="AX501" s="1">
        <v>14.930973499921484</v>
      </c>
      <c r="AY501" s="2">
        <v>2375665.3718189178</v>
      </c>
      <c r="AZ501" s="1">
        <v>15.176886560944302</v>
      </c>
      <c r="BA501" s="1">
        <v>17.238372651161807</v>
      </c>
      <c r="BB501" s="2">
        <v>1621615.101311022</v>
      </c>
      <c r="BC501" s="2">
        <f t="shared" si="56"/>
        <v>-754050.27050789585</v>
      </c>
      <c r="BD501" s="292">
        <f t="shared" si="57"/>
        <v>2.4155254012947776</v>
      </c>
      <c r="BF501" s="170">
        <f t="shared" si="52"/>
        <v>-333847.58627499384</v>
      </c>
      <c r="BG501" s="2">
        <f t="shared" si="53"/>
        <v>806686.74844006635</v>
      </c>
      <c r="BI501">
        <f t="shared" si="54"/>
        <v>0</v>
      </c>
      <c r="BJ501" s="95">
        <f t="shared" si="55"/>
        <v>1</v>
      </c>
      <c r="BP501" s="217">
        <f t="shared" si="58"/>
        <v>806686.74844006635</v>
      </c>
    </row>
    <row r="502" spans="1:68">
      <c r="A502" s="11">
        <v>496</v>
      </c>
      <c r="C502" s="27">
        <v>0.92557429936403945</v>
      </c>
      <c r="D502" s="27">
        <v>7.4425700635960518E-2</v>
      </c>
      <c r="E502" s="27">
        <v>0</v>
      </c>
      <c r="F502" s="27">
        <v>0.85938620898016094</v>
      </c>
      <c r="G502" s="27">
        <v>0.14061379101983904</v>
      </c>
      <c r="H502" s="27">
        <v>0</v>
      </c>
      <c r="I502" s="27">
        <v>0.7524482266621797</v>
      </c>
      <c r="J502" s="27">
        <v>0.24755177333782033</v>
      </c>
      <c r="K502" s="27">
        <v>0</v>
      </c>
      <c r="L502" s="27">
        <v>7.7377086772291159E-2</v>
      </c>
      <c r="M502" s="27">
        <v>0.56085347931701746</v>
      </c>
      <c r="N502" s="27">
        <v>0.36176943391069138</v>
      </c>
      <c r="O502" s="27">
        <v>-11.137960843445159</v>
      </c>
      <c r="P502" s="27">
        <v>3.3749290350926289E-2</v>
      </c>
      <c r="Q502" s="27">
        <v>6.0040534508044421E-5</v>
      </c>
      <c r="R502" s="27">
        <v>1.0818959885252515</v>
      </c>
      <c r="S502" s="154"/>
      <c r="T502">
        <v>0.93209120633876341</v>
      </c>
      <c r="U502">
        <v>2.2548502209703751</v>
      </c>
      <c r="V502">
        <v>3.076690913082758</v>
      </c>
      <c r="W502">
        <v>1</v>
      </c>
      <c r="Y502" s="2">
        <v>353.93176055861227</v>
      </c>
      <c r="Z502" s="2">
        <v>3363.5669977319794</v>
      </c>
      <c r="AA502" s="2">
        <v>2070.8400125248495</v>
      </c>
      <c r="AB502" s="2">
        <v>481.41001135827628</v>
      </c>
      <c r="AC502" s="2">
        <v>554.09871708446519</v>
      </c>
      <c r="AD502" s="2">
        <v>3771.316782431084</v>
      </c>
      <c r="AE502" s="2">
        <v>491.44596775730275</v>
      </c>
      <c r="AF502" s="2">
        <v>1242.6110399745069</v>
      </c>
      <c r="AG502" s="2">
        <v>128.92391381052951</v>
      </c>
      <c r="AH502" s="2">
        <v>530.31587767174381</v>
      </c>
      <c r="AI502" s="2">
        <v>427608.01744134637</v>
      </c>
      <c r="AJ502" s="2">
        <v>384073.06045542477</v>
      </c>
      <c r="AL502" s="27">
        <v>0.9128437310787415</v>
      </c>
      <c r="AM502" s="27">
        <v>0.91462099187886259</v>
      </c>
      <c r="AN502" s="27">
        <v>0.90768248525931383</v>
      </c>
      <c r="AO502" s="27">
        <v>0.86766997774639554</v>
      </c>
      <c r="AP502" s="27">
        <v>0.70719959221768114</v>
      </c>
      <c r="AQ502" s="27">
        <v>0.9128437310787415</v>
      </c>
      <c r="AR502" s="27">
        <v>0.91462099187886259</v>
      </c>
      <c r="AS502" s="27">
        <v>0.90768248525931383</v>
      </c>
      <c r="AT502" s="27">
        <v>0.86766997774639554</v>
      </c>
      <c r="AU502" s="27">
        <v>0.70719959221768114</v>
      </c>
      <c r="AW502" s="1">
        <v>13.891476045891011</v>
      </c>
      <c r="AX502" s="1">
        <v>15.961461282210411</v>
      </c>
      <c r="AY502" s="2">
        <v>1558680.3113221999</v>
      </c>
      <c r="AZ502" s="1">
        <v>15.497053645032974</v>
      </c>
      <c r="BA502" s="1">
        <v>17.522950691835494</v>
      </c>
      <c r="BB502" s="2">
        <v>1212201.1706752621</v>
      </c>
      <c r="BC502" s="2">
        <f t="shared" si="56"/>
        <v>-346479.14064693777</v>
      </c>
      <c r="BD502" s="292">
        <f t="shared" si="57"/>
        <v>1.605577599141963</v>
      </c>
      <c r="BF502" s="170">
        <f t="shared" si="52"/>
        <v>663955.85602036188</v>
      </c>
      <c r="BG502" s="2">
        <f t="shared" si="53"/>
        <v>1267327.4125300136</v>
      </c>
      <c r="BI502">
        <f t="shared" si="54"/>
        <v>0</v>
      </c>
      <c r="BJ502" s="95">
        <f t="shared" si="55"/>
        <v>1</v>
      </c>
      <c r="BP502" s="217">
        <f t="shared" si="58"/>
        <v>1267327.4125300136</v>
      </c>
    </row>
    <row r="503" spans="1:68">
      <c r="A503" s="11">
        <v>497</v>
      </c>
      <c r="C503" s="27">
        <v>0.91770774966782576</v>
      </c>
      <c r="D503" s="27">
        <v>8.2292250332174244E-2</v>
      </c>
      <c r="E503" s="27">
        <v>0</v>
      </c>
      <c r="F503" s="27">
        <v>0.85269602241343589</v>
      </c>
      <c r="G503" s="27">
        <v>0.14730397758656411</v>
      </c>
      <c r="H503" s="27">
        <v>0</v>
      </c>
      <c r="I503" s="27">
        <v>0.75752447913804932</v>
      </c>
      <c r="J503" s="27">
        <v>0.24247552086195065</v>
      </c>
      <c r="K503" s="27">
        <v>0</v>
      </c>
      <c r="L503" s="27">
        <v>0.15596063255273457</v>
      </c>
      <c r="M503" s="27">
        <v>0.48593335860561926</v>
      </c>
      <c r="N503" s="27">
        <v>0.35810600884164617</v>
      </c>
      <c r="O503" s="27">
        <v>-11.353165790935407</v>
      </c>
      <c r="P503" s="27">
        <v>3.7303727307472938E-2</v>
      </c>
      <c r="Q503" s="27">
        <v>5.6210373063002872E-5</v>
      </c>
      <c r="R503" s="27">
        <v>1.0708862697321992</v>
      </c>
      <c r="S503" s="154"/>
      <c r="T503">
        <v>1.0314783309761557</v>
      </c>
      <c r="U503">
        <v>2.2602214785695915</v>
      </c>
      <c r="V503">
        <v>2.926013562688738</v>
      </c>
      <c r="W503">
        <v>1</v>
      </c>
      <c r="Y503" s="2">
        <v>221.75038120434488</v>
      </c>
      <c r="Z503" s="2">
        <v>7162.7777759246719</v>
      </c>
      <c r="AA503" s="2">
        <v>4858.3693070456975</v>
      </c>
      <c r="AB503" s="2">
        <v>1996.1810108360539</v>
      </c>
      <c r="AC503" s="2">
        <v>656.3856827652038</v>
      </c>
      <c r="AD503" s="2">
        <v>1932.1895421666218</v>
      </c>
      <c r="AE503" s="2">
        <v>547.82433787436253</v>
      </c>
      <c r="AF503" s="2">
        <v>1402.390582217892</v>
      </c>
      <c r="AG503" s="2">
        <v>95.035775762575099</v>
      </c>
      <c r="AH503" s="2">
        <v>602.38810746601757</v>
      </c>
      <c r="AI503" s="2">
        <v>487470.51189041702</v>
      </c>
      <c r="AJ503" s="2">
        <v>450283.36594461178</v>
      </c>
      <c r="AL503" s="27">
        <v>0.91549337746955506</v>
      </c>
      <c r="AM503" s="27">
        <v>0.91519622383670329</v>
      </c>
      <c r="AN503" s="27">
        <v>0.91079032351127753</v>
      </c>
      <c r="AO503" s="27">
        <v>0.87439481394262408</v>
      </c>
      <c r="AP503" s="27">
        <v>0.69484000818727687</v>
      </c>
      <c r="AQ503" s="27">
        <v>0.91549337746955506</v>
      </c>
      <c r="AR503" s="27">
        <v>0.91519622383670329</v>
      </c>
      <c r="AS503" s="27">
        <v>0.91079032351127753</v>
      </c>
      <c r="AT503" s="27">
        <v>0.87439481394262408</v>
      </c>
      <c r="AU503" s="27">
        <v>0.69484000818727687</v>
      </c>
      <c r="AW503" s="1">
        <v>13.335597029698336</v>
      </c>
      <c r="AX503" s="1">
        <v>15.448361256481073</v>
      </c>
      <c r="AY503" s="2">
        <v>2061141.7853479888</v>
      </c>
      <c r="AZ503" s="1">
        <v>15.280313331205472</v>
      </c>
      <c r="BA503" s="1">
        <v>17.316880171246037</v>
      </c>
      <c r="BB503" s="2">
        <v>1525300.3071196731</v>
      </c>
      <c r="BC503" s="2">
        <f t="shared" si="56"/>
        <v>-535841.47822831571</v>
      </c>
      <c r="BD503" s="292">
        <f t="shared" si="57"/>
        <v>1.9447163015071354</v>
      </c>
      <c r="BF503" s="170">
        <f t="shared" si="52"/>
        <v>72553.73940374516</v>
      </c>
      <c r="BG503" s="2">
        <f t="shared" si="53"/>
        <v>919549.82587320218</v>
      </c>
      <c r="BI503">
        <f t="shared" si="54"/>
        <v>0</v>
      </c>
      <c r="BJ503" s="95">
        <f t="shared" si="55"/>
        <v>1</v>
      </c>
      <c r="BP503" s="217">
        <f t="shared" si="58"/>
        <v>919549.82587320218</v>
      </c>
    </row>
    <row r="504" spans="1:68">
      <c r="A504" s="11">
        <v>498</v>
      </c>
      <c r="C504" s="27">
        <v>0.92422791075182131</v>
      </c>
      <c r="D504" s="27">
        <v>7.5772089248178645E-2</v>
      </c>
      <c r="E504" s="27">
        <v>0</v>
      </c>
      <c r="F504" s="27">
        <v>0.85478665670699805</v>
      </c>
      <c r="G504" s="27">
        <v>0.14521334329300195</v>
      </c>
      <c r="H504" s="27">
        <v>0</v>
      </c>
      <c r="I504" s="27">
        <v>0.75143468352053744</v>
      </c>
      <c r="J504" s="27">
        <v>0.24856531647946259</v>
      </c>
      <c r="K504" s="27">
        <v>0</v>
      </c>
      <c r="L504" s="27">
        <v>0.1530929202587934</v>
      </c>
      <c r="M504" s="27">
        <v>0.52279673410187022</v>
      </c>
      <c r="N504" s="27">
        <v>0.32411034563933638</v>
      </c>
      <c r="O504" s="27">
        <v>-11.61892004798796</v>
      </c>
      <c r="P504" s="27">
        <v>3.6967133051221256E-2</v>
      </c>
      <c r="Q504" s="27">
        <v>4.2487507779690252E-5</v>
      </c>
      <c r="R504" s="27">
        <v>1.1182559474066758</v>
      </c>
      <c r="S504" s="154"/>
      <c r="T504">
        <v>0.96492005735136099</v>
      </c>
      <c r="U504">
        <v>2.2160467081328399</v>
      </c>
      <c r="V504">
        <v>3.1040302623852312</v>
      </c>
      <c r="W504">
        <v>1</v>
      </c>
      <c r="Y504" s="2">
        <v>519.17185932787334</v>
      </c>
      <c r="Z504" s="2">
        <v>1035.3425653594395</v>
      </c>
      <c r="AA504" s="2">
        <v>34.346382001043317</v>
      </c>
      <c r="AB504" s="2">
        <v>1418.9332039711931</v>
      </c>
      <c r="AC504" s="2">
        <v>350.34594922476799</v>
      </c>
      <c r="AD504" s="2">
        <v>2712.4406603473585</v>
      </c>
      <c r="AE504" s="2">
        <v>560.28342780399964</v>
      </c>
      <c r="AF504" s="2">
        <v>900.76674407626308</v>
      </c>
      <c r="AG504" s="2">
        <v>100.10122403733909</v>
      </c>
      <c r="AH504" s="2">
        <v>315.60314652890003</v>
      </c>
      <c r="AI504" s="2">
        <v>573390.17716342141</v>
      </c>
      <c r="AJ504" s="2">
        <v>532747.16902723908</v>
      </c>
      <c r="AL504" s="27">
        <v>0.91944876275803966</v>
      </c>
      <c r="AM504" s="27">
        <v>0.91606124591205673</v>
      </c>
      <c r="AN504" s="27">
        <v>0.90632235037432907</v>
      </c>
      <c r="AO504" s="27">
        <v>0.84937550169401643</v>
      </c>
      <c r="AP504" s="27">
        <v>0.77749845531986739</v>
      </c>
      <c r="AQ504" s="27">
        <v>0.91944876275803966</v>
      </c>
      <c r="AR504" s="27">
        <v>0.91606124591205673</v>
      </c>
      <c r="AS504" s="27">
        <v>0.90632235037432907</v>
      </c>
      <c r="AT504" s="27">
        <v>0.84937550169401643</v>
      </c>
      <c r="AU504" s="27">
        <v>0.77749845531986739</v>
      </c>
      <c r="AW504" s="1">
        <v>14.064157638313363</v>
      </c>
      <c r="AX504" s="1">
        <v>15.871556881063409</v>
      </c>
      <c r="AY504" s="2">
        <v>2179386.4032327463</v>
      </c>
      <c r="AZ504" s="1">
        <v>15.674938522338813</v>
      </c>
      <c r="BA504" s="1">
        <v>17.493049455296166</v>
      </c>
      <c r="BB504" s="2">
        <v>1621823.5761048989</v>
      </c>
      <c r="BC504" s="2">
        <f t="shared" si="56"/>
        <v>-557562.82712784735</v>
      </c>
      <c r="BD504" s="292">
        <f t="shared" si="57"/>
        <v>1.6107808840254503</v>
      </c>
      <c r="BF504" s="170">
        <f t="shared" si="52"/>
        <v>70878.818897391669</v>
      </c>
      <c r="BG504" s="2">
        <f t="shared" si="53"/>
        <v>886166.58746931097</v>
      </c>
      <c r="BI504">
        <f t="shared" si="54"/>
        <v>0</v>
      </c>
      <c r="BJ504" s="95">
        <f t="shared" si="55"/>
        <v>1</v>
      </c>
      <c r="BP504" s="217">
        <f t="shared" si="58"/>
        <v>886166.58746931097</v>
      </c>
    </row>
    <row r="505" spans="1:68">
      <c r="A505" s="11">
        <v>499</v>
      </c>
      <c r="C505" s="27">
        <v>0.92059164003708971</v>
      </c>
      <c r="D505" s="27">
        <v>7.9408359962910291E-2</v>
      </c>
      <c r="E505" s="27">
        <v>0</v>
      </c>
      <c r="F505" s="27">
        <v>0.85458073869509621</v>
      </c>
      <c r="G505" s="27">
        <v>0.14541926130490379</v>
      </c>
      <c r="H505" s="27">
        <v>0</v>
      </c>
      <c r="I505" s="27">
        <v>0.75398799131307825</v>
      </c>
      <c r="J505" s="27">
        <v>0.24601200868692177</v>
      </c>
      <c r="K505" s="27">
        <v>0</v>
      </c>
      <c r="L505" s="27">
        <v>5.0255428393218171E-2</v>
      </c>
      <c r="M505" s="27">
        <v>0.47120320259295012</v>
      </c>
      <c r="N505" s="27">
        <v>0.47854136901383171</v>
      </c>
      <c r="O505" s="27">
        <v>-11.195332585575827</v>
      </c>
      <c r="P505" s="27">
        <v>3.4188207507634696E-2</v>
      </c>
      <c r="Q505" s="27">
        <v>5.7747651834981385E-5</v>
      </c>
      <c r="R505" s="27">
        <v>1.0809957134366459</v>
      </c>
      <c r="S505" s="154"/>
      <c r="T505">
        <v>0.99340648581713409</v>
      </c>
      <c r="U505">
        <v>2.2230301647506265</v>
      </c>
      <c r="V505">
        <v>3.3345757149837203</v>
      </c>
      <c r="W505">
        <v>1</v>
      </c>
      <c r="Y505" s="2">
        <v>7.5873898771460073</v>
      </c>
      <c r="Z505" s="2">
        <v>9529.9160714630816</v>
      </c>
      <c r="AA505" s="2">
        <v>7267.9554424523631</v>
      </c>
      <c r="AB505" s="2">
        <v>10979.8390159684</v>
      </c>
      <c r="AC505" s="2">
        <v>825.58865460740594</v>
      </c>
      <c r="AD505" s="2">
        <v>339.03030946276743</v>
      </c>
      <c r="AE505" s="2">
        <v>535.79852345295421</v>
      </c>
      <c r="AF505" s="2">
        <v>929.6676477327768</v>
      </c>
      <c r="AG505" s="2">
        <v>135.75903667632886</v>
      </c>
      <c r="AH505" s="2">
        <v>498.70333807640117</v>
      </c>
      <c r="AI505" s="2">
        <v>361902.44114515296</v>
      </c>
      <c r="AJ505" s="2">
        <v>340648.10203591152</v>
      </c>
      <c r="AL505" s="27">
        <v>0.91331455702097863</v>
      </c>
      <c r="AM505" s="27">
        <v>0.91259198025472177</v>
      </c>
      <c r="AN505" s="27">
        <v>0.90681977545195014</v>
      </c>
      <c r="AO505" s="27">
        <v>0.86864133599864723</v>
      </c>
      <c r="AP505" s="27">
        <v>0.69829086773115767</v>
      </c>
      <c r="AQ505" s="27">
        <v>0.91331455702097863</v>
      </c>
      <c r="AR505" s="27">
        <v>0.91259198025472177</v>
      </c>
      <c r="AS505" s="27">
        <v>0.90681977545195014</v>
      </c>
      <c r="AT505" s="27">
        <v>0.86864133599864723</v>
      </c>
      <c r="AU505" s="27">
        <v>0.69829086773115767</v>
      </c>
      <c r="AW505" s="1">
        <v>13.022855970676602</v>
      </c>
      <c r="AX505" s="1">
        <v>14.962149909531785</v>
      </c>
      <c r="AY505" s="2">
        <v>1330404.2240094456</v>
      </c>
      <c r="AZ505" s="1">
        <v>15.00037725683705</v>
      </c>
      <c r="BA505" s="1">
        <v>16.935645258670874</v>
      </c>
      <c r="BB505" s="2">
        <v>1159351.4193218213</v>
      </c>
      <c r="BC505" s="2">
        <f t="shared" si="56"/>
        <v>-171052.80468762433</v>
      </c>
      <c r="BD505" s="292">
        <f t="shared" si="57"/>
        <v>1.9775212861604476</v>
      </c>
      <c r="BF505" s="170">
        <f t="shared" si="52"/>
        <v>753252.7312988108</v>
      </c>
      <c r="BG505" s="2">
        <f t="shared" si="53"/>
        <v>1240708.9417721068</v>
      </c>
      <c r="BI505">
        <f t="shared" si="54"/>
        <v>0</v>
      </c>
      <c r="BJ505" s="95">
        <f t="shared" si="55"/>
        <v>1</v>
      </c>
      <c r="BP505" s="217">
        <f t="shared" si="58"/>
        <v>1240708.9417721068</v>
      </c>
    </row>
    <row r="506" spans="1:68">
      <c r="A506" s="11">
        <v>500</v>
      </c>
      <c r="C506" s="27">
        <v>0.92261693460635896</v>
      </c>
      <c r="D506" s="27">
        <v>7.7383065393641037E-2</v>
      </c>
      <c r="E506" s="27">
        <v>0</v>
      </c>
      <c r="F506" s="27">
        <v>0.85597224433804386</v>
      </c>
      <c r="G506" s="27">
        <v>0.14402775566195614</v>
      </c>
      <c r="H506" s="27">
        <v>0</v>
      </c>
      <c r="I506" s="27">
        <v>0.74079025506180507</v>
      </c>
      <c r="J506" s="27">
        <v>0.25920974493819493</v>
      </c>
      <c r="K506" s="27">
        <v>0</v>
      </c>
      <c r="L506" s="27">
        <v>0.11904355562903751</v>
      </c>
      <c r="M506" s="27">
        <v>0.5515759620697539</v>
      </c>
      <c r="N506" s="27">
        <v>0.32938048230120859</v>
      </c>
      <c r="O506" s="27">
        <v>-11.057184822496373</v>
      </c>
      <c r="P506" s="27">
        <v>3.4673504872130924E-2</v>
      </c>
      <c r="Q506" s="27">
        <v>6.7667969243842305E-5</v>
      </c>
      <c r="R506" s="27">
        <v>1.0645375689800596</v>
      </c>
      <c r="S506" s="154"/>
      <c r="T506">
        <v>1.0634290241393658</v>
      </c>
      <c r="U506">
        <v>2.181906738235202</v>
      </c>
      <c r="V506">
        <v>3.1555794978607392</v>
      </c>
      <c r="W506">
        <v>1</v>
      </c>
      <c r="Y506" s="2">
        <v>621.35351591380754</v>
      </c>
      <c r="Z506" s="2">
        <v>14462.697296054495</v>
      </c>
      <c r="AA506" s="2">
        <v>1666.2538781149126</v>
      </c>
      <c r="AB506" s="2">
        <v>4819.3386410142457</v>
      </c>
      <c r="AC506" s="2">
        <v>2838.0768449219008</v>
      </c>
      <c r="AD506" s="2">
        <v>22.844652088745235</v>
      </c>
      <c r="AE506" s="2">
        <v>627.99304052071216</v>
      </c>
      <c r="AF506" s="2">
        <v>1476.6128526269854</v>
      </c>
      <c r="AG506" s="2">
        <v>96.779037474027987</v>
      </c>
      <c r="AH506" s="2">
        <v>378.51208453083279</v>
      </c>
      <c r="AI506" s="2">
        <v>511015.24282631226</v>
      </c>
      <c r="AJ506" s="2">
        <v>478533.05972031067</v>
      </c>
      <c r="AL506" s="27">
        <v>0.91439294275755501</v>
      </c>
      <c r="AM506" s="27">
        <v>0.91410337560927901</v>
      </c>
      <c r="AN506" s="27">
        <v>0.9170893083522651</v>
      </c>
      <c r="AO506" s="27">
        <v>0.87900869402020942</v>
      </c>
      <c r="AP506" s="27">
        <v>0.70477326880522839</v>
      </c>
      <c r="AQ506" s="27">
        <v>0.91439294275755501</v>
      </c>
      <c r="AR506" s="27">
        <v>0.91410337560927901</v>
      </c>
      <c r="AS506" s="27">
        <v>0.9170893083522651</v>
      </c>
      <c r="AT506" s="27">
        <v>0.87900869402020942</v>
      </c>
      <c r="AU506" s="27">
        <v>0.70477326880522839</v>
      </c>
      <c r="AW506" s="1">
        <v>13.530435985162548</v>
      </c>
      <c r="AX506" s="1">
        <v>15.649626463089113</v>
      </c>
      <c r="AY506" s="2">
        <v>2367578.7577213105</v>
      </c>
      <c r="AZ506" s="1">
        <v>15.463124673841508</v>
      </c>
      <c r="BA506" s="1">
        <v>17.501434918782898</v>
      </c>
      <c r="BB506" s="2">
        <v>1597236.4245128785</v>
      </c>
      <c r="BC506" s="2">
        <f t="shared" si="56"/>
        <v>-770342.33320843196</v>
      </c>
      <c r="BD506" s="292">
        <f t="shared" si="57"/>
        <v>1.9326886886789598</v>
      </c>
      <c r="BF506" s="170">
        <f t="shared" si="52"/>
        <v>-202709.0000953027</v>
      </c>
      <c r="BG506" s="2">
        <f t="shared" si="53"/>
        <v>876863.52330176253</v>
      </c>
      <c r="BI506">
        <f t="shared" si="54"/>
        <v>0</v>
      </c>
      <c r="BJ506" s="95">
        <f t="shared" si="55"/>
        <v>1</v>
      </c>
      <c r="BP506" s="217">
        <f t="shared" si="58"/>
        <v>876863.52330176253</v>
      </c>
    </row>
    <row r="507" spans="1:68">
      <c r="A507" s="11">
        <v>501</v>
      </c>
      <c r="C507" s="27">
        <v>0.92101623608946803</v>
      </c>
      <c r="D507" s="27">
        <v>7.8983763910531968E-2</v>
      </c>
      <c r="E507" s="27">
        <v>0</v>
      </c>
      <c r="F507" s="27">
        <v>0.85586155535640507</v>
      </c>
      <c r="G507" s="27">
        <v>0.14413844464359493</v>
      </c>
      <c r="H507" s="27">
        <v>0</v>
      </c>
      <c r="I507" s="27">
        <v>0.75700593235917502</v>
      </c>
      <c r="J507" s="27">
        <v>0.24299406764082501</v>
      </c>
      <c r="K507" s="27">
        <v>0</v>
      </c>
      <c r="L507" s="27">
        <v>0.10830506731036516</v>
      </c>
      <c r="M507" s="27">
        <v>0.50147005176576287</v>
      </c>
      <c r="N507" s="27">
        <v>0.39022488092387198</v>
      </c>
      <c r="O507" s="27">
        <v>-11.045662340517401</v>
      </c>
      <c r="P507" s="27">
        <v>3.5206136665517487E-2</v>
      </c>
      <c r="Q507" s="27">
        <v>7.0000750078466021E-5</v>
      </c>
      <c r="R507" s="27">
        <v>1.0514876305741347</v>
      </c>
      <c r="S507" s="154"/>
      <c r="T507">
        <v>1.0564908328525486</v>
      </c>
      <c r="U507">
        <v>2.310594109222591</v>
      </c>
      <c r="V507">
        <v>2.9948699006531228</v>
      </c>
      <c r="W507">
        <v>1</v>
      </c>
      <c r="Y507" s="2">
        <v>351.58950343052703</v>
      </c>
      <c r="Z507" s="2">
        <v>2311.0919214079518</v>
      </c>
      <c r="AA507" s="2">
        <v>632.30031450992772</v>
      </c>
      <c r="AB507" s="2">
        <v>1816.9003209628074</v>
      </c>
      <c r="AC507" s="2">
        <v>369.72956380241305</v>
      </c>
      <c r="AD507" s="2">
        <v>677.86011708164085</v>
      </c>
      <c r="AE507" s="2">
        <v>499.47696197755278</v>
      </c>
      <c r="AF507" s="2">
        <v>705.37868641676232</v>
      </c>
      <c r="AG507" s="2">
        <v>176.06426043124569</v>
      </c>
      <c r="AH507" s="2">
        <v>264.63766516148604</v>
      </c>
      <c r="AI507" s="2">
        <v>323670.73180662887</v>
      </c>
      <c r="AJ507" s="2">
        <v>307429.5657167047</v>
      </c>
      <c r="AL507" s="27">
        <v>0.91964699350335799</v>
      </c>
      <c r="AM507" s="27">
        <v>0.91335856374186797</v>
      </c>
      <c r="AN507" s="27">
        <v>0.91110762397525868</v>
      </c>
      <c r="AO507" s="27">
        <v>0.89721439247315238</v>
      </c>
      <c r="AP507" s="27">
        <v>0.72281186092015348</v>
      </c>
      <c r="AQ507" s="27">
        <v>0.91964699350335799</v>
      </c>
      <c r="AR507" s="27">
        <v>0.91335856374186797</v>
      </c>
      <c r="AS507" s="27">
        <v>0.91110762397525868</v>
      </c>
      <c r="AT507" s="27">
        <v>0.89721439247315238</v>
      </c>
      <c r="AU507" s="27">
        <v>0.72281186092015348</v>
      </c>
      <c r="AW507" s="1">
        <v>13.408903676555878</v>
      </c>
      <c r="AX507" s="1">
        <v>15.341344616780798</v>
      </c>
      <c r="AY507" s="2">
        <v>1327886.7811660739</v>
      </c>
      <c r="AZ507" s="1">
        <v>15.431469093514933</v>
      </c>
      <c r="BA507" s="1">
        <v>17.331431556468996</v>
      </c>
      <c r="BB507" s="2">
        <v>936382.13988313579</v>
      </c>
      <c r="BC507" s="2">
        <f t="shared" si="56"/>
        <v>-391504.64128293807</v>
      </c>
      <c r="BD507" s="292">
        <f t="shared" si="57"/>
        <v>2.0225654169590541</v>
      </c>
      <c r="BF507" s="170">
        <f t="shared" si="52"/>
        <v>817537.80708286678</v>
      </c>
      <c r="BG507" s="2">
        <f t="shared" si="53"/>
        <v>1532652.9150792533</v>
      </c>
      <c r="BI507">
        <f t="shared" si="54"/>
        <v>0</v>
      </c>
      <c r="BJ507" s="95">
        <f t="shared" si="55"/>
        <v>1</v>
      </c>
      <c r="BP507" s="217">
        <f t="shared" si="58"/>
        <v>1532652.9150792533</v>
      </c>
    </row>
    <row r="508" spans="1:68">
      <c r="A508" s="11">
        <v>502</v>
      </c>
      <c r="C508" s="27">
        <v>0.9225699459196478</v>
      </c>
      <c r="D508" s="27">
        <v>7.7430054080352195E-2</v>
      </c>
      <c r="E508" s="27">
        <v>0</v>
      </c>
      <c r="F508" s="27">
        <v>0.8530331438279124</v>
      </c>
      <c r="G508" s="27">
        <v>0.1469668561720876</v>
      </c>
      <c r="H508" s="27">
        <v>0</v>
      </c>
      <c r="I508" s="27">
        <v>0.74450393755549338</v>
      </c>
      <c r="J508" s="27">
        <v>0.25549606244450662</v>
      </c>
      <c r="K508" s="27">
        <v>0</v>
      </c>
      <c r="L508" s="27">
        <v>0.18220403185521383</v>
      </c>
      <c r="M508" s="27">
        <v>0.44034278870622157</v>
      </c>
      <c r="N508" s="27">
        <v>0.3774531794385646</v>
      </c>
      <c r="O508" s="27">
        <v>-11.348248029608712</v>
      </c>
      <c r="P508" s="27">
        <v>3.8607689627328079E-2</v>
      </c>
      <c r="Q508" s="27">
        <v>5.9667381210943383E-5</v>
      </c>
      <c r="R508" s="27">
        <v>1.0737891558709773</v>
      </c>
      <c r="S508" s="154"/>
      <c r="T508">
        <v>0.92361049340817158</v>
      </c>
      <c r="U508">
        <v>2.216630536646754</v>
      </c>
      <c r="V508">
        <v>3.0962026455356741</v>
      </c>
      <c r="W508">
        <v>1</v>
      </c>
      <c r="Y508" s="2">
        <v>275.69143409551992</v>
      </c>
      <c r="Z508" s="2">
        <v>211.61304408355915</v>
      </c>
      <c r="AA508" s="2">
        <v>1484.3244935500013</v>
      </c>
      <c r="AB508" s="2">
        <v>4982.8208480038265</v>
      </c>
      <c r="AC508" s="2">
        <v>1362.3197916108022</v>
      </c>
      <c r="AD508" s="2">
        <v>646.81918037534808</v>
      </c>
      <c r="AE508" s="2">
        <v>663.91306289603551</v>
      </c>
      <c r="AF508" s="2">
        <v>1112.6738719207303</v>
      </c>
      <c r="AG508" s="2">
        <v>152.32398646510487</v>
      </c>
      <c r="AH508" s="2">
        <v>397.01503719045559</v>
      </c>
      <c r="AI508" s="2">
        <v>523172.08422714606</v>
      </c>
      <c r="AJ508" s="2">
        <v>489697.6978157984</v>
      </c>
      <c r="AL508" s="27">
        <v>0.91973532065675112</v>
      </c>
      <c r="AM508" s="27">
        <v>0.90847776357506027</v>
      </c>
      <c r="AN508" s="27">
        <v>0.90660665258253004</v>
      </c>
      <c r="AO508" s="27">
        <v>0.88148130227454202</v>
      </c>
      <c r="AP508" s="27">
        <v>0.70640131189743305</v>
      </c>
      <c r="AQ508" s="27">
        <v>0.91973532065675112</v>
      </c>
      <c r="AR508" s="27">
        <v>0.90847776357506027</v>
      </c>
      <c r="AS508" s="27">
        <v>0.90660665258253004</v>
      </c>
      <c r="AT508" s="27">
        <v>0.88148130227454202</v>
      </c>
      <c r="AU508" s="27">
        <v>0.70640131189743305</v>
      </c>
      <c r="AW508" s="1">
        <v>13.66826076185934</v>
      </c>
      <c r="AX508" s="1">
        <v>15.603688591042888</v>
      </c>
      <c r="AY508" s="2">
        <v>1802730.2154634804</v>
      </c>
      <c r="AZ508" s="1">
        <v>15.252800641065209</v>
      </c>
      <c r="BA508" s="1">
        <v>17.182946917702299</v>
      </c>
      <c r="BB508" s="2">
        <v>1441629.9660407805</v>
      </c>
      <c r="BC508" s="2">
        <f t="shared" si="56"/>
        <v>-361100.24942269991</v>
      </c>
      <c r="BD508" s="292">
        <f t="shared" si="57"/>
        <v>1.5845398792058685</v>
      </c>
      <c r="BF508" s="170">
        <f t="shared" si="52"/>
        <v>384191.50643401407</v>
      </c>
      <c r="BG508" s="2">
        <f t="shared" si="53"/>
        <v>998818.13652965263</v>
      </c>
      <c r="BI508">
        <f t="shared" si="54"/>
        <v>0</v>
      </c>
      <c r="BJ508" s="95">
        <f t="shared" si="55"/>
        <v>1</v>
      </c>
      <c r="BP508" s="217">
        <f t="shared" si="58"/>
        <v>998818.13652965263</v>
      </c>
    </row>
    <row r="509" spans="1:68">
      <c r="A509" s="11">
        <v>503</v>
      </c>
      <c r="C509" s="27">
        <v>0.92594168617149486</v>
      </c>
      <c r="D509" s="27">
        <v>7.4058313828505182E-2</v>
      </c>
      <c r="E509" s="27">
        <v>0</v>
      </c>
      <c r="F509" s="27">
        <v>0.85844216255902539</v>
      </c>
      <c r="G509" s="27">
        <v>0.14155783744097464</v>
      </c>
      <c r="H509" s="27">
        <v>0</v>
      </c>
      <c r="I509" s="27">
        <v>0.74384839864198649</v>
      </c>
      <c r="J509" s="27">
        <v>0.25615160135801351</v>
      </c>
      <c r="K509" s="27">
        <v>0</v>
      </c>
      <c r="L509" s="27">
        <v>8.5724564062594766E-2</v>
      </c>
      <c r="M509" s="27">
        <v>0.49670841892413331</v>
      </c>
      <c r="N509" s="27">
        <v>0.41756701701327192</v>
      </c>
      <c r="O509" s="27">
        <v>-11.342536897851247</v>
      </c>
      <c r="P509" s="27">
        <v>3.2544439969751433E-2</v>
      </c>
      <c r="Q509" s="27">
        <v>4.6518037418057426E-5</v>
      </c>
      <c r="R509" s="27">
        <v>1.1194705674617476</v>
      </c>
      <c r="S509" s="154"/>
      <c r="T509">
        <v>0.94580349604545</v>
      </c>
      <c r="U509">
        <v>2.2774898547143398</v>
      </c>
      <c r="V509">
        <v>2.9385077738712728</v>
      </c>
      <c r="W509">
        <v>1</v>
      </c>
      <c r="Y509" s="2">
        <v>107.17295198038121</v>
      </c>
      <c r="Z509" s="2">
        <v>3097.8342167332803</v>
      </c>
      <c r="AA509" s="2">
        <v>2505.3011785865124</v>
      </c>
      <c r="AB509" s="2">
        <v>4548.0969953463227</v>
      </c>
      <c r="AC509" s="2">
        <v>754.27583550428403</v>
      </c>
      <c r="AD509" s="2">
        <v>57.2319133798526</v>
      </c>
      <c r="AE509" s="2">
        <v>586.08838833065442</v>
      </c>
      <c r="AF509" s="2">
        <v>1150.9963245041931</v>
      </c>
      <c r="AG509" s="2">
        <v>113.2649347542697</v>
      </c>
      <c r="AH509" s="2">
        <v>312.88871618676046</v>
      </c>
      <c r="AI509" s="2">
        <v>330248.80046501762</v>
      </c>
      <c r="AJ509" s="2">
        <v>297193.51287421613</v>
      </c>
      <c r="AL509" s="27">
        <v>0.91772924857495974</v>
      </c>
      <c r="AM509" s="27">
        <v>0.91094317217111953</v>
      </c>
      <c r="AN509" s="27">
        <v>0.91131934029343298</v>
      </c>
      <c r="AO509" s="27">
        <v>0.86035319808428767</v>
      </c>
      <c r="AP509" s="27">
        <v>0.719353013729639</v>
      </c>
      <c r="AQ509" s="27">
        <v>0.91772924857495974</v>
      </c>
      <c r="AR509" s="27">
        <v>0.91094317217111953</v>
      </c>
      <c r="AS509" s="27">
        <v>0.91131934029343298</v>
      </c>
      <c r="AT509" s="27">
        <v>0.86035319808428767</v>
      </c>
      <c r="AU509" s="27">
        <v>0.719353013729639</v>
      </c>
      <c r="AW509" s="1">
        <v>13.603863011936685</v>
      </c>
      <c r="AX509" s="1">
        <v>15.470112578875453</v>
      </c>
      <c r="AY509" s="2">
        <v>1054537.7415897858</v>
      </c>
      <c r="AZ509" s="1">
        <v>15.293042140733586</v>
      </c>
      <c r="BA509" s="1">
        <v>17.164179901969661</v>
      </c>
      <c r="BB509" s="2">
        <v>858873.8189878749</v>
      </c>
      <c r="BC509" s="2">
        <f t="shared" si="56"/>
        <v>-195663.92260191089</v>
      </c>
      <c r="BD509" s="292">
        <f t="shared" si="57"/>
        <v>1.6891791287969014</v>
      </c>
      <c r="BF509" s="170">
        <f t="shared" si="52"/>
        <v>1122080.340320084</v>
      </c>
      <c r="BG509" s="2">
        <f t="shared" si="53"/>
        <v>1588012.9235294992</v>
      </c>
      <c r="BI509">
        <f t="shared" si="54"/>
        <v>0</v>
      </c>
      <c r="BJ509" s="95">
        <f t="shared" si="55"/>
        <v>1</v>
      </c>
      <c r="BP509" s="217">
        <f t="shared" si="58"/>
        <v>1588012.9235294992</v>
      </c>
    </row>
    <row r="510" spans="1:68">
      <c r="A510" s="11">
        <v>504</v>
      </c>
      <c r="C510" s="27">
        <v>0.92199800494644535</v>
      </c>
      <c r="D510" s="27">
        <v>7.8001995053554651E-2</v>
      </c>
      <c r="E510" s="27">
        <v>0</v>
      </c>
      <c r="F510" s="27">
        <v>0.85415598263643622</v>
      </c>
      <c r="G510" s="27">
        <v>0.14584401736356378</v>
      </c>
      <c r="H510" s="27">
        <v>0</v>
      </c>
      <c r="I510" s="27">
        <v>0.74649953532779711</v>
      </c>
      <c r="J510" s="27">
        <v>0.25350046467220289</v>
      </c>
      <c r="K510" s="27">
        <v>0</v>
      </c>
      <c r="L510" s="27">
        <v>8.2666244866838157E-2</v>
      </c>
      <c r="M510" s="27">
        <v>0.54583150611746301</v>
      </c>
      <c r="N510" s="27">
        <v>0.37150224901569884</v>
      </c>
      <c r="O510" s="27">
        <v>-11.084142472240941</v>
      </c>
      <c r="P510" s="27">
        <v>3.4686829674878995E-2</v>
      </c>
      <c r="Q510" s="27">
        <v>6.590504092067909E-5</v>
      </c>
      <c r="R510" s="27">
        <v>1.0586114357519081</v>
      </c>
      <c r="S510" s="154"/>
      <c r="T510">
        <v>1.1003913040428956</v>
      </c>
      <c r="U510">
        <v>2.1921631570092481</v>
      </c>
      <c r="V510">
        <v>3.3556252027939895</v>
      </c>
      <c r="W510">
        <v>1</v>
      </c>
      <c r="Y510" s="2">
        <v>973.34301758503875</v>
      </c>
      <c r="Z510" s="2">
        <v>8313.831170678166</v>
      </c>
      <c r="AA510" s="2">
        <v>216.02371179110318</v>
      </c>
      <c r="AB510" s="2">
        <v>10162.205629941205</v>
      </c>
      <c r="AC510" s="2">
        <v>336.2755548439506</v>
      </c>
      <c r="AD510" s="2">
        <v>620.62070392126736</v>
      </c>
      <c r="AE510" s="2">
        <v>602.15832503593617</v>
      </c>
      <c r="AF510" s="2">
        <v>838.51836326248849</v>
      </c>
      <c r="AG510" s="2">
        <v>136.44226499603511</v>
      </c>
      <c r="AH510" s="2">
        <v>141.98826605308275</v>
      </c>
      <c r="AI510" s="2">
        <v>402902.35433020326</v>
      </c>
      <c r="AJ510" s="2">
        <v>368877.48778163543</v>
      </c>
      <c r="AL510" s="27">
        <v>0.92134612107777192</v>
      </c>
      <c r="AM510" s="27">
        <v>0.91044790947298437</v>
      </c>
      <c r="AN510" s="27">
        <v>0.90665494714845651</v>
      </c>
      <c r="AO510" s="27">
        <v>0.88992458090538951</v>
      </c>
      <c r="AP510" s="27">
        <v>0.71346808312342025</v>
      </c>
      <c r="AQ510" s="27">
        <v>0.92134612107777192</v>
      </c>
      <c r="AR510" s="27">
        <v>0.91044790947298437</v>
      </c>
      <c r="AS510" s="27">
        <v>0.90665494714845651</v>
      </c>
      <c r="AT510" s="27">
        <v>0.88992458090538951</v>
      </c>
      <c r="AU510" s="27">
        <v>0.71346808312342025</v>
      </c>
      <c r="AW510" s="1">
        <v>13.387956139644851</v>
      </c>
      <c r="AX510" s="1">
        <v>15.408479896998145</v>
      </c>
      <c r="AY510" s="2">
        <v>1785787.7658506422</v>
      </c>
      <c r="AZ510" s="1">
        <v>15.454108193712264</v>
      </c>
      <c r="BA510" s="1">
        <v>17.41970995001709</v>
      </c>
      <c r="BB510" s="2">
        <v>1307796.0274536205</v>
      </c>
      <c r="BC510" s="2">
        <f t="shared" si="56"/>
        <v>-477991.73839702178</v>
      </c>
      <c r="BD510" s="292">
        <f t="shared" si="57"/>
        <v>2.0661520540674125</v>
      </c>
      <c r="BF510" s="170">
        <f t="shared" si="52"/>
        <v>356285.21649253415</v>
      </c>
      <c r="BG510" s="2">
        <f t="shared" si="53"/>
        <v>1164861.2835403415</v>
      </c>
      <c r="BI510">
        <f t="shared" si="54"/>
        <v>0</v>
      </c>
      <c r="BJ510" s="95">
        <f t="shared" si="55"/>
        <v>1</v>
      </c>
      <c r="BP510" s="217">
        <f t="shared" si="58"/>
        <v>1164861.2835403415</v>
      </c>
    </row>
    <row r="511" spans="1:68">
      <c r="A511" s="11">
        <v>505</v>
      </c>
      <c r="C511" s="27">
        <v>0.924468011177913</v>
      </c>
      <c r="D511" s="27">
        <v>7.5531988822087032E-2</v>
      </c>
      <c r="E511" s="27">
        <v>0</v>
      </c>
      <c r="F511" s="27">
        <v>0.85640136508500164</v>
      </c>
      <c r="G511" s="27">
        <v>0.14359863491499836</v>
      </c>
      <c r="H511" s="27">
        <v>0</v>
      </c>
      <c r="I511" s="27">
        <v>0.75279792042612392</v>
      </c>
      <c r="J511" s="27">
        <v>0.24720207957387608</v>
      </c>
      <c r="K511" s="27">
        <v>0</v>
      </c>
      <c r="L511" s="27">
        <v>9.6729867560259863E-2</v>
      </c>
      <c r="M511" s="27">
        <v>0.57475511195852191</v>
      </c>
      <c r="N511" s="27">
        <v>0.32851502048121822</v>
      </c>
      <c r="O511" s="27">
        <v>-11.317835053931594</v>
      </c>
      <c r="P511" s="27">
        <v>3.7259863675820251E-2</v>
      </c>
      <c r="Q511" s="27">
        <v>5.8124646281947407E-5</v>
      </c>
      <c r="R511" s="27">
        <v>1.0735864693758272</v>
      </c>
      <c r="S511" s="154"/>
      <c r="T511">
        <v>0.96398194776549895</v>
      </c>
      <c r="U511">
        <v>2.2251414756997994</v>
      </c>
      <c r="V511">
        <v>2.9448298730347933</v>
      </c>
      <c r="W511">
        <v>1</v>
      </c>
      <c r="Y511" s="2">
        <v>272.25329136875138</v>
      </c>
      <c r="Z511" s="2">
        <v>888.42989760656747</v>
      </c>
      <c r="AA511" s="2">
        <v>370.71594473563511</v>
      </c>
      <c r="AB511" s="2">
        <v>12792.639743590886</v>
      </c>
      <c r="AC511" s="2">
        <v>346.40479115160468</v>
      </c>
      <c r="AD511" s="2">
        <v>1702.3012540644165</v>
      </c>
      <c r="AE511" s="2">
        <v>559.34483737617063</v>
      </c>
      <c r="AF511" s="2">
        <v>1098.6806067020905</v>
      </c>
      <c r="AG511" s="2">
        <v>185.01994212341364</v>
      </c>
      <c r="AH511" s="2">
        <v>335.79946536668501</v>
      </c>
      <c r="AI511" s="2">
        <v>479040.40871799685</v>
      </c>
      <c r="AJ511" s="2">
        <v>449304.29722677387</v>
      </c>
      <c r="AL511" s="27">
        <v>0.91432495382559664</v>
      </c>
      <c r="AM511" s="27">
        <v>0.91819835897140989</v>
      </c>
      <c r="AN511" s="27">
        <v>0.90767654795427688</v>
      </c>
      <c r="AO511" s="27">
        <v>0.86091533200128956</v>
      </c>
      <c r="AP511" s="27">
        <v>0.70512916334749254</v>
      </c>
      <c r="AQ511" s="27">
        <v>0.91432495382559664</v>
      </c>
      <c r="AR511" s="27">
        <v>0.91819835897140989</v>
      </c>
      <c r="AS511" s="27">
        <v>0.90767654795427688</v>
      </c>
      <c r="AT511" s="27">
        <v>0.86091533200128956</v>
      </c>
      <c r="AU511" s="27">
        <v>0.70512916334749254</v>
      </c>
      <c r="AW511" s="1">
        <v>13.989256428667961</v>
      </c>
      <c r="AX511" s="1">
        <v>16.141190695008447</v>
      </c>
      <c r="AY511" s="2">
        <v>1978895.8652724314</v>
      </c>
      <c r="AZ511" s="1">
        <v>15.607825497590113</v>
      </c>
      <c r="BA511" s="1">
        <v>17.67846359379292</v>
      </c>
      <c r="BB511" s="2">
        <v>1664532.4031749265</v>
      </c>
      <c r="BC511" s="2">
        <f t="shared" si="56"/>
        <v>-314363.46209750487</v>
      </c>
      <c r="BD511" s="292">
        <f t="shared" si="57"/>
        <v>1.6185690689221524</v>
      </c>
      <c r="BF511" s="170">
        <f t="shared" si="52"/>
        <v>259385.16331444238</v>
      </c>
      <c r="BG511" s="2">
        <f t="shared" si="53"/>
        <v>832719.67643949157</v>
      </c>
      <c r="BI511">
        <f t="shared" si="54"/>
        <v>0</v>
      </c>
      <c r="BJ511" s="95">
        <f t="shared" si="55"/>
        <v>1</v>
      </c>
      <c r="BP511" s="217">
        <f t="shared" si="58"/>
        <v>832719.67643949157</v>
      </c>
    </row>
    <row r="512" spans="1:68">
      <c r="A512" s="11">
        <v>506</v>
      </c>
      <c r="C512" s="27">
        <v>0.92116661577950398</v>
      </c>
      <c r="D512" s="27">
        <v>7.8833384220496017E-2</v>
      </c>
      <c r="E512" s="27">
        <v>0</v>
      </c>
      <c r="F512" s="27">
        <v>0.85187597781431945</v>
      </c>
      <c r="G512" s="27">
        <v>0.14812402218568055</v>
      </c>
      <c r="H512" s="27">
        <v>0</v>
      </c>
      <c r="I512" s="27">
        <v>0.7425540050247228</v>
      </c>
      <c r="J512" s="27">
        <v>0.2574459949752772</v>
      </c>
      <c r="K512" s="27">
        <v>0</v>
      </c>
      <c r="L512" s="27">
        <v>0.17399941985866407</v>
      </c>
      <c r="M512" s="27">
        <v>0.46438956310619162</v>
      </c>
      <c r="N512" s="27">
        <v>0.36161101703514431</v>
      </c>
      <c r="O512" s="27">
        <v>-11.214703985124274</v>
      </c>
      <c r="P512" s="27">
        <v>3.4814432443779728E-2</v>
      </c>
      <c r="Q512" s="27">
        <v>5.8149235711316224E-5</v>
      </c>
      <c r="R512" s="27">
        <v>1.0877971107299487</v>
      </c>
      <c r="S512" s="154"/>
      <c r="T512">
        <v>1.0669776120371059</v>
      </c>
      <c r="U512">
        <v>2.2861174531041231</v>
      </c>
      <c r="V512">
        <v>3.1148022949708616</v>
      </c>
      <c r="W512">
        <v>1</v>
      </c>
      <c r="Y512" s="2">
        <v>317.85566704348633</v>
      </c>
      <c r="Z512" s="2">
        <v>3144.3276369000869</v>
      </c>
      <c r="AA512" s="2">
        <v>1731.4045014391829</v>
      </c>
      <c r="AB512" s="2">
        <v>9747.2779967531496</v>
      </c>
      <c r="AC512" s="2">
        <v>839.73483295485767</v>
      </c>
      <c r="AD512" s="2">
        <v>1841.5700771447634</v>
      </c>
      <c r="AE512" s="2">
        <v>554.5135991625267</v>
      </c>
      <c r="AF512" s="2">
        <v>898.45251098083122</v>
      </c>
      <c r="AG512" s="2">
        <v>90.14100110756246</v>
      </c>
      <c r="AH512" s="2">
        <v>239.56573365526251</v>
      </c>
      <c r="AI512" s="2">
        <v>793864.99217525602</v>
      </c>
      <c r="AJ512" s="2">
        <v>756026.40744965663</v>
      </c>
      <c r="AL512" s="27">
        <v>0.91491453008074763</v>
      </c>
      <c r="AM512" s="27">
        <v>0.91690839118263201</v>
      </c>
      <c r="AN512" s="27">
        <v>0.91283156542017263</v>
      </c>
      <c r="AO512" s="27">
        <v>0.87596583055510002</v>
      </c>
      <c r="AP512" s="27">
        <v>0.71440949725343839</v>
      </c>
      <c r="AQ512" s="27">
        <v>0.91491453008074763</v>
      </c>
      <c r="AR512" s="27">
        <v>0.91690839118263201</v>
      </c>
      <c r="AS512" s="27">
        <v>0.91283156542017263</v>
      </c>
      <c r="AT512" s="27">
        <v>0.87596583055510002</v>
      </c>
      <c r="AU512" s="27">
        <v>0.71440949725343839</v>
      </c>
      <c r="AW512" s="1">
        <v>13.133480071780223</v>
      </c>
      <c r="AX512" s="1">
        <v>15.085719850311689</v>
      </c>
      <c r="AY512" s="2">
        <v>3028983.6672903667</v>
      </c>
      <c r="AZ512" s="1">
        <v>15.213054905149058</v>
      </c>
      <c r="BA512" s="1">
        <v>17.133837512354702</v>
      </c>
      <c r="BB512" s="2">
        <v>2271696.2780844197</v>
      </c>
      <c r="BC512" s="2">
        <f t="shared" si="56"/>
        <v>-757287.38920594705</v>
      </c>
      <c r="BD512" s="292">
        <f t="shared" si="57"/>
        <v>2.0795748333688344</v>
      </c>
      <c r="BF512" s="170">
        <f t="shared" si="52"/>
        <v>-927626.85580553114</v>
      </c>
      <c r="BG512" s="2">
        <f t="shared" si="53"/>
        <v>162392.50673942966</v>
      </c>
      <c r="BI512">
        <f t="shared" si="54"/>
        <v>0</v>
      </c>
      <c r="BJ512" s="95">
        <f t="shared" si="55"/>
        <v>1</v>
      </c>
      <c r="BP512" s="217">
        <f t="shared" si="58"/>
        <v>162392.50673942966</v>
      </c>
    </row>
    <row r="513" spans="1:68">
      <c r="A513" s="11">
        <v>507</v>
      </c>
      <c r="C513" s="27">
        <v>0.92291024022637536</v>
      </c>
      <c r="D513" s="27">
        <v>7.7089759773624644E-2</v>
      </c>
      <c r="E513" s="27">
        <v>0</v>
      </c>
      <c r="F513" s="27">
        <v>0.85354905838840567</v>
      </c>
      <c r="G513" s="27">
        <v>0.14645094161159433</v>
      </c>
      <c r="H513" s="27">
        <v>0</v>
      </c>
      <c r="I513" s="27">
        <v>0.74672242143367118</v>
      </c>
      <c r="J513" s="27">
        <v>0.25327757856632882</v>
      </c>
      <c r="K513" s="27">
        <v>0</v>
      </c>
      <c r="L513" s="27">
        <v>7.4670050275522981E-2</v>
      </c>
      <c r="M513" s="27">
        <v>0.50900141438667312</v>
      </c>
      <c r="N513" s="27">
        <v>0.4163285353378039</v>
      </c>
      <c r="O513" s="27">
        <v>-11.170623770139541</v>
      </c>
      <c r="P513" s="27">
        <v>3.299077471637895E-2</v>
      </c>
      <c r="Q513" s="27">
        <v>5.6289010792814602E-5</v>
      </c>
      <c r="R513" s="27">
        <v>1.0856818629818377</v>
      </c>
      <c r="S513" s="154"/>
      <c r="T513">
        <v>1.0703134598359068</v>
      </c>
      <c r="U513">
        <v>2.2203905506731294</v>
      </c>
      <c r="V513">
        <v>3.3099038738569742</v>
      </c>
      <c r="W513">
        <v>1</v>
      </c>
      <c r="Y513" s="2">
        <v>237.67005221040787</v>
      </c>
      <c r="Z513" s="2">
        <v>4831.7759469004832</v>
      </c>
      <c r="AA513" s="2">
        <v>629.40375286953895</v>
      </c>
      <c r="AB513" s="2">
        <v>2809.1740038923963</v>
      </c>
      <c r="AC513" s="2">
        <v>462.28071465804817</v>
      </c>
      <c r="AD513" s="2">
        <v>360.10052052898027</v>
      </c>
      <c r="AE513" s="2">
        <v>562.39211097191128</v>
      </c>
      <c r="AF513" s="2">
        <v>1138.9567016248882</v>
      </c>
      <c r="AG513" s="2">
        <v>88.408670519518495</v>
      </c>
      <c r="AH513" s="2">
        <v>306.11990655800849</v>
      </c>
      <c r="AI513" s="2">
        <v>467943.63386274379</v>
      </c>
      <c r="AJ513" s="2">
        <v>441639.92144837882</v>
      </c>
      <c r="AL513" s="27">
        <v>0.91601081950439622</v>
      </c>
      <c r="AM513" s="27">
        <v>0.91605955885914847</v>
      </c>
      <c r="AN513" s="27">
        <v>0.91045944026577941</v>
      </c>
      <c r="AO513" s="27">
        <v>0.88730684952724048</v>
      </c>
      <c r="AP513" s="27">
        <v>0.67127929824868049</v>
      </c>
      <c r="AQ513" s="27">
        <v>0.91601081950439622</v>
      </c>
      <c r="AR513" s="27">
        <v>0.91605955885914847</v>
      </c>
      <c r="AS513" s="27">
        <v>0.91045944026577941</v>
      </c>
      <c r="AT513" s="27">
        <v>0.88730684952724048</v>
      </c>
      <c r="AU513" s="27">
        <v>0.67127929824868049</v>
      </c>
      <c r="AW513" s="1">
        <v>13.038530847298011</v>
      </c>
      <c r="AX513" s="1">
        <v>15.109567194855627</v>
      </c>
      <c r="AY513" s="2">
        <v>1805477.3263902273</v>
      </c>
      <c r="AZ513" s="1">
        <v>15.167284371286678</v>
      </c>
      <c r="BA513" s="1">
        <v>17.169288554659847</v>
      </c>
      <c r="BB513" s="2">
        <v>1261220.5009061566</v>
      </c>
      <c r="BC513" s="2">
        <f t="shared" si="56"/>
        <v>-544256.82548407069</v>
      </c>
      <c r="BD513" s="292">
        <f t="shared" si="57"/>
        <v>2.1287535239886672</v>
      </c>
      <c r="BF513" s="170">
        <f t="shared" si="52"/>
        <v>280687.60917745437</v>
      </c>
      <c r="BG513" s="2">
        <f t="shared" si="53"/>
        <v>1165544.9984997117</v>
      </c>
      <c r="BI513">
        <f t="shared" si="54"/>
        <v>0</v>
      </c>
      <c r="BJ513" s="95">
        <f t="shared" si="55"/>
        <v>1</v>
      </c>
      <c r="BP513" s="217">
        <f t="shared" si="58"/>
        <v>1165544.9984997117</v>
      </c>
    </row>
    <row r="514" spans="1:68">
      <c r="A514" s="11">
        <v>508</v>
      </c>
      <c r="C514" s="27">
        <v>0.92040715384090299</v>
      </c>
      <c r="D514" s="27">
        <v>7.9592846159097008E-2</v>
      </c>
      <c r="E514" s="27">
        <v>0</v>
      </c>
      <c r="F514" s="27">
        <v>0.85904214579085703</v>
      </c>
      <c r="G514" s="27">
        <v>0.14095785420914303</v>
      </c>
      <c r="H514" s="27">
        <v>0</v>
      </c>
      <c r="I514" s="27">
        <v>0.75367587723837315</v>
      </c>
      <c r="J514" s="27">
        <v>0.24632412276162682</v>
      </c>
      <c r="K514" s="27">
        <v>0</v>
      </c>
      <c r="L514" s="27">
        <v>8.1396005750154377E-2</v>
      </c>
      <c r="M514" s="27">
        <v>0.50026850947956203</v>
      </c>
      <c r="N514" s="27">
        <v>0.41833548477028359</v>
      </c>
      <c r="O514" s="27">
        <v>-11.282736668638524</v>
      </c>
      <c r="P514" s="27">
        <v>3.7526770346286493E-2</v>
      </c>
      <c r="Q514" s="27">
        <v>6.087960612693369E-5</v>
      </c>
      <c r="R514" s="27">
        <v>1.0711119279877241</v>
      </c>
      <c r="S514" s="154"/>
      <c r="T514">
        <v>0.98794986965709741</v>
      </c>
      <c r="U514">
        <v>2.2170815461611775</v>
      </c>
      <c r="V514">
        <v>2.8757994626005865</v>
      </c>
      <c r="W514">
        <v>1</v>
      </c>
      <c r="Y514" s="2">
        <v>474.64380383745527</v>
      </c>
      <c r="Z514" s="2">
        <v>384.05303948174384</v>
      </c>
      <c r="AA514" s="2">
        <v>6641.835886022096</v>
      </c>
      <c r="AB514" s="2">
        <v>285.42784144909774</v>
      </c>
      <c r="AC514" s="2">
        <v>4339.62230756811</v>
      </c>
      <c r="AD514" s="2">
        <v>4246.5668243824866</v>
      </c>
      <c r="AE514" s="2">
        <v>591.73547640384027</v>
      </c>
      <c r="AF514" s="2">
        <v>1140.3687046540913</v>
      </c>
      <c r="AG514" s="2">
        <v>127.22954952107388</v>
      </c>
      <c r="AH514" s="2">
        <v>658.63126513816849</v>
      </c>
      <c r="AI514" s="2">
        <v>554854.81055705424</v>
      </c>
      <c r="AJ514" s="2">
        <v>518354.66266590724</v>
      </c>
      <c r="AL514" s="27">
        <v>0.91625604312754494</v>
      </c>
      <c r="AM514" s="27">
        <v>0.9070887404252701</v>
      </c>
      <c r="AN514" s="27">
        <v>0.91153680700687867</v>
      </c>
      <c r="AO514" s="27">
        <v>0.86494615377492612</v>
      </c>
      <c r="AP514" s="27">
        <v>0.73994911377369488</v>
      </c>
      <c r="AQ514" s="27">
        <v>0.91625604312754494</v>
      </c>
      <c r="AR514" s="27">
        <v>0.9070887404252701</v>
      </c>
      <c r="AS514" s="27">
        <v>0.91153680700687867</v>
      </c>
      <c r="AT514" s="27">
        <v>0.86494615377492612</v>
      </c>
      <c r="AU514" s="27">
        <v>0.73994911377369488</v>
      </c>
      <c r="AW514" s="1">
        <v>13.526011026984493</v>
      </c>
      <c r="AX514" s="1">
        <v>15.416969781857281</v>
      </c>
      <c r="AY514" s="2">
        <v>2051439.9196013878</v>
      </c>
      <c r="AZ514" s="1">
        <v>15.314275307200404</v>
      </c>
      <c r="BA514" s="1">
        <v>17.213961846395033</v>
      </c>
      <c r="BB514" s="2">
        <v>1608106.0535344877</v>
      </c>
      <c r="BC514" s="2">
        <f t="shared" si="56"/>
        <v>-443333.86606690008</v>
      </c>
      <c r="BD514" s="292">
        <f t="shared" si="57"/>
        <v>1.7882642802159108</v>
      </c>
      <c r="BF514" s="170">
        <f t="shared" si="52"/>
        <v>112721.84471613122</v>
      </c>
      <c r="BG514" s="2">
        <f t="shared" si="53"/>
        <v>842177.99561757687</v>
      </c>
      <c r="BI514">
        <f t="shared" si="54"/>
        <v>0</v>
      </c>
      <c r="BJ514" s="95">
        <f t="shared" si="55"/>
        <v>1</v>
      </c>
      <c r="BP514" s="217">
        <f t="shared" si="58"/>
        <v>842177.99561757687</v>
      </c>
    </row>
    <row r="515" spans="1:68">
      <c r="A515" s="11">
        <v>509</v>
      </c>
      <c r="C515" s="27">
        <v>0.92054759098313677</v>
      </c>
      <c r="D515" s="27">
        <v>7.9452409016863235E-2</v>
      </c>
      <c r="E515" s="27">
        <v>0</v>
      </c>
      <c r="F515" s="27">
        <v>0.84865067686049944</v>
      </c>
      <c r="G515" s="27">
        <v>0.15134932313950056</v>
      </c>
      <c r="H515" s="27">
        <v>0</v>
      </c>
      <c r="I515" s="27">
        <v>0.74521984664012753</v>
      </c>
      <c r="J515" s="27">
        <v>0.25478015335987247</v>
      </c>
      <c r="K515" s="27">
        <v>0</v>
      </c>
      <c r="L515" s="27">
        <v>5.3460480386735898E-2</v>
      </c>
      <c r="M515" s="27">
        <v>0.54692409388468222</v>
      </c>
      <c r="N515" s="27">
        <v>0.39961542572858189</v>
      </c>
      <c r="O515" s="27">
        <v>-11.083483891902361</v>
      </c>
      <c r="P515" s="27">
        <v>3.3324161794461273E-2</v>
      </c>
      <c r="Q515" s="27">
        <v>6.2280069408824764E-5</v>
      </c>
      <c r="R515" s="27">
        <v>1.0705586135117606</v>
      </c>
      <c r="S515" s="154"/>
      <c r="T515">
        <v>1.0115058751747787</v>
      </c>
      <c r="U515">
        <v>2.328758598105146</v>
      </c>
      <c r="V515">
        <v>2.9270577077576401</v>
      </c>
      <c r="W515">
        <v>1</v>
      </c>
      <c r="Y515" s="2">
        <v>1445.0978026907808</v>
      </c>
      <c r="Z515" s="2">
        <v>4175.5201383573512</v>
      </c>
      <c r="AA515" s="2">
        <v>1304.3718999140815</v>
      </c>
      <c r="AB515" s="2">
        <v>5398.7656894319998</v>
      </c>
      <c r="AC515" s="2">
        <v>50.367457503177967</v>
      </c>
      <c r="AD515" s="2">
        <v>93.211820635476499</v>
      </c>
      <c r="AE515" s="2">
        <v>556.90846512029782</v>
      </c>
      <c r="AF515" s="2">
        <v>1131.3268382687374</v>
      </c>
      <c r="AG515" s="2">
        <v>201.36896723642835</v>
      </c>
      <c r="AH515" s="2">
        <v>276.85728877309492</v>
      </c>
      <c r="AI515" s="2">
        <v>503531.61692423176</v>
      </c>
      <c r="AJ515" s="2">
        <v>461835.84109557362</v>
      </c>
      <c r="AL515" s="27">
        <v>0.91189543055091005</v>
      </c>
      <c r="AM515" s="27">
        <v>0.91516525865984855</v>
      </c>
      <c r="AN515" s="27">
        <v>0.90859840002331671</v>
      </c>
      <c r="AO515" s="27">
        <v>0.86721863340112371</v>
      </c>
      <c r="AP515" s="27">
        <v>0.6248331175696431</v>
      </c>
      <c r="AQ515" s="27">
        <v>0.91189543055091005</v>
      </c>
      <c r="AR515" s="27">
        <v>0.91516525865984855</v>
      </c>
      <c r="AS515" s="27">
        <v>0.90859840002331671</v>
      </c>
      <c r="AT515" s="27">
        <v>0.86721863340112371</v>
      </c>
      <c r="AU515" s="27">
        <v>0.6248331175696431</v>
      </c>
      <c r="AW515" s="1">
        <v>13.016940486920205</v>
      </c>
      <c r="AX515" s="1">
        <v>15.365452667966489</v>
      </c>
      <c r="AY515" s="2">
        <v>2002699.5550910758</v>
      </c>
      <c r="AZ515" s="1">
        <v>14.975713747305701</v>
      </c>
      <c r="BA515" s="1">
        <v>17.197935697995504</v>
      </c>
      <c r="BB515" s="2">
        <v>1488332.8755537947</v>
      </c>
      <c r="BC515" s="2">
        <f t="shared" si="56"/>
        <v>-514366.67953728116</v>
      </c>
      <c r="BD515" s="292">
        <f t="shared" si="57"/>
        <v>1.9587732603854953</v>
      </c>
      <c r="BF515" s="170">
        <f t="shared" si="52"/>
        <v>80010.922816157108</v>
      </c>
      <c r="BG515" s="2">
        <f t="shared" si="53"/>
        <v>907781.32401511725</v>
      </c>
      <c r="BI515">
        <f t="shared" si="54"/>
        <v>0</v>
      </c>
      <c r="BJ515" s="95">
        <f t="shared" si="55"/>
        <v>1</v>
      </c>
      <c r="BP515" s="217">
        <f t="shared" si="58"/>
        <v>907781.32401511725</v>
      </c>
    </row>
    <row r="516" spans="1:68">
      <c r="A516" s="11">
        <v>510</v>
      </c>
      <c r="C516" s="27">
        <v>0.92394626456341433</v>
      </c>
      <c r="D516" s="27">
        <v>7.6053735436585626E-2</v>
      </c>
      <c r="E516" s="27">
        <v>0</v>
      </c>
      <c r="F516" s="27">
        <v>0.86185953387489311</v>
      </c>
      <c r="G516" s="27">
        <v>0.13814046612510691</v>
      </c>
      <c r="H516" s="27">
        <v>0</v>
      </c>
      <c r="I516" s="27">
        <v>0.75238873494861558</v>
      </c>
      <c r="J516" s="27">
        <v>0.24761126505138442</v>
      </c>
      <c r="K516" s="27">
        <v>0</v>
      </c>
      <c r="L516" s="27">
        <v>0.12428831414042707</v>
      </c>
      <c r="M516" s="27">
        <v>0.54724861810671932</v>
      </c>
      <c r="N516" s="27">
        <v>0.32846306775285361</v>
      </c>
      <c r="O516" s="27">
        <v>-11.701485770491702</v>
      </c>
      <c r="P516" s="27">
        <v>3.8949003735447449E-2</v>
      </c>
      <c r="Q516" s="27">
        <v>4.2516104958954828E-5</v>
      </c>
      <c r="R516" s="27">
        <v>1.1094841285650832</v>
      </c>
      <c r="S516" s="154"/>
      <c r="T516">
        <v>1.0461849070278022</v>
      </c>
      <c r="U516">
        <v>2.2843215632503839</v>
      </c>
      <c r="V516">
        <v>2.8391207202210755</v>
      </c>
      <c r="W516">
        <v>1</v>
      </c>
      <c r="Y516" s="2">
        <v>1613.439888708609</v>
      </c>
      <c r="Z516" s="2">
        <v>6556.5288397566919</v>
      </c>
      <c r="AA516" s="2">
        <v>479.84711604117285</v>
      </c>
      <c r="AB516" s="2">
        <v>550.89305129934633</v>
      </c>
      <c r="AC516" s="2">
        <v>539.46129345482245</v>
      </c>
      <c r="AD516" s="2">
        <v>479.29464690196193</v>
      </c>
      <c r="AE516" s="2">
        <v>474.27020534850431</v>
      </c>
      <c r="AF516" s="2">
        <v>853.14660564219457</v>
      </c>
      <c r="AG516" s="2">
        <v>135.28829932292845</v>
      </c>
      <c r="AH516" s="2">
        <v>513.55754166476311</v>
      </c>
      <c r="AI516" s="2">
        <v>548097.25060231495</v>
      </c>
      <c r="AJ516" s="2">
        <v>505376.90833359031</v>
      </c>
      <c r="AL516" s="27">
        <v>0.92274158741122525</v>
      </c>
      <c r="AM516" s="27">
        <v>0.92113620225680637</v>
      </c>
      <c r="AN516" s="27">
        <v>0.91293138789479</v>
      </c>
      <c r="AO516" s="27">
        <v>0.86000685689493706</v>
      </c>
      <c r="AP516" s="27">
        <v>0.70783845257179268</v>
      </c>
      <c r="AQ516" s="27">
        <v>0.92274158741122525</v>
      </c>
      <c r="AR516" s="27">
        <v>0.92113620225680637</v>
      </c>
      <c r="AS516" s="27">
        <v>0.91293138789479</v>
      </c>
      <c r="AT516" s="27">
        <v>0.86000685689493706</v>
      </c>
      <c r="AU516" s="27">
        <v>0.70783845257179268</v>
      </c>
      <c r="AW516" s="1">
        <v>13.800398569715588</v>
      </c>
      <c r="AX516" s="1">
        <v>15.839619662063852</v>
      </c>
      <c r="AY516" s="2">
        <v>2329799.5168387452</v>
      </c>
      <c r="AZ516" s="1">
        <v>15.703863629170067</v>
      </c>
      <c r="BA516" s="1">
        <v>17.645894279977281</v>
      </c>
      <c r="BB516" s="2">
        <v>1547018.8557662119</v>
      </c>
      <c r="BC516" s="2">
        <f t="shared" si="56"/>
        <v>-782780.66107253334</v>
      </c>
      <c r="BD516" s="292">
        <f t="shared" si="57"/>
        <v>1.9034650594544793</v>
      </c>
      <c r="BF516" s="170">
        <f t="shared" si="52"/>
        <v>-121735.74568425119</v>
      </c>
      <c r="BG516" s="2">
        <f t="shared" si="53"/>
        <v>965599.32490099897</v>
      </c>
      <c r="BI516">
        <f t="shared" si="54"/>
        <v>0</v>
      </c>
      <c r="BJ516" s="95">
        <f t="shared" si="55"/>
        <v>1</v>
      </c>
      <c r="BP516" s="217">
        <f t="shared" si="58"/>
        <v>965599.32490099897</v>
      </c>
    </row>
    <row r="517" spans="1:68">
      <c r="A517" s="11">
        <v>511</v>
      </c>
      <c r="C517" s="27">
        <v>0.92278228765414561</v>
      </c>
      <c r="D517" s="27">
        <v>7.7217712345854395E-2</v>
      </c>
      <c r="E517" s="27">
        <v>0</v>
      </c>
      <c r="F517" s="27">
        <v>0.85568600726845367</v>
      </c>
      <c r="G517" s="27">
        <v>0.14431399273154633</v>
      </c>
      <c r="H517" s="27">
        <v>0</v>
      </c>
      <c r="I517" s="27">
        <v>0.74275969943015197</v>
      </c>
      <c r="J517" s="27">
        <v>0.25724030056984803</v>
      </c>
      <c r="K517" s="27">
        <v>0</v>
      </c>
      <c r="L517" s="27">
        <v>7.8587344502207501E-2</v>
      </c>
      <c r="M517" s="27">
        <v>0.49758658134331907</v>
      </c>
      <c r="N517" s="27">
        <v>0.42382607415447338</v>
      </c>
      <c r="O517" s="27">
        <v>-11.79481144772887</v>
      </c>
      <c r="P517" s="27">
        <v>3.60575518658015E-2</v>
      </c>
      <c r="Q517" s="27">
        <v>3.4299003065340345E-5</v>
      </c>
      <c r="R517" s="27">
        <v>1.152439895316967</v>
      </c>
      <c r="S517" s="154"/>
      <c r="T517">
        <v>0.95193445195569104</v>
      </c>
      <c r="U517">
        <v>2.2302628955940538</v>
      </c>
      <c r="V517">
        <v>3.0216434548691327</v>
      </c>
      <c r="W517">
        <v>1</v>
      </c>
      <c r="Y517" s="2">
        <v>34.429129256197747</v>
      </c>
      <c r="Z517" s="2">
        <v>3049.2098675555344</v>
      </c>
      <c r="AA517" s="2">
        <v>3164.8845717671707</v>
      </c>
      <c r="AB517" s="2">
        <v>1349.7208450994799</v>
      </c>
      <c r="AC517" s="2">
        <v>102.62989550642889</v>
      </c>
      <c r="AD517" s="2">
        <v>479.06409200854807</v>
      </c>
      <c r="AE517" s="2">
        <v>484.66671433917264</v>
      </c>
      <c r="AF517" s="2">
        <v>1171.5821881252966</v>
      </c>
      <c r="AG517" s="2">
        <v>85.835514379431004</v>
      </c>
      <c r="AH517" s="2">
        <v>293.27891317085925</v>
      </c>
      <c r="AI517" s="2">
        <v>602364.6743867168</v>
      </c>
      <c r="AJ517" s="2">
        <v>575804.31225804857</v>
      </c>
      <c r="AL517" s="27">
        <v>0.91816076303201855</v>
      </c>
      <c r="AM517" s="27">
        <v>0.91264083043536526</v>
      </c>
      <c r="AN517" s="27">
        <v>0.91175303908049554</v>
      </c>
      <c r="AO517" s="27">
        <v>0.85302176368327587</v>
      </c>
      <c r="AP517" s="27">
        <v>0.75009389894901268</v>
      </c>
      <c r="AQ517" s="27">
        <v>0.91816076303201855</v>
      </c>
      <c r="AR517" s="27">
        <v>0.91264083043536526</v>
      </c>
      <c r="AS517" s="27">
        <v>0.91175303908049554</v>
      </c>
      <c r="AT517" s="27">
        <v>0.85302176368327587</v>
      </c>
      <c r="AU517" s="27">
        <v>0.75009389894901268</v>
      </c>
      <c r="AW517" s="1">
        <v>13.505193329990519</v>
      </c>
      <c r="AX517" s="1">
        <v>15.276138894619722</v>
      </c>
      <c r="AY517" s="2">
        <v>1994215.0050334195</v>
      </c>
      <c r="AZ517" s="1">
        <v>15.216716452567656</v>
      </c>
      <c r="BA517" s="1">
        <v>17.013054167708074</v>
      </c>
      <c r="BB517" s="2">
        <v>1513940.7226892074</v>
      </c>
      <c r="BC517" s="2">
        <f t="shared" si="56"/>
        <v>-480274.28234421206</v>
      </c>
      <c r="BD517" s="292">
        <f t="shared" si="57"/>
        <v>1.7115231225771375</v>
      </c>
      <c r="BF517" s="170">
        <f t="shared" si="52"/>
        <v>166615.92776506348</v>
      </c>
      <c r="BG517" s="2">
        <f t="shared" si="53"/>
        <v>920733.90972161735</v>
      </c>
      <c r="BI517">
        <f t="shared" si="54"/>
        <v>0</v>
      </c>
      <c r="BJ517" s="95">
        <f t="shared" si="55"/>
        <v>1</v>
      </c>
      <c r="BP517" s="217">
        <f t="shared" si="58"/>
        <v>920733.90972161735</v>
      </c>
    </row>
    <row r="518" spans="1:68">
      <c r="A518" s="11">
        <v>512</v>
      </c>
      <c r="C518" s="27">
        <v>0.92529405516027818</v>
      </c>
      <c r="D518" s="27">
        <v>7.4705944839721844E-2</v>
      </c>
      <c r="E518" s="27">
        <v>0</v>
      </c>
      <c r="F518" s="27">
        <v>0.86317213730199049</v>
      </c>
      <c r="G518" s="27">
        <v>0.13682786269800951</v>
      </c>
      <c r="H518" s="27">
        <v>0</v>
      </c>
      <c r="I518" s="27">
        <v>0.73792352044003884</v>
      </c>
      <c r="J518" s="27">
        <v>0.26207647955996116</v>
      </c>
      <c r="K518" s="27">
        <v>0</v>
      </c>
      <c r="L518" s="27">
        <v>0.14342835459252889</v>
      </c>
      <c r="M518" s="27">
        <v>0.45745441247630481</v>
      </c>
      <c r="N518" s="27">
        <v>0.3991172329311663</v>
      </c>
      <c r="O518" s="27">
        <v>-11.216446667203179</v>
      </c>
      <c r="P518" s="27">
        <v>3.9303100020202118E-2</v>
      </c>
      <c r="Q518" s="27">
        <v>7.009097854014403E-5</v>
      </c>
      <c r="R518" s="27">
        <v>1.0411534511884193</v>
      </c>
      <c r="S518" s="154"/>
      <c r="T518">
        <v>0.93559917079151333</v>
      </c>
      <c r="U518">
        <v>2.247636992687704</v>
      </c>
      <c r="V518">
        <v>3.1962244054333584</v>
      </c>
      <c r="W518">
        <v>1</v>
      </c>
      <c r="Y518" s="2">
        <v>797.7100331604172</v>
      </c>
      <c r="Z518" s="2">
        <v>3915.7121132283382</v>
      </c>
      <c r="AA518" s="2">
        <v>51.527236981515323</v>
      </c>
      <c r="AB518" s="2">
        <v>693.28234262531657</v>
      </c>
      <c r="AC518" s="2">
        <v>1206.7857638842502</v>
      </c>
      <c r="AD518" s="2">
        <v>2036.8645334663249</v>
      </c>
      <c r="AE518" s="2">
        <v>597.17342340550442</v>
      </c>
      <c r="AF518" s="2">
        <v>999.4627893018876</v>
      </c>
      <c r="AG518" s="2">
        <v>130.0246738842624</v>
      </c>
      <c r="AH518" s="2">
        <v>509.62503197607526</v>
      </c>
      <c r="AI518" s="2">
        <v>412962.19055346912</v>
      </c>
      <c r="AJ518" s="2">
        <v>380610.91850310081</v>
      </c>
      <c r="AL518" s="27">
        <v>0.91445459148813679</v>
      </c>
      <c r="AM518" s="27">
        <v>0.90723224892951504</v>
      </c>
      <c r="AN518" s="27">
        <v>0.90812108594376473</v>
      </c>
      <c r="AO518" s="27">
        <v>0.84713671475218177</v>
      </c>
      <c r="AP518" s="27">
        <v>0.72346013804631859</v>
      </c>
      <c r="AQ518" s="27">
        <v>0.91445459148813679</v>
      </c>
      <c r="AR518" s="27">
        <v>0.90723224892951504</v>
      </c>
      <c r="AS518" s="27">
        <v>0.90812108594376473</v>
      </c>
      <c r="AT518" s="27">
        <v>0.84713671475218177</v>
      </c>
      <c r="AU518" s="27">
        <v>0.72346013804631859</v>
      </c>
      <c r="AW518" s="1">
        <v>13.823879227303106</v>
      </c>
      <c r="AX518" s="1">
        <v>15.816059892250921</v>
      </c>
      <c r="AY518" s="2">
        <v>1515771.3212707147</v>
      </c>
      <c r="AZ518" s="1">
        <v>15.430015116857389</v>
      </c>
      <c r="BA518" s="1">
        <v>17.410729964309223</v>
      </c>
      <c r="BB518" s="2">
        <v>1094153.3310663134</v>
      </c>
      <c r="BC518" s="2">
        <f t="shared" si="56"/>
        <v>-421617.99020440131</v>
      </c>
      <c r="BD518" s="292">
        <f t="shared" si="57"/>
        <v>1.6061358895542828</v>
      </c>
      <c r="BF518" s="170">
        <f t="shared" si="52"/>
        <v>696049.3550977821</v>
      </c>
      <c r="BG518" s="2">
        <f t="shared" si="53"/>
        <v>1374649.0876308687</v>
      </c>
      <c r="BI518">
        <f t="shared" si="54"/>
        <v>0</v>
      </c>
      <c r="BJ518" s="95">
        <f t="shared" si="55"/>
        <v>1</v>
      </c>
      <c r="BP518" s="217">
        <f t="shared" si="58"/>
        <v>1374649.0876308687</v>
      </c>
    </row>
    <row r="519" spans="1:68">
      <c r="A519" s="11">
        <v>513</v>
      </c>
      <c r="C519" s="27">
        <v>0.92162493094897757</v>
      </c>
      <c r="D519" s="27">
        <v>7.8375069051022428E-2</v>
      </c>
      <c r="E519" s="27">
        <v>0</v>
      </c>
      <c r="F519" s="27">
        <v>0.8588936193265323</v>
      </c>
      <c r="G519" s="27">
        <v>0.14110638067346773</v>
      </c>
      <c r="H519" s="27">
        <v>0</v>
      </c>
      <c r="I519" s="27">
        <v>0.75581682105281656</v>
      </c>
      <c r="J519" s="27">
        <v>0.24418317894718344</v>
      </c>
      <c r="K519" s="27">
        <v>0</v>
      </c>
      <c r="L519" s="27">
        <v>0.12122229798925899</v>
      </c>
      <c r="M519" s="27">
        <v>0.49457492597163799</v>
      </c>
      <c r="N519" s="27">
        <v>0.38420277603910302</v>
      </c>
      <c r="O519" s="27">
        <v>-11.156292295465777</v>
      </c>
      <c r="P519" s="27">
        <v>3.2891893907422497E-2</v>
      </c>
      <c r="Q519" s="27">
        <v>5.6864873132838643E-5</v>
      </c>
      <c r="R519" s="27">
        <v>1.086476161462075</v>
      </c>
      <c r="S519" s="154"/>
      <c r="T519">
        <v>1.0374218427091966</v>
      </c>
      <c r="U519">
        <v>2.3229443805363883</v>
      </c>
      <c r="V519">
        <v>2.9764016671833464</v>
      </c>
      <c r="W519">
        <v>1</v>
      </c>
      <c r="Y519" s="2">
        <v>773.53969965241492</v>
      </c>
      <c r="Z519" s="2">
        <v>3608.0370946693988</v>
      </c>
      <c r="AA519" s="2">
        <v>2683.7385221205482</v>
      </c>
      <c r="AB519" s="2">
        <v>334.73913649860043</v>
      </c>
      <c r="AC519" s="2">
        <v>61.80629105992643</v>
      </c>
      <c r="AD519" s="2">
        <v>11356.22632346775</v>
      </c>
      <c r="AE519" s="2">
        <v>506.12358597027912</v>
      </c>
      <c r="AF519" s="2">
        <v>1066.5813750164309</v>
      </c>
      <c r="AG519" s="2">
        <v>86.749787955574291</v>
      </c>
      <c r="AH519" s="2">
        <v>339.43345110904636</v>
      </c>
      <c r="AI519" s="2">
        <v>454526.565909656</v>
      </c>
      <c r="AJ519" s="2">
        <v>413217.88514027523</v>
      </c>
      <c r="AL519" s="27">
        <v>0.92135354332784014</v>
      </c>
      <c r="AM519" s="27">
        <v>0.91530173443418805</v>
      </c>
      <c r="AN519" s="27">
        <v>0.90232916190177959</v>
      </c>
      <c r="AO519" s="27">
        <v>0.81262221680719227</v>
      </c>
      <c r="AP519" s="27">
        <v>0.70405969828016235</v>
      </c>
      <c r="AQ519" s="27">
        <v>0.92135354332784014</v>
      </c>
      <c r="AR519" s="27">
        <v>0.91530173443418805</v>
      </c>
      <c r="AS519" s="27">
        <v>0.90232916190177959</v>
      </c>
      <c r="AT519" s="27">
        <v>0.81262221680719227</v>
      </c>
      <c r="AU519" s="27">
        <v>0.70405969828016235</v>
      </c>
      <c r="AW519" s="1">
        <v>13.294380666036625</v>
      </c>
      <c r="AX519" s="1">
        <v>15.285773451392917</v>
      </c>
      <c r="AY519" s="2">
        <v>1676704.8417853978</v>
      </c>
      <c r="AZ519" s="1">
        <v>15.32906170182045</v>
      </c>
      <c r="BA519" s="1">
        <v>17.276465407045993</v>
      </c>
      <c r="BB519" s="2">
        <v>1361697.6531205981</v>
      </c>
      <c r="BC519" s="2">
        <f t="shared" si="56"/>
        <v>-315007.18866479979</v>
      </c>
      <c r="BD519" s="292">
        <f t="shared" si="57"/>
        <v>2.0346810357838248</v>
      </c>
      <c r="BF519" s="170">
        <f t="shared" ref="BF519:BF582" si="59">AW519*Threshold-AY519</f>
        <v>450396.06478046207</v>
      </c>
      <c r="BG519" s="2">
        <f t="shared" ref="BG519:BG582" si="60">AZ519*Threshold-BB519</f>
        <v>1090952.219170674</v>
      </c>
      <c r="BI519">
        <f t="shared" ref="BI519:BI582" si="61">IF(MAX($BF519:$BG519)=$BF519,1,0)</f>
        <v>0</v>
      </c>
      <c r="BJ519" s="95">
        <f t="shared" ref="BJ519:BJ582" si="62">IF(MAX($BF519:$BG519)=$BF519,0,1)</f>
        <v>1</v>
      </c>
      <c r="BP519" s="217">
        <f t="shared" si="58"/>
        <v>1090952.219170674</v>
      </c>
    </row>
    <row r="520" spans="1:68">
      <c r="A520" s="11">
        <v>514</v>
      </c>
      <c r="C520" s="27">
        <v>0.92525533018241057</v>
      </c>
      <c r="D520" s="27">
        <v>7.4744669817589413E-2</v>
      </c>
      <c r="E520" s="27">
        <v>0</v>
      </c>
      <c r="F520" s="27">
        <v>0.85649474277998106</v>
      </c>
      <c r="G520" s="27">
        <v>0.14350525722001894</v>
      </c>
      <c r="H520" s="27">
        <v>0</v>
      </c>
      <c r="I520" s="27">
        <v>0.74348357892637484</v>
      </c>
      <c r="J520" s="27">
        <v>0.25651642107362516</v>
      </c>
      <c r="K520" s="27">
        <v>0</v>
      </c>
      <c r="L520" s="27">
        <v>0.110199340938122</v>
      </c>
      <c r="M520" s="27">
        <v>0.48927075956184063</v>
      </c>
      <c r="N520" s="27">
        <v>0.40052989950003737</v>
      </c>
      <c r="O520" s="27">
        <v>-11.200223657937595</v>
      </c>
      <c r="P520" s="27">
        <v>3.2631920395527036E-2</v>
      </c>
      <c r="Q520" s="27">
        <v>5.3829818273776742E-5</v>
      </c>
      <c r="R520" s="27">
        <v>1.0917708357246028</v>
      </c>
      <c r="S520" s="154"/>
      <c r="T520">
        <v>0.98139355220011759</v>
      </c>
      <c r="U520">
        <v>2.2739515895269866</v>
      </c>
      <c r="V520">
        <v>2.8594864765539345</v>
      </c>
      <c r="W520">
        <v>1</v>
      </c>
      <c r="Y520" s="2">
        <v>256.81938906764276</v>
      </c>
      <c r="Z520" s="2">
        <v>3404.1404445602311</v>
      </c>
      <c r="AA520" s="2">
        <v>3512.4493748085024</v>
      </c>
      <c r="AB520" s="2">
        <v>5848.8429761055322</v>
      </c>
      <c r="AC520" s="2">
        <v>416.85663811477951</v>
      </c>
      <c r="AD520" s="2">
        <v>657.66766064281569</v>
      </c>
      <c r="AE520" s="2">
        <v>519.45539197316566</v>
      </c>
      <c r="AF520" s="2">
        <v>1098.2743150403228</v>
      </c>
      <c r="AG520" s="2">
        <v>152.4573980775067</v>
      </c>
      <c r="AH520" s="2">
        <v>523.159676985283</v>
      </c>
      <c r="AI520" s="2">
        <v>392783.61061906704</v>
      </c>
      <c r="AJ520" s="2">
        <v>366377.62804070069</v>
      </c>
      <c r="AL520" s="27">
        <v>0.91212077115194157</v>
      </c>
      <c r="AM520" s="27">
        <v>0.91459653052926848</v>
      </c>
      <c r="AN520" s="27">
        <v>0.90927886632859156</v>
      </c>
      <c r="AO520" s="27">
        <v>0.90793030053587276</v>
      </c>
      <c r="AP520" s="27">
        <v>0.73748395331560368</v>
      </c>
      <c r="AQ520" s="27">
        <v>0.91212077115194157</v>
      </c>
      <c r="AR520" s="27">
        <v>0.91459653052926848</v>
      </c>
      <c r="AS520" s="27">
        <v>0.90927886632859156</v>
      </c>
      <c r="AT520" s="27">
        <v>0.90793030053587276</v>
      </c>
      <c r="AU520" s="27">
        <v>0.73748395331560368</v>
      </c>
      <c r="AW520" s="1">
        <v>13.631796355771218</v>
      </c>
      <c r="AX520" s="1">
        <v>15.512874436261978</v>
      </c>
      <c r="AY520" s="2">
        <v>1393833.0907259227</v>
      </c>
      <c r="AZ520" s="1">
        <v>15.364817033867002</v>
      </c>
      <c r="BA520" s="1">
        <v>17.250752001499009</v>
      </c>
      <c r="BB520" s="2">
        <v>1140278.6028202195</v>
      </c>
      <c r="BC520" s="2">
        <f t="shared" ref="BC520:BC583" si="63">BB520-AY520</f>
        <v>-253554.48790570325</v>
      </c>
      <c r="BD520" s="292">
        <f t="shared" ref="BD520:BD583" si="64">AZ520-AW520</f>
        <v>1.7330206780957838</v>
      </c>
      <c r="BF520" s="170">
        <f t="shared" si="59"/>
        <v>787254.32619747217</v>
      </c>
      <c r="BG520" s="2">
        <f t="shared" si="60"/>
        <v>1318092.1225985009</v>
      </c>
      <c r="BI520">
        <f t="shared" si="61"/>
        <v>0</v>
      </c>
      <c r="BJ520" s="95">
        <f t="shared" si="62"/>
        <v>1</v>
      </c>
      <c r="BP520" s="217">
        <f t="shared" ref="BP520:BP583" si="65">MAX(BF520,BG520)</f>
        <v>1318092.1225985009</v>
      </c>
    </row>
    <row r="521" spans="1:68">
      <c r="A521" s="11">
        <v>515</v>
      </c>
      <c r="C521" s="27">
        <v>0.92327928515310376</v>
      </c>
      <c r="D521" s="27">
        <v>7.6720714846896215E-2</v>
      </c>
      <c r="E521" s="27">
        <v>0</v>
      </c>
      <c r="F521" s="27">
        <v>0.85427053864230573</v>
      </c>
      <c r="G521" s="27">
        <v>0.14572946135769427</v>
      </c>
      <c r="H521" s="27">
        <v>0</v>
      </c>
      <c r="I521" s="27">
        <v>0.75196550346141744</v>
      </c>
      <c r="J521" s="27">
        <v>0.24803449653858259</v>
      </c>
      <c r="K521" s="27">
        <v>0</v>
      </c>
      <c r="L521" s="27">
        <v>0.16349306108803552</v>
      </c>
      <c r="M521" s="27">
        <v>0.47406522987829308</v>
      </c>
      <c r="N521" s="27">
        <v>0.36244170903367146</v>
      </c>
      <c r="O521" s="27">
        <v>-11.335093166475016</v>
      </c>
      <c r="P521" s="27">
        <v>3.5915058661970818E-2</v>
      </c>
      <c r="Q521" s="27">
        <v>5.399275415747427E-5</v>
      </c>
      <c r="R521" s="27">
        <v>1.0910851601230931</v>
      </c>
      <c r="S521" s="154"/>
      <c r="T521">
        <v>0.9617288671953137</v>
      </c>
      <c r="U521">
        <v>2.2466355901963979</v>
      </c>
      <c r="V521">
        <v>2.8970450907391392</v>
      </c>
      <c r="W521">
        <v>1</v>
      </c>
      <c r="Y521" s="2">
        <v>1174.487029119837</v>
      </c>
      <c r="Z521" s="2">
        <v>2628.6254451010309</v>
      </c>
      <c r="AA521" s="2">
        <v>1674.3970701412395</v>
      </c>
      <c r="AB521" s="2">
        <v>1052.8589423300275</v>
      </c>
      <c r="AC521" s="2">
        <v>534.80238554013192</v>
      </c>
      <c r="AD521" s="2">
        <v>587.24802537124617</v>
      </c>
      <c r="AE521" s="2">
        <v>562.34110186596433</v>
      </c>
      <c r="AF521" s="2">
        <v>971.24380238047172</v>
      </c>
      <c r="AG521" s="2">
        <v>121.08050986729862</v>
      </c>
      <c r="AH521" s="2">
        <v>429.55815810625126</v>
      </c>
      <c r="AI521" s="2">
        <v>396432.48388121877</v>
      </c>
      <c r="AJ521" s="2">
        <v>363117.63608846959</v>
      </c>
      <c r="AL521" s="27">
        <v>0.91396913397001123</v>
      </c>
      <c r="AM521" s="27">
        <v>0.91135717417789996</v>
      </c>
      <c r="AN521" s="27">
        <v>0.91234046932906432</v>
      </c>
      <c r="AO521" s="27">
        <v>0.88493646260695025</v>
      </c>
      <c r="AP521" s="27">
        <v>0.65203715049518318</v>
      </c>
      <c r="AQ521" s="27">
        <v>0.91396913397001123</v>
      </c>
      <c r="AR521" s="27">
        <v>0.91135717417789996</v>
      </c>
      <c r="AS521" s="27">
        <v>0.91234046932906432</v>
      </c>
      <c r="AT521" s="27">
        <v>0.88493646260695025</v>
      </c>
      <c r="AU521" s="27">
        <v>0.65203715049518318</v>
      </c>
      <c r="AW521" s="1">
        <v>13.454342291287704</v>
      </c>
      <c r="AX521" s="1">
        <v>15.623209741988312</v>
      </c>
      <c r="AY521" s="2">
        <v>1426080.4295477029</v>
      </c>
      <c r="AZ521" s="1">
        <v>15.199345400824168</v>
      </c>
      <c r="BA521" s="1">
        <v>17.294848963952774</v>
      </c>
      <c r="BB521" s="2">
        <v>1053850.7098837963</v>
      </c>
      <c r="BC521" s="2">
        <f t="shared" si="63"/>
        <v>-372229.71966390661</v>
      </c>
      <c r="BD521" s="292">
        <f t="shared" si="64"/>
        <v>1.745003109536464</v>
      </c>
      <c r="BF521" s="170">
        <f t="shared" si="59"/>
        <v>726614.33705832949</v>
      </c>
      <c r="BG521" s="2">
        <f t="shared" si="60"/>
        <v>1378044.5542480706</v>
      </c>
      <c r="BI521">
        <f t="shared" si="61"/>
        <v>0</v>
      </c>
      <c r="BJ521" s="95">
        <f t="shared" si="62"/>
        <v>1</v>
      </c>
      <c r="BP521" s="217">
        <f t="shared" si="65"/>
        <v>1378044.5542480706</v>
      </c>
    </row>
    <row r="522" spans="1:68">
      <c r="A522" s="11">
        <v>516</v>
      </c>
      <c r="C522" s="27">
        <v>0.92570601011184617</v>
      </c>
      <c r="D522" s="27">
        <v>7.4293989888153777E-2</v>
      </c>
      <c r="E522" s="27">
        <v>0</v>
      </c>
      <c r="F522" s="27">
        <v>0.85507058792169044</v>
      </c>
      <c r="G522" s="27">
        <v>0.14492941207830956</v>
      </c>
      <c r="H522" s="27">
        <v>0</v>
      </c>
      <c r="I522" s="27">
        <v>0.74567857273473992</v>
      </c>
      <c r="J522" s="27">
        <v>0.25432142726526008</v>
      </c>
      <c r="K522" s="27">
        <v>0</v>
      </c>
      <c r="L522" s="27">
        <v>6.255267454682345E-2</v>
      </c>
      <c r="M522" s="27">
        <v>0.55550234044270663</v>
      </c>
      <c r="N522" s="27">
        <v>0.38194498501046992</v>
      </c>
      <c r="O522" s="27">
        <v>-11.009130907525135</v>
      </c>
      <c r="P522" s="27">
        <v>3.575982230871811E-2</v>
      </c>
      <c r="Q522" s="27">
        <v>7.4313467031458366E-5</v>
      </c>
      <c r="R522" s="27">
        <v>1.0519804375848822</v>
      </c>
      <c r="S522" s="154"/>
      <c r="T522">
        <v>0.92355818292308345</v>
      </c>
      <c r="U522">
        <v>2.3381882160990428</v>
      </c>
      <c r="V522">
        <v>2.9124798983975415</v>
      </c>
      <c r="W522">
        <v>1</v>
      </c>
      <c r="Y522" s="2">
        <v>242.95084198732289</v>
      </c>
      <c r="Z522" s="2">
        <v>94.514689433834008</v>
      </c>
      <c r="AA522" s="2">
        <v>773.06024910861561</v>
      </c>
      <c r="AB522" s="2">
        <v>179.1495503274345</v>
      </c>
      <c r="AC522" s="2">
        <v>2249.6727673739629</v>
      </c>
      <c r="AD522" s="2">
        <v>957.79217233519103</v>
      </c>
      <c r="AE522" s="2">
        <v>570.04912701568901</v>
      </c>
      <c r="AF522" s="2">
        <v>981.48913812405362</v>
      </c>
      <c r="AG522" s="2">
        <v>101.24862147227385</v>
      </c>
      <c r="AH522" s="2">
        <v>367.13541811154056</v>
      </c>
      <c r="AI522" s="2">
        <v>566153.30934659822</v>
      </c>
      <c r="AJ522" s="2">
        <v>526489.1647717536</v>
      </c>
      <c r="AL522" s="27">
        <v>0.92289002524613961</v>
      </c>
      <c r="AM522" s="27">
        <v>0.91341303970939491</v>
      </c>
      <c r="AN522" s="27">
        <v>0.91373282408540302</v>
      </c>
      <c r="AO522" s="27">
        <v>0.88966461478179137</v>
      </c>
      <c r="AP522" s="27">
        <v>0.56257172845360914</v>
      </c>
      <c r="AQ522" s="27">
        <v>0.92289002524613961</v>
      </c>
      <c r="AR522" s="27">
        <v>0.91341303970939491</v>
      </c>
      <c r="AS522" s="27">
        <v>0.91373282408540302</v>
      </c>
      <c r="AT522" s="27">
        <v>0.88966461478179137</v>
      </c>
      <c r="AU522" s="27">
        <v>0.56257172845360914</v>
      </c>
      <c r="AW522" s="1">
        <v>13.522300704236018</v>
      </c>
      <c r="AX522" s="1">
        <v>15.944274903017003</v>
      </c>
      <c r="AY522" s="2">
        <v>2105545.8680601753</v>
      </c>
      <c r="AZ522" s="1">
        <v>15.200543265533481</v>
      </c>
      <c r="BA522" s="1">
        <v>17.461698483641147</v>
      </c>
      <c r="BB522" s="2">
        <v>1561842.6084667316</v>
      </c>
      <c r="BC522" s="2">
        <f t="shared" si="63"/>
        <v>-543703.25959344371</v>
      </c>
      <c r="BD522" s="292">
        <f t="shared" si="64"/>
        <v>1.6782425612974627</v>
      </c>
      <c r="BF522" s="170">
        <f t="shared" si="59"/>
        <v>58022.244617587421</v>
      </c>
      <c r="BG522" s="2">
        <f t="shared" si="60"/>
        <v>870244.31401862553</v>
      </c>
      <c r="BI522">
        <f t="shared" si="61"/>
        <v>0</v>
      </c>
      <c r="BJ522" s="95">
        <f t="shared" si="62"/>
        <v>1</v>
      </c>
      <c r="BP522" s="217">
        <f t="shared" si="65"/>
        <v>870244.31401862553</v>
      </c>
    </row>
    <row r="523" spans="1:68">
      <c r="A523" s="11">
        <v>517</v>
      </c>
      <c r="C523" s="27">
        <v>0.92087748667827207</v>
      </c>
      <c r="D523" s="27">
        <v>7.9122513321727928E-2</v>
      </c>
      <c r="E523" s="27">
        <v>0</v>
      </c>
      <c r="F523" s="27">
        <v>0.85970740738301688</v>
      </c>
      <c r="G523" s="27">
        <v>0.14029259261698315</v>
      </c>
      <c r="H523" s="27">
        <v>0</v>
      </c>
      <c r="I523" s="27">
        <v>0.76138380523237781</v>
      </c>
      <c r="J523" s="27">
        <v>0.23861619476762216</v>
      </c>
      <c r="K523" s="27">
        <v>0</v>
      </c>
      <c r="L523" s="27">
        <v>0.22099462811350556</v>
      </c>
      <c r="M523" s="27">
        <v>0.507211124481875</v>
      </c>
      <c r="N523" s="27">
        <v>0.27179424740461944</v>
      </c>
      <c r="O523" s="27">
        <v>-11.238632784450102</v>
      </c>
      <c r="P523" s="27">
        <v>3.6640816818780182E-2</v>
      </c>
      <c r="Q523" s="27">
        <v>6.1300750130285035E-5</v>
      </c>
      <c r="R523" s="27">
        <v>1.0671077267384939</v>
      </c>
      <c r="S523" s="154"/>
      <c r="T523">
        <v>0.95936944655748857</v>
      </c>
      <c r="U523">
        <v>2.292787931075122</v>
      </c>
      <c r="V523">
        <v>2.9754815861408019</v>
      </c>
      <c r="W523">
        <v>1</v>
      </c>
      <c r="Y523" s="2">
        <v>18.849176362710324</v>
      </c>
      <c r="Z523" s="2">
        <v>5039.7605640386791</v>
      </c>
      <c r="AA523" s="2">
        <v>2067.1248042025745</v>
      </c>
      <c r="AB523" s="2">
        <v>3035.175668130652</v>
      </c>
      <c r="AC523" s="2">
        <v>740.11469210999326</v>
      </c>
      <c r="AD523" s="2">
        <v>693.0950337159187</v>
      </c>
      <c r="AE523" s="2">
        <v>596.99021419464384</v>
      </c>
      <c r="AF523" s="2">
        <v>960.09059011272757</v>
      </c>
      <c r="AG523" s="2">
        <v>149.70519825875419</v>
      </c>
      <c r="AH523" s="2">
        <v>347.41680055786514</v>
      </c>
      <c r="AI523" s="2">
        <v>460266.11003656563</v>
      </c>
      <c r="AJ523" s="2">
        <v>435884.35301366879</v>
      </c>
      <c r="AL523" s="27">
        <v>0.92018811190952743</v>
      </c>
      <c r="AM523" s="27">
        <v>0.91595451455957355</v>
      </c>
      <c r="AN523" s="27">
        <v>0.90798000821039182</v>
      </c>
      <c r="AO523" s="27">
        <v>0.87294168362878255</v>
      </c>
      <c r="AP523" s="27">
        <v>0.80714412316134854</v>
      </c>
      <c r="AQ523" s="27">
        <v>0.92018811190952743</v>
      </c>
      <c r="AR523" s="27">
        <v>0.91595451455957355</v>
      </c>
      <c r="AS523" s="27">
        <v>0.90798000821039182</v>
      </c>
      <c r="AT523" s="27">
        <v>0.87294168362878255</v>
      </c>
      <c r="AU523" s="27">
        <v>0.80714412316134854</v>
      </c>
      <c r="AW523" s="1">
        <v>14.432831193216222</v>
      </c>
      <c r="AX523" s="1">
        <v>16.190587869773733</v>
      </c>
      <c r="AY523" s="2">
        <v>2049763.2815904375</v>
      </c>
      <c r="AZ523" s="1">
        <v>15.988055645575873</v>
      </c>
      <c r="BA523" s="1">
        <v>17.766240957506916</v>
      </c>
      <c r="BB523" s="2">
        <v>1501011.0667220056</v>
      </c>
      <c r="BC523" s="2">
        <f t="shared" si="63"/>
        <v>-548752.21486843191</v>
      </c>
      <c r="BD523" s="292">
        <f t="shared" si="64"/>
        <v>1.555224452359651</v>
      </c>
      <c r="BF523" s="170">
        <f t="shared" si="59"/>
        <v>259489.7093241578</v>
      </c>
      <c r="BG523" s="2">
        <f t="shared" si="60"/>
        <v>1057077.8365701339</v>
      </c>
      <c r="BI523">
        <f t="shared" si="61"/>
        <v>0</v>
      </c>
      <c r="BJ523" s="95">
        <f t="shared" si="62"/>
        <v>1</v>
      </c>
      <c r="BP523" s="217">
        <f t="shared" si="65"/>
        <v>1057077.8365701339</v>
      </c>
    </row>
    <row r="524" spans="1:68">
      <c r="A524" s="11">
        <v>518</v>
      </c>
      <c r="C524" s="27">
        <v>0.92094265771871475</v>
      </c>
      <c r="D524" s="27">
        <v>7.9057342281285248E-2</v>
      </c>
      <c r="E524" s="27">
        <v>0</v>
      </c>
      <c r="F524" s="27">
        <v>0.85661494503209012</v>
      </c>
      <c r="G524" s="27">
        <v>0.14338505496790988</v>
      </c>
      <c r="H524" s="27">
        <v>0</v>
      </c>
      <c r="I524" s="27">
        <v>0.75618909879036555</v>
      </c>
      <c r="J524" s="27">
        <v>0.24381090120963442</v>
      </c>
      <c r="K524" s="27">
        <v>0</v>
      </c>
      <c r="L524" s="27">
        <v>4.4991535344643618E-2</v>
      </c>
      <c r="M524" s="27">
        <v>0.56365531837828931</v>
      </c>
      <c r="N524" s="27">
        <v>0.39135314627706708</v>
      </c>
      <c r="O524" s="27">
        <v>-11.130298099100555</v>
      </c>
      <c r="P524" s="27">
        <v>3.6557794888756337E-2</v>
      </c>
      <c r="Q524" s="27">
        <v>6.8077029048613794E-5</v>
      </c>
      <c r="R524" s="27">
        <v>1.0603254195079401</v>
      </c>
      <c r="S524" s="154"/>
      <c r="T524">
        <v>0.92758593346561957</v>
      </c>
      <c r="U524">
        <v>2.2657703447664996</v>
      </c>
      <c r="V524">
        <v>3.0867339019709994</v>
      </c>
      <c r="W524">
        <v>1</v>
      </c>
      <c r="Y524" s="2">
        <v>789.08124285795554</v>
      </c>
      <c r="Z524" s="2">
        <v>4933.1876441805871</v>
      </c>
      <c r="AA524" s="2">
        <v>9219.109030928159</v>
      </c>
      <c r="AB524" s="2">
        <v>1552.1625052191573</v>
      </c>
      <c r="AC524" s="2">
        <v>1637.481165638635</v>
      </c>
      <c r="AD524" s="2">
        <v>560.7028431510214</v>
      </c>
      <c r="AE524" s="2">
        <v>525.05520556490285</v>
      </c>
      <c r="AF524" s="2">
        <v>951.35615899516915</v>
      </c>
      <c r="AG524" s="2">
        <v>175.2601273338677</v>
      </c>
      <c r="AH524" s="2">
        <v>385.660787810123</v>
      </c>
      <c r="AI524" s="2">
        <v>515221.31325265951</v>
      </c>
      <c r="AJ524" s="2">
        <v>490830.74163226062</v>
      </c>
      <c r="AL524" s="27">
        <v>0.91541770873375183</v>
      </c>
      <c r="AM524" s="27">
        <v>0.9200911948030045</v>
      </c>
      <c r="AN524" s="27">
        <v>0.90462555566959513</v>
      </c>
      <c r="AO524" s="27">
        <v>0.83509284940096784</v>
      </c>
      <c r="AP524" s="27">
        <v>0.73186240295640159</v>
      </c>
      <c r="AQ524" s="27">
        <v>0.91541770873375183</v>
      </c>
      <c r="AR524" s="27">
        <v>0.9200911948030045</v>
      </c>
      <c r="AS524" s="27">
        <v>0.90462555566959513</v>
      </c>
      <c r="AT524" s="27">
        <v>0.83509284940096784</v>
      </c>
      <c r="AU524" s="27">
        <v>0.73186240295640159</v>
      </c>
      <c r="AW524" s="1">
        <v>13.796328969703739</v>
      </c>
      <c r="AX524" s="1">
        <v>15.779122717977794</v>
      </c>
      <c r="AY524" s="2">
        <v>2084902.1305980014</v>
      </c>
      <c r="AZ524" s="1">
        <v>15.432766908977033</v>
      </c>
      <c r="BA524" s="1">
        <v>17.382525677432032</v>
      </c>
      <c r="BB524" s="2">
        <v>1639686.6459068975</v>
      </c>
      <c r="BC524" s="2">
        <f t="shared" si="63"/>
        <v>-445215.48469110392</v>
      </c>
      <c r="BD524" s="292">
        <f t="shared" si="64"/>
        <v>1.6364379392732946</v>
      </c>
      <c r="BF524" s="170">
        <f t="shared" si="59"/>
        <v>122510.50455459696</v>
      </c>
      <c r="BG524" s="2">
        <f t="shared" si="60"/>
        <v>829556.05952942767</v>
      </c>
      <c r="BI524">
        <f t="shared" si="61"/>
        <v>0</v>
      </c>
      <c r="BJ524" s="95">
        <f t="shared" si="62"/>
        <v>1</v>
      </c>
      <c r="BP524" s="217">
        <f t="shared" si="65"/>
        <v>829556.05952942767</v>
      </c>
    </row>
    <row r="525" spans="1:68">
      <c r="A525" s="11">
        <v>519</v>
      </c>
      <c r="C525" s="27">
        <v>0.92507941442856734</v>
      </c>
      <c r="D525" s="27">
        <v>7.4920585571432705E-2</v>
      </c>
      <c r="E525" s="27">
        <v>0</v>
      </c>
      <c r="F525" s="27">
        <v>0.85620842556395971</v>
      </c>
      <c r="G525" s="27">
        <v>0.14379157443604029</v>
      </c>
      <c r="H525" s="27">
        <v>0</v>
      </c>
      <c r="I525" s="27">
        <v>0.75172393429381246</v>
      </c>
      <c r="J525" s="27">
        <v>0.24827606570618749</v>
      </c>
      <c r="K525" s="27">
        <v>0</v>
      </c>
      <c r="L525" s="27">
        <v>0.13429468154813307</v>
      </c>
      <c r="M525" s="27">
        <v>0.47093299746867667</v>
      </c>
      <c r="N525" s="27">
        <v>0.39477232098319026</v>
      </c>
      <c r="O525" s="27">
        <v>-11.183710029660896</v>
      </c>
      <c r="P525" s="27">
        <v>3.4166173454971686E-2</v>
      </c>
      <c r="Q525" s="27">
        <v>5.8368701526891985E-5</v>
      </c>
      <c r="R525" s="27">
        <v>1.0763944115374009</v>
      </c>
      <c r="S525" s="154"/>
      <c r="T525">
        <v>1.0903094861184415</v>
      </c>
      <c r="U525">
        <v>2.226625867288476</v>
      </c>
      <c r="V525">
        <v>3.112862176305399</v>
      </c>
      <c r="W525">
        <v>1</v>
      </c>
      <c r="Y525" s="2">
        <v>794.50622194843049</v>
      </c>
      <c r="Z525" s="2">
        <v>1723.7457213838145</v>
      </c>
      <c r="AA525" s="2">
        <v>2205.6268977443156</v>
      </c>
      <c r="AB525" s="2">
        <v>2725.4769055520537</v>
      </c>
      <c r="AC525" s="2">
        <v>2304.3543040503514</v>
      </c>
      <c r="AD525" s="2">
        <v>203.10496615123111</v>
      </c>
      <c r="AE525" s="2">
        <v>586.11674237461932</v>
      </c>
      <c r="AF525" s="2">
        <v>1054.1148618413083</v>
      </c>
      <c r="AG525" s="2">
        <v>197.23692514658546</v>
      </c>
      <c r="AH525" s="2">
        <v>280.43797967066172</v>
      </c>
      <c r="AI525" s="2">
        <v>473054.2378369873</v>
      </c>
      <c r="AJ525" s="2">
        <v>428815.38531294186</v>
      </c>
      <c r="AL525" s="27">
        <v>0.92175663671746744</v>
      </c>
      <c r="AM525" s="27">
        <v>0.91410349869360463</v>
      </c>
      <c r="AN525" s="27">
        <v>0.91343231496674493</v>
      </c>
      <c r="AO525" s="27">
        <v>0.88941549443898693</v>
      </c>
      <c r="AP525" s="27">
        <v>0.6455577259032883</v>
      </c>
      <c r="AQ525" s="27">
        <v>0.92175663671746744</v>
      </c>
      <c r="AR525" s="27">
        <v>0.91410349869360463</v>
      </c>
      <c r="AS525" s="27">
        <v>0.91343231496674493</v>
      </c>
      <c r="AT525" s="27">
        <v>0.88941549443898693</v>
      </c>
      <c r="AU525" s="27">
        <v>0.6455577259032883</v>
      </c>
      <c r="AW525" s="1">
        <v>13.139566081173225</v>
      </c>
      <c r="AX525" s="1">
        <v>15.249006921544707</v>
      </c>
      <c r="AY525" s="2">
        <v>1740286.0776439442</v>
      </c>
      <c r="AZ525" s="1">
        <v>15.304452776068983</v>
      </c>
      <c r="BA525" s="1">
        <v>17.310049864818083</v>
      </c>
      <c r="BB525" s="2">
        <v>1226037.709686164</v>
      </c>
      <c r="BC525" s="2">
        <f t="shared" si="63"/>
        <v>-514248.36795778014</v>
      </c>
      <c r="BD525" s="292">
        <f t="shared" si="64"/>
        <v>2.1648866948957579</v>
      </c>
      <c r="BF525" s="170">
        <f t="shared" si="59"/>
        <v>362044.495343772</v>
      </c>
      <c r="BG525" s="2">
        <f t="shared" si="60"/>
        <v>1222674.734484873</v>
      </c>
      <c r="BI525">
        <f t="shared" si="61"/>
        <v>0</v>
      </c>
      <c r="BJ525" s="95">
        <f t="shared" si="62"/>
        <v>1</v>
      </c>
      <c r="BP525" s="217">
        <f t="shared" si="65"/>
        <v>1222674.734484873</v>
      </c>
    </row>
    <row r="526" spans="1:68">
      <c r="A526" s="11">
        <v>520</v>
      </c>
      <c r="C526" s="27">
        <v>0.92404485229804623</v>
      </c>
      <c r="D526" s="27">
        <v>7.5955147701953718E-2</v>
      </c>
      <c r="E526" s="27">
        <v>0</v>
      </c>
      <c r="F526" s="27">
        <v>0.85922992681649979</v>
      </c>
      <c r="G526" s="27">
        <v>0.14077007318350016</v>
      </c>
      <c r="H526" s="27">
        <v>0</v>
      </c>
      <c r="I526" s="27">
        <v>0.75247106779994377</v>
      </c>
      <c r="J526" s="27">
        <v>0.2475289322000562</v>
      </c>
      <c r="K526" s="27">
        <v>0</v>
      </c>
      <c r="L526" s="27">
        <v>5.2163188095442403E-2</v>
      </c>
      <c r="M526" s="27">
        <v>0.53823752206571929</v>
      </c>
      <c r="N526" s="27">
        <v>0.40959928983883831</v>
      </c>
      <c r="O526" s="27">
        <v>-11.344287395781338</v>
      </c>
      <c r="P526" s="27">
        <v>3.4002714041109106E-2</v>
      </c>
      <c r="Q526" s="27">
        <v>4.936971363699548E-5</v>
      </c>
      <c r="R526" s="27">
        <v>1.1080476723411266</v>
      </c>
      <c r="S526" s="154"/>
      <c r="T526">
        <v>0.94743033048734271</v>
      </c>
      <c r="U526">
        <v>2.2576016379341546</v>
      </c>
      <c r="V526">
        <v>2.8892063887532484</v>
      </c>
      <c r="W526">
        <v>1</v>
      </c>
      <c r="Y526" s="2">
        <v>1515.899500661998</v>
      </c>
      <c r="Z526" s="2">
        <v>3266.667400301119</v>
      </c>
      <c r="AA526" s="2">
        <v>7783.1896697867032</v>
      </c>
      <c r="AB526" s="2">
        <v>2605.0957215975163</v>
      </c>
      <c r="AC526" s="2">
        <v>498.14034414350795</v>
      </c>
      <c r="AD526" s="2">
        <v>3403.9276542335415</v>
      </c>
      <c r="AE526" s="2">
        <v>593.43133830877696</v>
      </c>
      <c r="AF526" s="2">
        <v>1005.5925502276738</v>
      </c>
      <c r="AG526" s="2">
        <v>66.414581107660979</v>
      </c>
      <c r="AH526" s="2">
        <v>606.11793862094146</v>
      </c>
      <c r="AI526" s="2">
        <v>456470.11725354381</v>
      </c>
      <c r="AJ526" s="2">
        <v>436196.29223976925</v>
      </c>
      <c r="AL526" s="27">
        <v>0.91363238097866262</v>
      </c>
      <c r="AM526" s="27">
        <v>0.91783506802725279</v>
      </c>
      <c r="AN526" s="27">
        <v>0.91478739424813238</v>
      </c>
      <c r="AO526" s="27">
        <v>0.86631620891289907</v>
      </c>
      <c r="AP526" s="27">
        <v>0.71996519624064559</v>
      </c>
      <c r="AQ526" s="27">
        <v>0.91363238097866262</v>
      </c>
      <c r="AR526" s="27">
        <v>0.91783506802725279</v>
      </c>
      <c r="AS526" s="27">
        <v>0.91478739424813238</v>
      </c>
      <c r="AT526" s="27">
        <v>0.86631620891289907</v>
      </c>
      <c r="AU526" s="27">
        <v>0.71996519624064559</v>
      </c>
      <c r="AW526" s="1">
        <v>13.662907017756245</v>
      </c>
      <c r="AX526" s="1">
        <v>15.598560565879911</v>
      </c>
      <c r="AY526" s="2">
        <v>1647193.4414199675</v>
      </c>
      <c r="AZ526" s="1">
        <v>15.363413107105551</v>
      </c>
      <c r="BA526" s="1">
        <v>17.273013615965276</v>
      </c>
      <c r="BB526" s="2">
        <v>1383726.7381406706</v>
      </c>
      <c r="BC526" s="2">
        <f t="shared" si="63"/>
        <v>-263466.70327929687</v>
      </c>
      <c r="BD526" s="292">
        <f t="shared" si="64"/>
        <v>1.7005060893493056</v>
      </c>
      <c r="BF526" s="170">
        <f t="shared" si="59"/>
        <v>538871.68142103171</v>
      </c>
      <c r="BG526" s="2">
        <f t="shared" si="60"/>
        <v>1074419.3589962176</v>
      </c>
      <c r="BI526">
        <f t="shared" si="61"/>
        <v>0</v>
      </c>
      <c r="BJ526" s="95">
        <f t="shared" si="62"/>
        <v>1</v>
      </c>
      <c r="BP526" s="217">
        <f t="shared" si="65"/>
        <v>1074419.3589962176</v>
      </c>
    </row>
    <row r="527" spans="1:68">
      <c r="A527" s="11">
        <v>521</v>
      </c>
      <c r="C527" s="27">
        <v>0.91959201908761634</v>
      </c>
      <c r="D527" s="27">
        <v>8.0407980912383659E-2</v>
      </c>
      <c r="E527" s="27">
        <v>0</v>
      </c>
      <c r="F527" s="27">
        <v>0.8597563796478922</v>
      </c>
      <c r="G527" s="27">
        <v>0.14024362035210775</v>
      </c>
      <c r="H527" s="27">
        <v>0</v>
      </c>
      <c r="I527" s="27">
        <v>0.74538377963955305</v>
      </c>
      <c r="J527" s="27">
        <v>0.25461622036044695</v>
      </c>
      <c r="K527" s="27">
        <v>0</v>
      </c>
      <c r="L527" s="27">
        <v>0.20045738568651822</v>
      </c>
      <c r="M527" s="27">
        <v>0.45683303226728467</v>
      </c>
      <c r="N527" s="27">
        <v>0.34270958204619711</v>
      </c>
      <c r="O527" s="27">
        <v>-11.065325674837998</v>
      </c>
      <c r="P527" s="27">
        <v>3.4290364220047588E-2</v>
      </c>
      <c r="Q527" s="27">
        <v>6.6047896301368276E-5</v>
      </c>
      <c r="R527" s="27">
        <v>1.0707378815139474</v>
      </c>
      <c r="S527" s="154"/>
      <c r="T527">
        <v>0.85068596763851845</v>
      </c>
      <c r="U527">
        <v>2.2282843069490506</v>
      </c>
      <c r="V527">
        <v>3.084782762907115</v>
      </c>
      <c r="W527">
        <v>1</v>
      </c>
      <c r="Y527" s="2">
        <v>622.29950198885399</v>
      </c>
      <c r="Z527" s="2">
        <v>5048.9552238218075</v>
      </c>
      <c r="AA527" s="2">
        <v>2757.3600727233597</v>
      </c>
      <c r="AB527" s="2">
        <v>18654.551859518691</v>
      </c>
      <c r="AC527" s="2">
        <v>1442.4912685069</v>
      </c>
      <c r="AD527" s="2">
        <v>524.54913239899406</v>
      </c>
      <c r="AE527" s="2">
        <v>603.28383318083161</v>
      </c>
      <c r="AF527" s="2">
        <v>974.22791546043777</v>
      </c>
      <c r="AG527" s="2">
        <v>143.74125202388055</v>
      </c>
      <c r="AH527" s="2">
        <v>353.4229496906259</v>
      </c>
      <c r="AI527" s="2">
        <v>484382.39622071153</v>
      </c>
      <c r="AJ527" s="2">
        <v>447947.36459731951</v>
      </c>
      <c r="AL527" s="27">
        <v>0.91920472681848198</v>
      </c>
      <c r="AM527" s="27">
        <v>0.9173267236768301</v>
      </c>
      <c r="AN527" s="27">
        <v>0.91182697076729979</v>
      </c>
      <c r="AO527" s="27">
        <v>0.85302032182001419</v>
      </c>
      <c r="AP527" s="27">
        <v>0.73015076186773564</v>
      </c>
      <c r="AQ527" s="27">
        <v>0.91920472681848198</v>
      </c>
      <c r="AR527" s="27">
        <v>0.9173267236768301</v>
      </c>
      <c r="AS527" s="27">
        <v>0.91182697076729979</v>
      </c>
      <c r="AT527" s="27">
        <v>0.85302032182001419</v>
      </c>
      <c r="AU527" s="27">
        <v>0.73015076186773564</v>
      </c>
      <c r="AW527" s="1">
        <v>13.991027419435166</v>
      </c>
      <c r="AX527" s="1">
        <v>15.883829169368562</v>
      </c>
      <c r="AY527" s="2">
        <v>1724691.8860666379</v>
      </c>
      <c r="AZ527" s="1">
        <v>15.383425377168821</v>
      </c>
      <c r="BA527" s="1">
        <v>17.262324468754642</v>
      </c>
      <c r="BB527" s="2">
        <v>1612535.9871195266</v>
      </c>
      <c r="BC527" s="2">
        <f t="shared" si="63"/>
        <v>-112155.89894711133</v>
      </c>
      <c r="BD527" s="292">
        <f t="shared" si="64"/>
        <v>1.3923979577336549</v>
      </c>
      <c r="BF527" s="170">
        <f t="shared" si="59"/>
        <v>513872.50104298862</v>
      </c>
      <c r="BG527" s="2">
        <f t="shared" si="60"/>
        <v>848812.07322748471</v>
      </c>
      <c r="BI527">
        <f t="shared" si="61"/>
        <v>0</v>
      </c>
      <c r="BJ527" s="95">
        <f t="shared" si="62"/>
        <v>1</v>
      </c>
      <c r="BP527" s="217">
        <f t="shared" si="65"/>
        <v>848812.07322748471</v>
      </c>
    </row>
    <row r="528" spans="1:68">
      <c r="A528" s="11">
        <v>522</v>
      </c>
      <c r="C528" s="27">
        <v>0.92097657961123169</v>
      </c>
      <c r="D528" s="27">
        <v>7.9023420388768306E-2</v>
      </c>
      <c r="E528" s="27">
        <v>0</v>
      </c>
      <c r="F528" s="27">
        <v>0.85687882452974384</v>
      </c>
      <c r="G528" s="27">
        <v>0.14312117547025616</v>
      </c>
      <c r="H528" s="27">
        <v>0</v>
      </c>
      <c r="I528" s="27">
        <v>0.74803634055184998</v>
      </c>
      <c r="J528" s="27">
        <v>0.25196365944815002</v>
      </c>
      <c r="K528" s="27">
        <v>0</v>
      </c>
      <c r="L528" s="27">
        <v>0.23247118112090431</v>
      </c>
      <c r="M528" s="27">
        <v>0.41480734312566586</v>
      </c>
      <c r="N528" s="27">
        <v>0.35272147575342988</v>
      </c>
      <c r="O528" s="27">
        <v>-11.375154686376193</v>
      </c>
      <c r="P528" s="27">
        <v>3.6977361435334102E-2</v>
      </c>
      <c r="Q528" s="27">
        <v>5.4239262787946169E-5</v>
      </c>
      <c r="R528" s="27">
        <v>1.0841252242323518</v>
      </c>
      <c r="S528" s="154"/>
      <c r="T528">
        <v>1.0606439291953125</v>
      </c>
      <c r="U528">
        <v>2.2739417722044153</v>
      </c>
      <c r="V528">
        <v>2.7599961020817649</v>
      </c>
      <c r="W528">
        <v>1</v>
      </c>
      <c r="Y528" s="2">
        <v>153.44181524959683</v>
      </c>
      <c r="Z528" s="2">
        <v>6707.3378159030526</v>
      </c>
      <c r="AA528" s="2">
        <v>4926.6713176525082</v>
      </c>
      <c r="AB528" s="2">
        <v>1294.9932508387164</v>
      </c>
      <c r="AC528" s="2">
        <v>885.47696304422425</v>
      </c>
      <c r="AD528" s="2">
        <v>1390.3278996421254</v>
      </c>
      <c r="AE528" s="2">
        <v>664.74710312973889</v>
      </c>
      <c r="AF528" s="2">
        <v>1082.6285573445882</v>
      </c>
      <c r="AG528" s="2">
        <v>80.253610119808997</v>
      </c>
      <c r="AH528" s="2">
        <v>204.83539853006675</v>
      </c>
      <c r="AI528" s="2">
        <v>481122.04957798362</v>
      </c>
      <c r="AJ528" s="2">
        <v>444255.01435872604</v>
      </c>
      <c r="AL528" s="27">
        <v>0.91820340398114508</v>
      </c>
      <c r="AM528" s="27">
        <v>0.91393787817563132</v>
      </c>
      <c r="AN528" s="27">
        <v>0.90761588607307064</v>
      </c>
      <c r="AO528" s="27">
        <v>0.86615138474167686</v>
      </c>
      <c r="AP528" s="27">
        <v>0.60621566884608991</v>
      </c>
      <c r="AQ528" s="27">
        <v>0.91820340398114508</v>
      </c>
      <c r="AR528" s="27">
        <v>0.91393787817563132</v>
      </c>
      <c r="AS528" s="27">
        <v>0.90761588607307064</v>
      </c>
      <c r="AT528" s="27">
        <v>0.86615138474167686</v>
      </c>
      <c r="AU528" s="27">
        <v>0.60621566884608991</v>
      </c>
      <c r="AW528" s="1">
        <v>12.96285198021039</v>
      </c>
      <c r="AX528" s="1">
        <v>15.244431369508206</v>
      </c>
      <c r="AY528" s="2">
        <v>1822982.5125014414</v>
      </c>
      <c r="AZ528" s="1">
        <v>15.067624499673128</v>
      </c>
      <c r="BA528" s="1">
        <v>17.21809114939327</v>
      </c>
      <c r="BB528" s="2">
        <v>1319950.940586176</v>
      </c>
      <c r="BC528" s="2">
        <f t="shared" si="63"/>
        <v>-503031.57191526541</v>
      </c>
      <c r="BD528" s="292">
        <f t="shared" si="64"/>
        <v>2.1047725194627382</v>
      </c>
      <c r="BF528" s="170">
        <f t="shared" si="59"/>
        <v>251073.80433222093</v>
      </c>
      <c r="BG528" s="2">
        <f t="shared" si="60"/>
        <v>1090868.9793615246</v>
      </c>
      <c r="BI528">
        <f t="shared" si="61"/>
        <v>0</v>
      </c>
      <c r="BJ528" s="95">
        <f t="shared" si="62"/>
        <v>1</v>
      </c>
      <c r="BP528" s="217">
        <f t="shared" si="65"/>
        <v>1090868.9793615246</v>
      </c>
    </row>
    <row r="529" spans="1:68">
      <c r="A529" s="11">
        <v>523</v>
      </c>
      <c r="C529" s="27">
        <v>0.92000044273839243</v>
      </c>
      <c r="D529" s="27">
        <v>7.9999557261607568E-2</v>
      </c>
      <c r="E529" s="27">
        <v>0</v>
      </c>
      <c r="F529" s="27">
        <v>0.86144060815711132</v>
      </c>
      <c r="G529" s="27">
        <v>0.13855939184288868</v>
      </c>
      <c r="H529" s="27">
        <v>0</v>
      </c>
      <c r="I529" s="27">
        <v>0.75200520453245323</v>
      </c>
      <c r="J529" s="27">
        <v>0.24799479546754671</v>
      </c>
      <c r="K529" s="27">
        <v>0</v>
      </c>
      <c r="L529" s="27">
        <v>0.10803051241577744</v>
      </c>
      <c r="M529" s="27">
        <v>0.54227674581496776</v>
      </c>
      <c r="N529" s="27">
        <v>0.3496927417692548</v>
      </c>
      <c r="O529" s="27">
        <v>-11.220007198544913</v>
      </c>
      <c r="P529" s="27">
        <v>3.6988568146152194E-2</v>
      </c>
      <c r="Q529" s="27">
        <v>6.3372069585343227E-5</v>
      </c>
      <c r="R529" s="27">
        <v>1.0649927086005515</v>
      </c>
      <c r="S529" s="154"/>
      <c r="T529">
        <v>0.9529612771766014</v>
      </c>
      <c r="U529">
        <v>2.2093723336731252</v>
      </c>
      <c r="V529">
        <v>3.1525615158483724</v>
      </c>
      <c r="W529">
        <v>1</v>
      </c>
      <c r="Y529" s="2">
        <v>23.798659542070482</v>
      </c>
      <c r="Z529" s="2">
        <v>2313.6401282112861</v>
      </c>
      <c r="AA529" s="2">
        <v>1215.4726635116292</v>
      </c>
      <c r="AB529" s="2">
        <v>11.876972831412052</v>
      </c>
      <c r="AC529" s="2">
        <v>1282.7773975602956</v>
      </c>
      <c r="AD529" s="2">
        <v>4480.1091732410614</v>
      </c>
      <c r="AE529" s="2">
        <v>614.3063905669519</v>
      </c>
      <c r="AF529" s="2">
        <v>1064.6550709702703</v>
      </c>
      <c r="AG529" s="2">
        <v>81.144916933937623</v>
      </c>
      <c r="AH529" s="2">
        <v>204.56252562050526</v>
      </c>
      <c r="AI529" s="2">
        <v>703049.96049040207</v>
      </c>
      <c r="AJ529" s="2">
        <v>670713.13549760007</v>
      </c>
      <c r="AL529" s="27">
        <v>0.91163702686248183</v>
      </c>
      <c r="AM529" s="27">
        <v>0.91148588369667483</v>
      </c>
      <c r="AN529" s="27">
        <v>0.90734685444768726</v>
      </c>
      <c r="AO529" s="27">
        <v>0.86674011920960981</v>
      </c>
      <c r="AP529" s="27">
        <v>0.62339785732858333</v>
      </c>
      <c r="AQ529" s="27">
        <v>0.91163702686248183</v>
      </c>
      <c r="AR529" s="27">
        <v>0.91148588369667483</v>
      </c>
      <c r="AS529" s="27">
        <v>0.90734685444768726</v>
      </c>
      <c r="AT529" s="27">
        <v>0.86674011920960981</v>
      </c>
      <c r="AU529" s="27">
        <v>0.62339785732858333</v>
      </c>
      <c r="AW529" s="1">
        <v>13.446260045375809</v>
      </c>
      <c r="AX529" s="1">
        <v>15.8712763522714</v>
      </c>
      <c r="AY529" s="2">
        <v>2888896.1550210966</v>
      </c>
      <c r="AZ529" s="1">
        <v>15.213433272536918</v>
      </c>
      <c r="BA529" s="1">
        <v>17.503558482013776</v>
      </c>
      <c r="BB529" s="2">
        <v>2133914.3595648804</v>
      </c>
      <c r="BC529" s="2">
        <f t="shared" si="63"/>
        <v>-754981.7954562162</v>
      </c>
      <c r="BD529" s="292">
        <f t="shared" si="64"/>
        <v>1.7671732271611091</v>
      </c>
      <c r="BF529" s="170">
        <f t="shared" si="59"/>
        <v>-737494.54776096717</v>
      </c>
      <c r="BG529" s="2">
        <f t="shared" si="60"/>
        <v>300234.96404102631</v>
      </c>
      <c r="BI529">
        <f t="shared" si="61"/>
        <v>0</v>
      </c>
      <c r="BJ529" s="95">
        <f t="shared" si="62"/>
        <v>1</v>
      </c>
      <c r="BP529" s="217">
        <f t="shared" si="65"/>
        <v>300234.96404102631</v>
      </c>
    </row>
    <row r="530" spans="1:68">
      <c r="A530" s="11">
        <v>524</v>
      </c>
      <c r="C530" s="27">
        <v>0.92138426656687722</v>
      </c>
      <c r="D530" s="27">
        <v>7.8615733433122781E-2</v>
      </c>
      <c r="E530" s="27">
        <v>0</v>
      </c>
      <c r="F530" s="27">
        <v>0.86074136769369014</v>
      </c>
      <c r="G530" s="27">
        <v>0.13925863230630992</v>
      </c>
      <c r="H530" s="27">
        <v>0</v>
      </c>
      <c r="I530" s="27">
        <v>0.74809707880030607</v>
      </c>
      <c r="J530" s="27">
        <v>0.25190292119969393</v>
      </c>
      <c r="K530" s="27">
        <v>0</v>
      </c>
      <c r="L530" s="27">
        <v>9.065244321169752E-2</v>
      </c>
      <c r="M530" s="27">
        <v>0.52937460701728456</v>
      </c>
      <c r="N530" s="27">
        <v>0.37997294977101792</v>
      </c>
      <c r="O530" s="27">
        <v>-11.11102785444074</v>
      </c>
      <c r="P530" s="27">
        <v>3.5714880635893287E-2</v>
      </c>
      <c r="Q530" s="27">
        <v>6.6987610891874685E-5</v>
      </c>
      <c r="R530" s="27">
        <v>1.0578891976194813</v>
      </c>
      <c r="S530" s="154"/>
      <c r="T530">
        <v>0.87314086309605332</v>
      </c>
      <c r="U530">
        <v>2.248408746831581</v>
      </c>
      <c r="V530">
        <v>2.7258823958413654</v>
      </c>
      <c r="W530">
        <v>1</v>
      </c>
      <c r="Y530" s="2">
        <v>664.94072706936754</v>
      </c>
      <c r="Z530" s="2">
        <v>1914.3191672656608</v>
      </c>
      <c r="AA530" s="2">
        <v>3833.799889283689</v>
      </c>
      <c r="AB530" s="2">
        <v>2924.8631742371849</v>
      </c>
      <c r="AC530" s="2">
        <v>236.3344292732896</v>
      </c>
      <c r="AD530" s="2">
        <v>1789.6593302429701</v>
      </c>
      <c r="AE530" s="2">
        <v>501.44301360701775</v>
      </c>
      <c r="AF530" s="2">
        <v>1164.2709031660588</v>
      </c>
      <c r="AG530" s="2">
        <v>111.85804474640686</v>
      </c>
      <c r="AH530" s="2">
        <v>792.0022345111563</v>
      </c>
      <c r="AI530" s="2">
        <v>439398.18310359883</v>
      </c>
      <c r="AJ530" s="2">
        <v>416912.42663047672</v>
      </c>
      <c r="AL530" s="27">
        <v>0.9116182966524683</v>
      </c>
      <c r="AM530" s="27">
        <v>0.91480355688043935</v>
      </c>
      <c r="AN530" s="27">
        <v>0.91670105639399768</v>
      </c>
      <c r="AO530" s="27">
        <v>0.88518086051196931</v>
      </c>
      <c r="AP530" s="27">
        <v>0.62759477130280328</v>
      </c>
      <c r="AQ530" s="27">
        <v>0.9116182966524683</v>
      </c>
      <c r="AR530" s="27">
        <v>0.91480355688043935</v>
      </c>
      <c r="AS530" s="27">
        <v>0.91670105639399768</v>
      </c>
      <c r="AT530" s="27">
        <v>0.88518086051196931</v>
      </c>
      <c r="AU530" s="27">
        <v>0.62759477130280328</v>
      </c>
      <c r="AW530" s="1">
        <v>13.747616580740509</v>
      </c>
      <c r="AX530" s="1">
        <v>16.059448438113282</v>
      </c>
      <c r="AY530" s="2">
        <v>1646224.1414678779</v>
      </c>
      <c r="AZ530" s="1">
        <v>15.211541956346112</v>
      </c>
      <c r="BA530" s="1">
        <v>17.416353082276451</v>
      </c>
      <c r="BB530" s="2">
        <v>1379140.1985401239</v>
      </c>
      <c r="BC530" s="2">
        <f t="shared" si="63"/>
        <v>-267083.94292775402</v>
      </c>
      <c r="BD530" s="292">
        <f t="shared" si="64"/>
        <v>1.4639253756056032</v>
      </c>
      <c r="BF530" s="170">
        <f t="shared" si="59"/>
        <v>553394.51145060337</v>
      </c>
      <c r="BG530" s="2">
        <f t="shared" si="60"/>
        <v>1054706.5144752541</v>
      </c>
      <c r="BI530">
        <f t="shared" si="61"/>
        <v>0</v>
      </c>
      <c r="BJ530" s="95">
        <f t="shared" si="62"/>
        <v>1</v>
      </c>
      <c r="BP530" s="217">
        <f t="shared" si="65"/>
        <v>1054706.5144752541</v>
      </c>
    </row>
    <row r="531" spans="1:68">
      <c r="A531" s="11">
        <v>525</v>
      </c>
      <c r="C531" s="27">
        <v>0.92168683591197076</v>
      </c>
      <c r="D531" s="27">
        <v>7.8313164088029241E-2</v>
      </c>
      <c r="E531" s="27">
        <v>0</v>
      </c>
      <c r="F531" s="27">
        <v>0.85730383412384303</v>
      </c>
      <c r="G531" s="27">
        <v>0.14269616587615691</v>
      </c>
      <c r="H531" s="27">
        <v>0</v>
      </c>
      <c r="I531" s="27">
        <v>0.73872079913988364</v>
      </c>
      <c r="J531" s="27">
        <v>0.26127920086011636</v>
      </c>
      <c r="K531" s="27">
        <v>0</v>
      </c>
      <c r="L531" s="27">
        <v>6.6019680347536025E-2</v>
      </c>
      <c r="M531" s="27">
        <v>0.5084730983907142</v>
      </c>
      <c r="N531" s="27">
        <v>0.42550722126174978</v>
      </c>
      <c r="O531" s="27">
        <v>-11.111630011786565</v>
      </c>
      <c r="P531" s="27">
        <v>3.1989425703211866E-2</v>
      </c>
      <c r="Q531" s="27">
        <v>5.7250502844888642E-5</v>
      </c>
      <c r="R531" s="27">
        <v>1.0857471394183988</v>
      </c>
      <c r="S531" s="154"/>
      <c r="T531">
        <v>1.0527880144543034</v>
      </c>
      <c r="U531">
        <v>2.2168274196468274</v>
      </c>
      <c r="V531">
        <v>2.8501543132741833</v>
      </c>
      <c r="W531">
        <v>1</v>
      </c>
      <c r="Y531" s="2">
        <v>812.83546595044788</v>
      </c>
      <c r="Z531" s="2">
        <v>2528.8909505585652</v>
      </c>
      <c r="AA531" s="2">
        <v>582.9680239066264</v>
      </c>
      <c r="AB531" s="2">
        <v>4792.4896357725002</v>
      </c>
      <c r="AC531" s="2">
        <v>146.33334514575117</v>
      </c>
      <c r="AD531" s="2">
        <v>228.98772054273664</v>
      </c>
      <c r="AE531" s="2">
        <v>527.87956946756776</v>
      </c>
      <c r="AF531" s="2">
        <v>953.3065118154542</v>
      </c>
      <c r="AG531" s="2">
        <v>82.068171706770897</v>
      </c>
      <c r="AH531" s="2">
        <v>341.00547445164597</v>
      </c>
      <c r="AI531" s="2">
        <v>422436.72382317553</v>
      </c>
      <c r="AJ531" s="2">
        <v>388021.93049431854</v>
      </c>
      <c r="AL531" s="27">
        <v>0.92162580049033571</v>
      </c>
      <c r="AM531" s="27">
        <v>0.91195839253440636</v>
      </c>
      <c r="AN531" s="27">
        <v>0.90458007521939787</v>
      </c>
      <c r="AO531" s="27">
        <v>0.89074062942837406</v>
      </c>
      <c r="AP531" s="27">
        <v>0.78001740060112901</v>
      </c>
      <c r="AQ531" s="27">
        <v>0.92162580049033571</v>
      </c>
      <c r="AR531" s="27">
        <v>0.91195839253440636</v>
      </c>
      <c r="AS531" s="27">
        <v>0.90458007521939787</v>
      </c>
      <c r="AT531" s="27">
        <v>0.89074062942837406</v>
      </c>
      <c r="AU531" s="27">
        <v>0.78001740060112901</v>
      </c>
      <c r="AW531" s="1">
        <v>13.464702947721589</v>
      </c>
      <c r="AX531" s="1">
        <v>15.141937881178366</v>
      </c>
      <c r="AY531" s="2">
        <v>1525421.1074574881</v>
      </c>
      <c r="AZ531" s="1">
        <v>15.376612236941359</v>
      </c>
      <c r="BA531" s="1">
        <v>17.105876253488951</v>
      </c>
      <c r="BB531" s="2">
        <v>1135580.5201918148</v>
      </c>
      <c r="BC531" s="2">
        <f t="shared" si="63"/>
        <v>-389840.58726567333</v>
      </c>
      <c r="BD531" s="292">
        <f t="shared" si="64"/>
        <v>1.9119092892197695</v>
      </c>
      <c r="BF531" s="170">
        <f t="shared" si="59"/>
        <v>628931.36417796626</v>
      </c>
      <c r="BG531" s="2">
        <f t="shared" si="60"/>
        <v>1324677.4377188026</v>
      </c>
      <c r="BI531">
        <f t="shared" si="61"/>
        <v>0</v>
      </c>
      <c r="BJ531" s="95">
        <f t="shared" si="62"/>
        <v>1</v>
      </c>
      <c r="BP531" s="217">
        <f t="shared" si="65"/>
        <v>1324677.4377188026</v>
      </c>
    </row>
    <row r="532" spans="1:68">
      <c r="A532" s="11">
        <v>526</v>
      </c>
      <c r="C532" s="27">
        <v>0.92193257960245889</v>
      </c>
      <c r="D532" s="27">
        <v>7.806742039754111E-2</v>
      </c>
      <c r="E532" s="27">
        <v>0</v>
      </c>
      <c r="F532" s="27">
        <v>0.86080766418097832</v>
      </c>
      <c r="G532" s="27">
        <v>0.13919233581902168</v>
      </c>
      <c r="H532" s="27">
        <v>0</v>
      </c>
      <c r="I532" s="27">
        <v>0.75205450459535617</v>
      </c>
      <c r="J532" s="27">
        <v>0.24794549540464383</v>
      </c>
      <c r="K532" s="27">
        <v>0</v>
      </c>
      <c r="L532" s="27">
        <v>0.19729799402433795</v>
      </c>
      <c r="M532" s="27">
        <v>0.46200243588584905</v>
      </c>
      <c r="N532" s="27">
        <v>0.34069957008981305</v>
      </c>
      <c r="O532" s="27">
        <v>-11.255485811687111</v>
      </c>
      <c r="P532" s="27">
        <v>3.659919080615566E-2</v>
      </c>
      <c r="Q532" s="27">
        <v>6.0171015130823139E-5</v>
      </c>
      <c r="R532" s="27">
        <v>1.0724474652226494</v>
      </c>
      <c r="S532" s="154"/>
      <c r="T532">
        <v>0.95746491357467656</v>
      </c>
      <c r="U532">
        <v>2.2832377963990518</v>
      </c>
      <c r="V532">
        <v>2.9601491066452978</v>
      </c>
      <c r="W532">
        <v>1</v>
      </c>
      <c r="Y532" s="2">
        <v>193.86667358781585</v>
      </c>
      <c r="Z532" s="2">
        <v>488.96006751672115</v>
      </c>
      <c r="AA532" s="2">
        <v>3179.0137061404721</v>
      </c>
      <c r="AB532" s="2">
        <v>906.64030716751097</v>
      </c>
      <c r="AC532" s="2">
        <v>120.74927257342124</v>
      </c>
      <c r="AD532" s="2">
        <v>1217.0922670111759</v>
      </c>
      <c r="AE532" s="2">
        <v>492.7113414556834</v>
      </c>
      <c r="AF532" s="2">
        <v>897.9143348364903</v>
      </c>
      <c r="AG532" s="2">
        <v>186.40519954930275</v>
      </c>
      <c r="AH532" s="2">
        <v>187.41646078523004</v>
      </c>
      <c r="AI532" s="2">
        <v>467266.18343943974</v>
      </c>
      <c r="AJ532" s="2">
        <v>436865.94146959041</v>
      </c>
      <c r="AL532" s="27">
        <v>0.91635210239553755</v>
      </c>
      <c r="AM532" s="27">
        <v>0.9152142836649666</v>
      </c>
      <c r="AN532" s="27">
        <v>0.89825409437745884</v>
      </c>
      <c r="AO532" s="27">
        <v>0.84217042905877437</v>
      </c>
      <c r="AP532" s="27">
        <v>0.74142009229065642</v>
      </c>
      <c r="AQ532" s="27">
        <v>0.91635210239553755</v>
      </c>
      <c r="AR532" s="27">
        <v>0.9152142836649666</v>
      </c>
      <c r="AS532" s="27">
        <v>0.89825409437745884</v>
      </c>
      <c r="AT532" s="27">
        <v>0.84217042905877437</v>
      </c>
      <c r="AU532" s="27">
        <v>0.74142009229065642</v>
      </c>
      <c r="AW532" s="1">
        <v>13.81199222153686</v>
      </c>
      <c r="AX532" s="1">
        <v>15.754043180977787</v>
      </c>
      <c r="AY532" s="2">
        <v>1726590.1968443785</v>
      </c>
      <c r="AZ532" s="1">
        <v>15.495537054670034</v>
      </c>
      <c r="BA532" s="1">
        <v>17.429958897067046</v>
      </c>
      <c r="BB532" s="2">
        <v>1318907.7540879785</v>
      </c>
      <c r="BC532" s="2">
        <f t="shared" si="63"/>
        <v>-407682.44275639998</v>
      </c>
      <c r="BD532" s="292">
        <f t="shared" si="64"/>
        <v>1.6835448331331744</v>
      </c>
      <c r="BF532" s="170">
        <f t="shared" si="59"/>
        <v>483328.55860151909</v>
      </c>
      <c r="BG532" s="2">
        <f t="shared" si="60"/>
        <v>1160378.174659227</v>
      </c>
      <c r="BI532">
        <f t="shared" si="61"/>
        <v>0</v>
      </c>
      <c r="BJ532" s="95">
        <f t="shared" si="62"/>
        <v>1</v>
      </c>
      <c r="BP532" s="217">
        <f t="shared" si="65"/>
        <v>1160378.174659227</v>
      </c>
    </row>
    <row r="533" spans="1:68">
      <c r="A533" s="11">
        <v>527</v>
      </c>
      <c r="C533" s="27">
        <v>0.92331357704415129</v>
      </c>
      <c r="D533" s="27">
        <v>7.6686422955848738E-2</v>
      </c>
      <c r="E533" s="27">
        <v>0</v>
      </c>
      <c r="F533" s="27">
        <v>0.85152664289637481</v>
      </c>
      <c r="G533" s="27">
        <v>0.14847335710362519</v>
      </c>
      <c r="H533" s="27">
        <v>0</v>
      </c>
      <c r="I533" s="27">
        <v>0.74312973536279525</v>
      </c>
      <c r="J533" s="27">
        <v>0.25687026463720475</v>
      </c>
      <c r="K533" s="27">
        <v>0</v>
      </c>
      <c r="L533" s="27">
        <v>0.10598851827387679</v>
      </c>
      <c r="M533" s="27">
        <v>0.49384651114838912</v>
      </c>
      <c r="N533" s="27">
        <v>0.40016497057773404</v>
      </c>
      <c r="O533" s="27">
        <v>-11.39504708911652</v>
      </c>
      <c r="P533" s="27">
        <v>3.4097614807594892E-2</v>
      </c>
      <c r="Q533" s="27">
        <v>4.7113674631666328E-5</v>
      </c>
      <c r="R533" s="27">
        <v>1.1159854349720619</v>
      </c>
      <c r="S533" s="154"/>
      <c r="T533">
        <v>1.061588112865004</v>
      </c>
      <c r="U533">
        <v>2.202274901881641</v>
      </c>
      <c r="V533">
        <v>2.934319201566304</v>
      </c>
      <c r="W533">
        <v>1</v>
      </c>
      <c r="Y533" s="2">
        <v>1899.1911950725737</v>
      </c>
      <c r="Z533" s="2">
        <v>28.984359381860273</v>
      </c>
      <c r="AA533" s="2">
        <v>19.010790446029773</v>
      </c>
      <c r="AB533" s="2">
        <v>2916.0941470422845</v>
      </c>
      <c r="AC533" s="2">
        <v>878.57430081895268</v>
      </c>
      <c r="AD533" s="2">
        <v>838.51655472427569</v>
      </c>
      <c r="AE533" s="2">
        <v>473.38212284256167</v>
      </c>
      <c r="AF533" s="2">
        <v>1005.4857334917942</v>
      </c>
      <c r="AG533" s="2">
        <v>161.86585371553562</v>
      </c>
      <c r="AH533" s="2">
        <v>395.66390734241384</v>
      </c>
      <c r="AI533" s="2">
        <v>382624.94054236927</v>
      </c>
      <c r="AJ533" s="2">
        <v>338930.87681282032</v>
      </c>
      <c r="AL533" s="27">
        <v>0.92131617009856104</v>
      </c>
      <c r="AM533" s="27">
        <v>0.91409098059132721</v>
      </c>
      <c r="AN533" s="27">
        <v>0.9049983612552005</v>
      </c>
      <c r="AO533" s="27">
        <v>0.89007600075048998</v>
      </c>
      <c r="AP533" s="27">
        <v>0.62520039169143926</v>
      </c>
      <c r="AQ533" s="27">
        <v>0.92131617009856104</v>
      </c>
      <c r="AR533" s="27">
        <v>0.91409098059132721</v>
      </c>
      <c r="AS533" s="27">
        <v>0.9049983612552005</v>
      </c>
      <c r="AT533" s="27">
        <v>0.89007600075048998</v>
      </c>
      <c r="AU533" s="27">
        <v>0.62520039169143926</v>
      </c>
      <c r="AW533" s="1">
        <v>12.956755168148534</v>
      </c>
      <c r="AX533" s="1">
        <v>15.084180898454779</v>
      </c>
      <c r="AY533" s="2">
        <v>1294392.9009047134</v>
      </c>
      <c r="AZ533" s="1">
        <v>15.033723554609585</v>
      </c>
      <c r="BA533" s="1">
        <v>17.074304380978237</v>
      </c>
      <c r="BB533" s="2">
        <v>952177.26597881631</v>
      </c>
      <c r="BC533" s="2">
        <f t="shared" si="63"/>
        <v>-342215.63492589712</v>
      </c>
      <c r="BD533" s="292">
        <f t="shared" si="64"/>
        <v>2.0769683864610506</v>
      </c>
      <c r="BF533" s="170">
        <f t="shared" si="59"/>
        <v>778687.92599905212</v>
      </c>
      <c r="BG533" s="2">
        <f t="shared" si="60"/>
        <v>1453218.5027587172</v>
      </c>
      <c r="BI533">
        <f t="shared" si="61"/>
        <v>0</v>
      </c>
      <c r="BJ533" s="95">
        <f t="shared" si="62"/>
        <v>1</v>
      </c>
      <c r="BP533" s="217">
        <f t="shared" si="65"/>
        <v>1453218.5027587172</v>
      </c>
    </row>
    <row r="534" spans="1:68">
      <c r="A534" s="11">
        <v>528</v>
      </c>
      <c r="C534" s="27">
        <v>0.91949374610368162</v>
      </c>
      <c r="D534" s="27">
        <v>8.050625389631838E-2</v>
      </c>
      <c r="E534" s="27">
        <v>0</v>
      </c>
      <c r="F534" s="27">
        <v>0.85754247485712332</v>
      </c>
      <c r="G534" s="27">
        <v>0.14245752514287666</v>
      </c>
      <c r="H534" s="27">
        <v>0</v>
      </c>
      <c r="I534" s="27">
        <v>0.75492059224186581</v>
      </c>
      <c r="J534" s="27">
        <v>0.24507940775813419</v>
      </c>
      <c r="K534" s="27">
        <v>0</v>
      </c>
      <c r="L534" s="27">
        <v>0.14852256820658932</v>
      </c>
      <c r="M534" s="27">
        <v>0.50819956508631281</v>
      </c>
      <c r="N534" s="27">
        <v>0.34327786670709787</v>
      </c>
      <c r="O534" s="27">
        <v>-10.754184370200871</v>
      </c>
      <c r="P534" s="27">
        <v>3.4179163815135111E-2</v>
      </c>
      <c r="Q534" s="27">
        <v>8.9734119301765046E-5</v>
      </c>
      <c r="R534" s="27">
        <v>1.0212928364089562</v>
      </c>
      <c r="S534" s="154"/>
      <c r="T534">
        <v>0.95305774013151157</v>
      </c>
      <c r="U534">
        <v>2.2469801442371278</v>
      </c>
      <c r="V534">
        <v>3.3093946191452903</v>
      </c>
      <c r="W534">
        <v>1</v>
      </c>
      <c r="Y534" s="2">
        <v>2618.7493036703186</v>
      </c>
      <c r="Z534" s="2">
        <v>4865.2697983132684</v>
      </c>
      <c r="AA534" s="2">
        <v>1859.2792876796345</v>
      </c>
      <c r="AB534" s="2">
        <v>2502.1513453265566</v>
      </c>
      <c r="AC534" s="2">
        <v>1211.1467359135713</v>
      </c>
      <c r="AD534" s="2">
        <v>135.85848830714195</v>
      </c>
      <c r="AE534" s="2">
        <v>499.48261906657461</v>
      </c>
      <c r="AF534" s="2">
        <v>1009.5781556343878</v>
      </c>
      <c r="AG534" s="2">
        <v>158.50899932404107</v>
      </c>
      <c r="AH534" s="2">
        <v>377.74098489830482</v>
      </c>
      <c r="AI534" s="2">
        <v>449198.24868364341</v>
      </c>
      <c r="AJ534" s="2">
        <v>419522.64295071311</v>
      </c>
      <c r="AL534" s="27">
        <v>0.91489823496215161</v>
      </c>
      <c r="AM534" s="27">
        <v>0.9083018443333053</v>
      </c>
      <c r="AN534" s="27">
        <v>0.90199977916333385</v>
      </c>
      <c r="AO534" s="27">
        <v>0.87352422492039117</v>
      </c>
      <c r="AP534" s="27">
        <v>0.64986635327216469</v>
      </c>
      <c r="AQ534" s="27">
        <v>0.91489823496215161</v>
      </c>
      <c r="AR534" s="27">
        <v>0.9083018443333053</v>
      </c>
      <c r="AS534" s="27">
        <v>0.90199977916333385</v>
      </c>
      <c r="AT534" s="27">
        <v>0.87352422492039117</v>
      </c>
      <c r="AU534" s="27">
        <v>0.64986635327216469</v>
      </c>
      <c r="AW534" s="1">
        <v>13.513920006794708</v>
      </c>
      <c r="AX534" s="1">
        <v>15.83870159042827</v>
      </c>
      <c r="AY534" s="2">
        <v>1935122.1515679033</v>
      </c>
      <c r="AZ534" s="1">
        <v>15.272206106976638</v>
      </c>
      <c r="BA534" s="1">
        <v>17.497428808352502</v>
      </c>
      <c r="BB534" s="2">
        <v>1382969.5509958006</v>
      </c>
      <c r="BC534" s="2">
        <f t="shared" si="63"/>
        <v>-552152.6005721027</v>
      </c>
      <c r="BD534" s="292">
        <f t="shared" si="64"/>
        <v>1.7582861001819303</v>
      </c>
      <c r="BF534" s="170">
        <f t="shared" si="59"/>
        <v>227105.0495192497</v>
      </c>
      <c r="BG534" s="2">
        <f t="shared" si="60"/>
        <v>1060583.4261204614</v>
      </c>
      <c r="BI534">
        <f t="shared" si="61"/>
        <v>0</v>
      </c>
      <c r="BJ534" s="95">
        <f t="shared" si="62"/>
        <v>1</v>
      </c>
      <c r="BP534" s="217">
        <f t="shared" si="65"/>
        <v>1060583.4261204614</v>
      </c>
    </row>
    <row r="535" spans="1:68">
      <c r="A535" s="11">
        <v>529</v>
      </c>
      <c r="C535" s="27">
        <v>0.92082098377534993</v>
      </c>
      <c r="D535" s="27">
        <v>7.9179016224650067E-2</v>
      </c>
      <c r="E535" s="27">
        <v>0</v>
      </c>
      <c r="F535" s="27">
        <v>0.85939110503091709</v>
      </c>
      <c r="G535" s="27">
        <v>0.14060889496908291</v>
      </c>
      <c r="H535" s="27">
        <v>0</v>
      </c>
      <c r="I535" s="27">
        <v>0.75536957928190618</v>
      </c>
      <c r="J535" s="27">
        <v>0.24463042071809385</v>
      </c>
      <c r="K535" s="27">
        <v>0</v>
      </c>
      <c r="L535" s="27">
        <v>0.12764580360040123</v>
      </c>
      <c r="M535" s="27">
        <v>0.45319427452086247</v>
      </c>
      <c r="N535" s="27">
        <v>0.4191599218787363</v>
      </c>
      <c r="O535" s="27">
        <v>-11.175839654006232</v>
      </c>
      <c r="P535" s="27">
        <v>3.444071106082796E-2</v>
      </c>
      <c r="Q535" s="27">
        <v>5.9512166373394664E-5</v>
      </c>
      <c r="R535" s="27">
        <v>1.0719481355784697</v>
      </c>
      <c r="S535" s="154"/>
      <c r="T535">
        <v>1.065365907090686</v>
      </c>
      <c r="U535">
        <v>2.2352659292295853</v>
      </c>
      <c r="V535">
        <v>2.8508616537377498</v>
      </c>
      <c r="W535">
        <v>1</v>
      </c>
      <c r="Y535" s="2">
        <v>96.805561206029637</v>
      </c>
      <c r="Z535" s="2">
        <v>3043.7515138676758</v>
      </c>
      <c r="AA535" s="2">
        <v>1208.3423494235553</v>
      </c>
      <c r="AB535" s="2">
        <v>1609.7383664125994</v>
      </c>
      <c r="AC535" s="2">
        <v>1223.109078688464</v>
      </c>
      <c r="AD535" s="2">
        <v>530.92664435785014</v>
      </c>
      <c r="AE535" s="2">
        <v>625.16996981060913</v>
      </c>
      <c r="AF535" s="2">
        <v>906.00688082262059</v>
      </c>
      <c r="AG535" s="2">
        <v>79.293937897888782</v>
      </c>
      <c r="AH535" s="2">
        <v>277.56335431804519</v>
      </c>
      <c r="AI535" s="2">
        <v>425410.44571902032</v>
      </c>
      <c r="AJ535" s="2">
        <v>372853.37436343788</v>
      </c>
      <c r="AL535" s="27">
        <v>0.91504505336853914</v>
      </c>
      <c r="AM535" s="27">
        <v>0.9139327222223943</v>
      </c>
      <c r="AN535" s="27">
        <v>0.90091193589912533</v>
      </c>
      <c r="AO535" s="27">
        <v>0.9077131569695186</v>
      </c>
      <c r="AP535" s="27">
        <v>0.80496659582622354</v>
      </c>
      <c r="AQ535" s="27">
        <v>0.91504505336853914</v>
      </c>
      <c r="AR535" s="27">
        <v>0.9139327222223943</v>
      </c>
      <c r="AS535" s="27">
        <v>0.90091193589912533</v>
      </c>
      <c r="AT535" s="27">
        <v>0.9077131569695186</v>
      </c>
      <c r="AU535" s="27">
        <v>0.80496659582622354</v>
      </c>
      <c r="AW535" s="1">
        <v>13.468825791108292</v>
      </c>
      <c r="AX535" s="1">
        <v>15.108464609220938</v>
      </c>
      <c r="AY535" s="2">
        <v>1471310.7588704315</v>
      </c>
      <c r="AZ535" s="1">
        <v>15.436464232626609</v>
      </c>
      <c r="BA535" s="1">
        <v>17.159759245047191</v>
      </c>
      <c r="BB535" s="2">
        <v>1029970.266690269</v>
      </c>
      <c r="BC535" s="2">
        <f t="shared" si="63"/>
        <v>-441340.49218016246</v>
      </c>
      <c r="BD535" s="292">
        <f t="shared" si="64"/>
        <v>1.9676384415183161</v>
      </c>
      <c r="BF535" s="170">
        <f t="shared" si="59"/>
        <v>683701.36770689557</v>
      </c>
      <c r="BG535" s="2">
        <f t="shared" si="60"/>
        <v>1439864.0105299884</v>
      </c>
      <c r="BI535">
        <f t="shared" si="61"/>
        <v>0</v>
      </c>
      <c r="BJ535" s="95">
        <f t="shared" si="62"/>
        <v>1</v>
      </c>
      <c r="BP535" s="217">
        <f t="shared" si="65"/>
        <v>1439864.0105299884</v>
      </c>
    </row>
    <row r="536" spans="1:68">
      <c r="A536" s="11">
        <v>530</v>
      </c>
      <c r="C536" s="27">
        <v>0.92318178000495721</v>
      </c>
      <c r="D536" s="27">
        <v>7.6818219995042833E-2</v>
      </c>
      <c r="E536" s="27">
        <v>0</v>
      </c>
      <c r="F536" s="27">
        <v>0.86094357398850829</v>
      </c>
      <c r="G536" s="27">
        <v>0.13905642601149168</v>
      </c>
      <c r="H536" s="27">
        <v>0</v>
      </c>
      <c r="I536" s="27">
        <v>0.74623207206771347</v>
      </c>
      <c r="J536" s="27">
        <v>0.25376792793228653</v>
      </c>
      <c r="K536" s="27">
        <v>0</v>
      </c>
      <c r="L536" s="27">
        <v>0.16142960995536304</v>
      </c>
      <c r="M536" s="27">
        <v>0.49676392465635105</v>
      </c>
      <c r="N536" s="27">
        <v>0.34180646538828585</v>
      </c>
      <c r="O536" s="27">
        <v>-11.21714914253424</v>
      </c>
      <c r="P536" s="27">
        <v>3.4808961176355041E-2</v>
      </c>
      <c r="Q536" s="27">
        <v>5.7993897229940367E-5</v>
      </c>
      <c r="R536" s="27">
        <v>1.0822370971562849</v>
      </c>
      <c r="S536" s="154"/>
      <c r="T536">
        <v>0.92246131596850878</v>
      </c>
      <c r="U536">
        <v>2.2393984843095276</v>
      </c>
      <c r="V536">
        <v>3.1395690991116907</v>
      </c>
      <c r="W536">
        <v>1</v>
      </c>
      <c r="Y536" s="2">
        <v>168.303446195573</v>
      </c>
      <c r="Z536" s="2">
        <v>5452.0726691731834</v>
      </c>
      <c r="AA536" s="2">
        <v>587.69987089865492</v>
      </c>
      <c r="AB536" s="2">
        <v>1010.0290742963193</v>
      </c>
      <c r="AC536" s="2">
        <v>797.75475787400399</v>
      </c>
      <c r="AD536" s="2">
        <v>348.45998411324325</v>
      </c>
      <c r="AE536" s="2">
        <v>536.23891316593574</v>
      </c>
      <c r="AF536" s="2">
        <v>1010.7497433935191</v>
      </c>
      <c r="AG536" s="2">
        <v>197.32000548763304</v>
      </c>
      <c r="AH536" s="2">
        <v>439.53123650828439</v>
      </c>
      <c r="AI536" s="2">
        <v>422277.35115359788</v>
      </c>
      <c r="AJ536" s="2">
        <v>379769.73305910779</v>
      </c>
      <c r="AL536" s="27">
        <v>0.91712901023959392</v>
      </c>
      <c r="AM536" s="27">
        <v>0.91510240027267198</v>
      </c>
      <c r="AN536" s="27">
        <v>0.90646101296805437</v>
      </c>
      <c r="AO536" s="27">
        <v>0.88454546671390788</v>
      </c>
      <c r="AP536" s="27">
        <v>0.70470158611309142</v>
      </c>
      <c r="AQ536" s="27">
        <v>0.91712901023959392</v>
      </c>
      <c r="AR536" s="27">
        <v>0.91510240027267198</v>
      </c>
      <c r="AS536" s="27">
        <v>0.90646101296805437</v>
      </c>
      <c r="AT536" s="27">
        <v>0.88454546671390788</v>
      </c>
      <c r="AU536" s="27">
        <v>0.70470158611309142</v>
      </c>
      <c r="AW536" s="1">
        <v>13.87587876998596</v>
      </c>
      <c r="AX536" s="1">
        <v>15.892838491593428</v>
      </c>
      <c r="AY536" s="2">
        <v>1561996.4273445678</v>
      </c>
      <c r="AZ536" s="1">
        <v>15.469624867565239</v>
      </c>
      <c r="BA536" s="1">
        <v>17.448144958392579</v>
      </c>
      <c r="BB536" s="2">
        <v>1118743.3604375259</v>
      </c>
      <c r="BC536" s="2">
        <f t="shared" si="63"/>
        <v>-443253.06690704194</v>
      </c>
      <c r="BD536" s="292">
        <f t="shared" si="64"/>
        <v>1.5937460975792792</v>
      </c>
      <c r="BF536" s="170">
        <f t="shared" si="59"/>
        <v>658144.17585318559</v>
      </c>
      <c r="BG536" s="2">
        <f t="shared" si="60"/>
        <v>1356396.6183729125</v>
      </c>
      <c r="BI536">
        <f t="shared" si="61"/>
        <v>0</v>
      </c>
      <c r="BJ536" s="95">
        <f t="shared" si="62"/>
        <v>1</v>
      </c>
      <c r="BP536" s="217">
        <f t="shared" si="65"/>
        <v>1356396.6183729125</v>
      </c>
    </row>
    <row r="537" spans="1:68">
      <c r="A537" s="11">
        <v>531</v>
      </c>
      <c r="C537" s="27">
        <v>0.92030316397057554</v>
      </c>
      <c r="D537" s="27">
        <v>7.9696836029424456E-2</v>
      </c>
      <c r="E537" s="27">
        <v>0</v>
      </c>
      <c r="F537" s="27">
        <v>0.85946024418546585</v>
      </c>
      <c r="G537" s="27">
        <v>0.14053975581453412</v>
      </c>
      <c r="H537" s="27">
        <v>0</v>
      </c>
      <c r="I537" s="27">
        <v>0.74726945180451998</v>
      </c>
      <c r="J537" s="27">
        <v>0.25273054819548002</v>
      </c>
      <c r="K537" s="27">
        <v>0</v>
      </c>
      <c r="L537" s="27">
        <v>0.19142040974117425</v>
      </c>
      <c r="M537" s="27">
        <v>0.48834294552608981</v>
      </c>
      <c r="N537" s="27">
        <v>0.32023664473273594</v>
      </c>
      <c r="O537" s="27">
        <v>-11.037876215663154</v>
      </c>
      <c r="P537" s="27">
        <v>3.500317943687082E-2</v>
      </c>
      <c r="Q537" s="27">
        <v>6.9949103074547857E-5</v>
      </c>
      <c r="R537" s="27">
        <v>1.0486216270433222</v>
      </c>
      <c r="S537" s="154"/>
      <c r="T537">
        <v>0.95418890487419172</v>
      </c>
      <c r="U537">
        <v>2.2160305761081989</v>
      </c>
      <c r="V537">
        <v>3.3892327704837135</v>
      </c>
      <c r="W537">
        <v>1</v>
      </c>
      <c r="Y537" s="2">
        <v>331.31988319222899</v>
      </c>
      <c r="Z537" s="2">
        <v>259.39842634165035</v>
      </c>
      <c r="AA537" s="2">
        <v>2588.3362948944637</v>
      </c>
      <c r="AB537" s="2">
        <v>1735.1587538911444</v>
      </c>
      <c r="AC537" s="2">
        <v>248.0340153986696</v>
      </c>
      <c r="AD537" s="2">
        <v>1595.82762778541</v>
      </c>
      <c r="AE537" s="2">
        <v>578.13046656304994</v>
      </c>
      <c r="AF537" s="2">
        <v>936.35695853703885</v>
      </c>
      <c r="AG537" s="2">
        <v>241.49049169050591</v>
      </c>
      <c r="AH537" s="2">
        <v>404.10140519990614</v>
      </c>
      <c r="AI537" s="2">
        <v>475986.13544125471</v>
      </c>
      <c r="AJ537" s="2">
        <v>445441.10866977507</v>
      </c>
      <c r="AL537" s="27">
        <v>0.9129021551766322</v>
      </c>
      <c r="AM537" s="27">
        <v>0.91397290623457839</v>
      </c>
      <c r="AN537" s="27">
        <v>0.91605578721813063</v>
      </c>
      <c r="AO537" s="27">
        <v>0.89651063330666159</v>
      </c>
      <c r="AP537" s="27">
        <v>0.74228841029270454</v>
      </c>
      <c r="AQ537" s="27">
        <v>0.9129021551766322</v>
      </c>
      <c r="AR537" s="27">
        <v>0.91397290623457839</v>
      </c>
      <c r="AS537" s="27">
        <v>0.91605578721813063</v>
      </c>
      <c r="AT537" s="27">
        <v>0.89651063330666159</v>
      </c>
      <c r="AU537" s="27">
        <v>0.74228841029270454</v>
      </c>
      <c r="AW537" s="1">
        <v>13.922215281590448</v>
      </c>
      <c r="AX537" s="1">
        <v>15.910815781789575</v>
      </c>
      <c r="AY537" s="2">
        <v>1936567.6072733779</v>
      </c>
      <c r="AZ537" s="1">
        <v>15.582942118018474</v>
      </c>
      <c r="BA537" s="1">
        <v>17.537057093320811</v>
      </c>
      <c r="BB537" s="2">
        <v>1482425.5358415588</v>
      </c>
      <c r="BC537" s="2">
        <f t="shared" si="63"/>
        <v>-454142.07143181912</v>
      </c>
      <c r="BD537" s="292">
        <f t="shared" si="64"/>
        <v>1.6607268364280259</v>
      </c>
      <c r="BF537" s="170">
        <f t="shared" si="59"/>
        <v>290986.83778109401</v>
      </c>
      <c r="BG537" s="2">
        <f t="shared" si="60"/>
        <v>1010845.2030413973</v>
      </c>
      <c r="BI537">
        <f t="shared" si="61"/>
        <v>0</v>
      </c>
      <c r="BJ537" s="95">
        <f t="shared" si="62"/>
        <v>1</v>
      </c>
      <c r="BP537" s="217">
        <f t="shared" si="65"/>
        <v>1010845.2030413973</v>
      </c>
    </row>
    <row r="538" spans="1:68">
      <c r="A538" s="11">
        <v>532</v>
      </c>
      <c r="C538" s="27">
        <v>0.92267277135763992</v>
      </c>
      <c r="D538" s="27">
        <v>7.732722864236008E-2</v>
      </c>
      <c r="E538" s="27">
        <v>0</v>
      </c>
      <c r="F538" s="27">
        <v>0.86291645017394292</v>
      </c>
      <c r="G538" s="27">
        <v>0.13708354982605708</v>
      </c>
      <c r="H538" s="27">
        <v>0</v>
      </c>
      <c r="I538" s="27">
        <v>0.75583057191273206</v>
      </c>
      <c r="J538" s="27">
        <v>0.24416942808726791</v>
      </c>
      <c r="K538" s="27">
        <v>0</v>
      </c>
      <c r="L538" s="27">
        <v>7.8462763259152801E-2</v>
      </c>
      <c r="M538" s="27">
        <v>0.48586879695631097</v>
      </c>
      <c r="N538" s="27">
        <v>0.43566843978453629</v>
      </c>
      <c r="O538" s="27">
        <v>-11.100307108265536</v>
      </c>
      <c r="P538" s="27">
        <v>3.7064575126588346E-2</v>
      </c>
      <c r="Q538" s="27">
        <v>7.1658774132800354E-5</v>
      </c>
      <c r="R538" s="27">
        <v>1.0473723286236309</v>
      </c>
      <c r="S538" s="154"/>
      <c r="T538">
        <v>1.1014107264381146</v>
      </c>
      <c r="U538">
        <v>2.1947092102428631</v>
      </c>
      <c r="V538">
        <v>2.9865704236559001</v>
      </c>
      <c r="W538">
        <v>1</v>
      </c>
      <c r="Y538" s="2">
        <v>229.42689863171327</v>
      </c>
      <c r="Z538" s="2">
        <v>8537.677904943479</v>
      </c>
      <c r="AA538" s="2">
        <v>470.78802315191592</v>
      </c>
      <c r="AB538" s="2">
        <v>1757.7610714303435</v>
      </c>
      <c r="AC538" s="2">
        <v>173.245164890175</v>
      </c>
      <c r="AD538" s="2">
        <v>2386.1294614211088</v>
      </c>
      <c r="AE538" s="2">
        <v>533.10123716295755</v>
      </c>
      <c r="AF538" s="2">
        <v>1050.7584710629153</v>
      </c>
      <c r="AG538" s="2">
        <v>106.63479700261863</v>
      </c>
      <c r="AH538" s="2">
        <v>350.94851667590001</v>
      </c>
      <c r="AI538" s="2">
        <v>504728.52585336327</v>
      </c>
      <c r="AJ538" s="2">
        <v>467934.11548411049</v>
      </c>
      <c r="AL538" s="27">
        <v>0.91605274370901779</v>
      </c>
      <c r="AM538" s="27">
        <v>0.91800217735168499</v>
      </c>
      <c r="AN538" s="27">
        <v>0.91651345560961239</v>
      </c>
      <c r="AO538" s="27">
        <v>0.85171214275680851</v>
      </c>
      <c r="AP538" s="27">
        <v>0.74939466571496327</v>
      </c>
      <c r="AQ538" s="27">
        <v>0.91605274370901779</v>
      </c>
      <c r="AR538" s="27">
        <v>0.91800217735168499</v>
      </c>
      <c r="AS538" s="27">
        <v>0.91651345560961239</v>
      </c>
      <c r="AT538" s="27">
        <v>0.85171214275680851</v>
      </c>
      <c r="AU538" s="27">
        <v>0.74939466571496327</v>
      </c>
      <c r="AW538" s="1">
        <v>13.346405828111328</v>
      </c>
      <c r="AX538" s="1">
        <v>15.186100136509641</v>
      </c>
      <c r="AY538" s="2">
        <v>1955265.0499562086</v>
      </c>
      <c r="AZ538" s="1">
        <v>15.470626390767698</v>
      </c>
      <c r="BA538" s="1">
        <v>17.299539077442574</v>
      </c>
      <c r="BB538" s="2">
        <v>1316655.4228430986</v>
      </c>
      <c r="BC538" s="2">
        <f t="shared" si="63"/>
        <v>-638609.62711310992</v>
      </c>
      <c r="BD538" s="292">
        <f t="shared" si="64"/>
        <v>2.1242205626563706</v>
      </c>
      <c r="BF538" s="170">
        <f t="shared" si="59"/>
        <v>180159.88254160387</v>
      </c>
      <c r="BG538" s="2">
        <f t="shared" si="60"/>
        <v>1158644.7996797329</v>
      </c>
      <c r="BI538">
        <f t="shared" si="61"/>
        <v>0</v>
      </c>
      <c r="BJ538" s="95">
        <f t="shared" si="62"/>
        <v>1</v>
      </c>
      <c r="BP538" s="217">
        <f t="shared" si="65"/>
        <v>1158644.7996797329</v>
      </c>
    </row>
    <row r="539" spans="1:68">
      <c r="A539" s="11">
        <v>533</v>
      </c>
      <c r="C539" s="27">
        <v>0.92173632881522272</v>
      </c>
      <c r="D539" s="27">
        <v>7.8263671184777284E-2</v>
      </c>
      <c r="E539" s="27">
        <v>0</v>
      </c>
      <c r="F539" s="27">
        <v>0.85404442279079518</v>
      </c>
      <c r="G539" s="27">
        <v>0.14595557720920482</v>
      </c>
      <c r="H539" s="27">
        <v>0</v>
      </c>
      <c r="I539" s="27">
        <v>0.74289762080601696</v>
      </c>
      <c r="J539" s="27">
        <v>0.25710237919398304</v>
      </c>
      <c r="K539" s="27">
        <v>0</v>
      </c>
      <c r="L539" s="27">
        <v>0.13985900318330691</v>
      </c>
      <c r="M539" s="27">
        <v>0.46085151565771937</v>
      </c>
      <c r="N539" s="27">
        <v>0.39928948115897378</v>
      </c>
      <c r="O539" s="27">
        <v>-11.157254229910601</v>
      </c>
      <c r="P539" s="27">
        <v>3.4209257428083173E-2</v>
      </c>
      <c r="Q539" s="27">
        <v>6.0042049396381142E-5</v>
      </c>
      <c r="R539" s="27">
        <v>1.0754831137682457</v>
      </c>
      <c r="S539" s="154"/>
      <c r="T539">
        <v>0.99425786419302875</v>
      </c>
      <c r="U539">
        <v>2.3498418940164787</v>
      </c>
      <c r="V539">
        <v>2.9539956881879461</v>
      </c>
      <c r="W539">
        <v>1</v>
      </c>
      <c r="Y539" s="2">
        <v>299.70354571115985</v>
      </c>
      <c r="Z539" s="2">
        <v>3660.7123922203109</v>
      </c>
      <c r="AA539" s="2">
        <v>2023.8859019258432</v>
      </c>
      <c r="AB539" s="2">
        <v>1879.7382444851714</v>
      </c>
      <c r="AC539" s="2">
        <v>2827.2737158213486</v>
      </c>
      <c r="AD539" s="2">
        <v>388.06074591012697</v>
      </c>
      <c r="AE539" s="2">
        <v>523.26003843348383</v>
      </c>
      <c r="AF539" s="2">
        <v>829.62034698506454</v>
      </c>
      <c r="AG539" s="2">
        <v>91.920210815977015</v>
      </c>
      <c r="AH539" s="2">
        <v>493.96416610325042</v>
      </c>
      <c r="AI539" s="2">
        <v>523164.80361646792</v>
      </c>
      <c r="AJ539" s="2">
        <v>482061.98966016824</v>
      </c>
      <c r="AL539" s="27">
        <v>0.92058373518380243</v>
      </c>
      <c r="AM539" s="27">
        <v>0.91521903828531692</v>
      </c>
      <c r="AN539" s="27">
        <v>0.91079151722592178</v>
      </c>
      <c r="AO539" s="27">
        <v>0.85738348968541278</v>
      </c>
      <c r="AP539" s="27">
        <v>0.78481125122522366</v>
      </c>
      <c r="AQ539" s="27">
        <v>0.92058373518380243</v>
      </c>
      <c r="AR539" s="27">
        <v>0.91521903828531692</v>
      </c>
      <c r="AS539" s="27">
        <v>0.91079151722592178</v>
      </c>
      <c r="AT539" s="27">
        <v>0.85738348968541278</v>
      </c>
      <c r="AU539" s="27">
        <v>0.78481125122522366</v>
      </c>
      <c r="AW539" s="1">
        <v>13.576278076944011</v>
      </c>
      <c r="AX539" s="1">
        <v>15.261460613601038</v>
      </c>
      <c r="AY539" s="2">
        <v>1903232.9346892328</v>
      </c>
      <c r="AZ539" s="1">
        <v>15.395919505917563</v>
      </c>
      <c r="BA539" s="1">
        <v>17.120292028590644</v>
      </c>
      <c r="BB539" s="2">
        <v>1365485.6711799055</v>
      </c>
      <c r="BC539" s="2">
        <f t="shared" si="63"/>
        <v>-537747.26350932731</v>
      </c>
      <c r="BD539" s="292">
        <f t="shared" si="64"/>
        <v>1.8196414289735525</v>
      </c>
      <c r="BF539" s="170">
        <f t="shared" si="59"/>
        <v>268971.55762180896</v>
      </c>
      <c r="BG539" s="2">
        <f t="shared" si="60"/>
        <v>1097861.4497669046</v>
      </c>
      <c r="BI539">
        <f t="shared" si="61"/>
        <v>0</v>
      </c>
      <c r="BJ539" s="95">
        <f t="shared" si="62"/>
        <v>1</v>
      </c>
      <c r="BP539" s="217">
        <f t="shared" si="65"/>
        <v>1097861.4497669046</v>
      </c>
    </row>
    <row r="540" spans="1:68">
      <c r="A540" s="11">
        <v>534</v>
      </c>
      <c r="C540" s="27">
        <v>0.9231494198340563</v>
      </c>
      <c r="D540" s="27">
        <v>7.6850580165943691E-2</v>
      </c>
      <c r="E540" s="27">
        <v>0</v>
      </c>
      <c r="F540" s="27">
        <v>0.86122937738599015</v>
      </c>
      <c r="G540" s="27">
        <v>0.13877062261400985</v>
      </c>
      <c r="H540" s="27">
        <v>0</v>
      </c>
      <c r="I540" s="27">
        <v>0.75689504787418527</v>
      </c>
      <c r="J540" s="27">
        <v>0.24310495212581471</v>
      </c>
      <c r="K540" s="27">
        <v>0</v>
      </c>
      <c r="L540" s="27">
        <v>0.10175543850608115</v>
      </c>
      <c r="M540" s="27">
        <v>0.51943154108964795</v>
      </c>
      <c r="N540" s="27">
        <v>0.37881302040427089</v>
      </c>
      <c r="O540" s="27">
        <v>-11.528803593207446</v>
      </c>
      <c r="P540" s="27">
        <v>3.7273784566408882E-2</v>
      </c>
      <c r="Q540" s="27">
        <v>4.7096840427143295E-5</v>
      </c>
      <c r="R540" s="27">
        <v>1.0947294569313339</v>
      </c>
      <c r="S540" s="154"/>
      <c r="T540">
        <v>1.0116194720907767</v>
      </c>
      <c r="U540">
        <v>2.2587769178242434</v>
      </c>
      <c r="V540">
        <v>3.058383728489273</v>
      </c>
      <c r="W540">
        <v>1</v>
      </c>
      <c r="Y540" s="2">
        <v>457.34614355639621</v>
      </c>
      <c r="Z540" s="2">
        <v>13705.619515525317</v>
      </c>
      <c r="AA540" s="2">
        <v>3526.9779851400267</v>
      </c>
      <c r="AB540" s="2">
        <v>4181.1192972117315</v>
      </c>
      <c r="AC540" s="2">
        <v>5.4358900806990915</v>
      </c>
      <c r="AD540" s="2">
        <v>2209.689635871347</v>
      </c>
      <c r="AE540" s="2">
        <v>609.37813277788553</v>
      </c>
      <c r="AF540" s="2">
        <v>1012.9658506340894</v>
      </c>
      <c r="AG540" s="2">
        <v>106.89925478172327</v>
      </c>
      <c r="AH540" s="2">
        <v>383.62985180029204</v>
      </c>
      <c r="AI540" s="2">
        <v>546229.89204570069</v>
      </c>
      <c r="AJ540" s="2">
        <v>507010.28904753737</v>
      </c>
      <c r="AL540" s="27">
        <v>0.92108959866379281</v>
      </c>
      <c r="AM540" s="27">
        <v>0.92048363737835104</v>
      </c>
      <c r="AN540" s="27">
        <v>0.90959994270084099</v>
      </c>
      <c r="AO540" s="27">
        <v>0.86894398091392611</v>
      </c>
      <c r="AP540" s="27">
        <v>0.71941575442557815</v>
      </c>
      <c r="AQ540" s="27">
        <v>0.92108959866379281</v>
      </c>
      <c r="AR540" s="27">
        <v>0.92048363737835104</v>
      </c>
      <c r="AS540" s="27">
        <v>0.90959994270084099</v>
      </c>
      <c r="AT540" s="27">
        <v>0.86894398091392611</v>
      </c>
      <c r="AU540" s="27">
        <v>0.71941575442557815</v>
      </c>
      <c r="AW540" s="1">
        <v>13.70860461961051</v>
      </c>
      <c r="AX540" s="1">
        <v>15.655222667927836</v>
      </c>
      <c r="AY540" s="2">
        <v>2266942.69909357</v>
      </c>
      <c r="AZ540" s="1">
        <v>15.586746844096151</v>
      </c>
      <c r="BA540" s="1">
        <v>17.478170026079635</v>
      </c>
      <c r="BB540" s="2">
        <v>1608640.7990263863</v>
      </c>
      <c r="BC540" s="2">
        <f t="shared" si="63"/>
        <v>-658301.90006718365</v>
      </c>
      <c r="BD540" s="292">
        <f t="shared" si="64"/>
        <v>1.8781422244856412</v>
      </c>
      <c r="BF540" s="170">
        <f t="shared" si="59"/>
        <v>-73565.959955888335</v>
      </c>
      <c r="BG540" s="2">
        <f t="shared" si="60"/>
        <v>885238.69602899766</v>
      </c>
      <c r="BI540">
        <f t="shared" si="61"/>
        <v>0</v>
      </c>
      <c r="BJ540" s="95">
        <f t="shared" si="62"/>
        <v>1</v>
      </c>
      <c r="BP540" s="217">
        <f t="shared" si="65"/>
        <v>885238.69602899766</v>
      </c>
    </row>
    <row r="541" spans="1:68">
      <c r="A541" s="11">
        <v>535</v>
      </c>
      <c r="C541" s="27">
        <v>0.92311673771847924</v>
      </c>
      <c r="D541" s="27">
        <v>7.6883262281520787E-2</v>
      </c>
      <c r="E541" s="27">
        <v>0</v>
      </c>
      <c r="F541" s="27">
        <v>0.85696494904916087</v>
      </c>
      <c r="G541" s="27">
        <v>0.14303505095083913</v>
      </c>
      <c r="H541" s="27">
        <v>0</v>
      </c>
      <c r="I541" s="27">
        <v>0.75431055298646488</v>
      </c>
      <c r="J541" s="27">
        <v>0.24568944701353518</v>
      </c>
      <c r="K541" s="27">
        <v>0</v>
      </c>
      <c r="L541" s="27">
        <v>9.6269440623742208E-2</v>
      </c>
      <c r="M541" s="27">
        <v>0.51124406648002141</v>
      </c>
      <c r="N541" s="27">
        <v>0.39248649289623638</v>
      </c>
      <c r="O541" s="27">
        <v>-11.190789357860051</v>
      </c>
      <c r="P541" s="27">
        <v>3.3479061774907705E-2</v>
      </c>
      <c r="Q541" s="27">
        <v>5.6308291320587611E-5</v>
      </c>
      <c r="R541" s="27">
        <v>1.0922989843275897</v>
      </c>
      <c r="S541" s="154"/>
      <c r="T541">
        <v>1.0019331141088554</v>
      </c>
      <c r="U541">
        <v>2.241710155586381</v>
      </c>
      <c r="V541">
        <v>3.2411554633658741</v>
      </c>
      <c r="W541">
        <v>1</v>
      </c>
      <c r="Y541" s="2">
        <v>332.82708062796439</v>
      </c>
      <c r="Z541" s="2">
        <v>8059.0642066923947</v>
      </c>
      <c r="AA541" s="2">
        <v>1047.8924373113252</v>
      </c>
      <c r="AB541" s="2">
        <v>13595.879528164851</v>
      </c>
      <c r="AC541" s="2">
        <v>98.741992316387893</v>
      </c>
      <c r="AD541" s="2">
        <v>1701.6822058781072</v>
      </c>
      <c r="AE541" s="2">
        <v>515.24774382499129</v>
      </c>
      <c r="AF541" s="2">
        <v>1209.9780715191916</v>
      </c>
      <c r="AG541" s="2">
        <v>63.421870812587272</v>
      </c>
      <c r="AH541" s="2">
        <v>438.043778684274</v>
      </c>
      <c r="AI541" s="2">
        <v>465223.42600774247</v>
      </c>
      <c r="AJ541" s="2">
        <v>431436.2127087228</v>
      </c>
      <c r="AL541" s="27">
        <v>0.92407165749756182</v>
      </c>
      <c r="AM541" s="27">
        <v>0.91394527030022754</v>
      </c>
      <c r="AN541" s="27">
        <v>0.91204083528484392</v>
      </c>
      <c r="AO541" s="27">
        <v>0.90015737988805777</v>
      </c>
      <c r="AP541" s="27">
        <v>0.73588355579983822</v>
      </c>
      <c r="AQ541" s="27">
        <v>0.92407165749756182</v>
      </c>
      <c r="AR541" s="27">
        <v>0.91394527030022754</v>
      </c>
      <c r="AS541" s="27">
        <v>0.91204083528484392</v>
      </c>
      <c r="AT541" s="27">
        <v>0.90015737988805777</v>
      </c>
      <c r="AU541" s="27">
        <v>0.73588355579983822</v>
      </c>
      <c r="AW541" s="1">
        <v>13.58119761020512</v>
      </c>
      <c r="AX541" s="1">
        <v>15.370360528348424</v>
      </c>
      <c r="AY541" s="2">
        <v>1743592.8185581823</v>
      </c>
      <c r="AZ541" s="1">
        <v>15.467049726061397</v>
      </c>
      <c r="BA541" s="1">
        <v>17.256174946715106</v>
      </c>
      <c r="BB541" s="2">
        <v>1428912.8292559304</v>
      </c>
      <c r="BC541" s="2">
        <f t="shared" si="63"/>
        <v>-314679.98930225195</v>
      </c>
      <c r="BD541" s="292">
        <f t="shared" si="64"/>
        <v>1.8858521158562773</v>
      </c>
      <c r="BF541" s="170">
        <f t="shared" si="59"/>
        <v>429398.79907463701</v>
      </c>
      <c r="BG541" s="2">
        <f t="shared" si="60"/>
        <v>1045815.1269138933</v>
      </c>
      <c r="BI541">
        <f t="shared" si="61"/>
        <v>0</v>
      </c>
      <c r="BJ541" s="95">
        <f t="shared" si="62"/>
        <v>1</v>
      </c>
      <c r="BP541" s="217">
        <f t="shared" si="65"/>
        <v>1045815.1269138933</v>
      </c>
    </row>
    <row r="542" spans="1:68">
      <c r="A542" s="11">
        <v>536</v>
      </c>
      <c r="C542" s="27">
        <v>0.91942374139326299</v>
      </c>
      <c r="D542" s="27">
        <v>8.0576258606737006E-2</v>
      </c>
      <c r="E542" s="27">
        <v>0</v>
      </c>
      <c r="F542" s="27">
        <v>0.85182586997969811</v>
      </c>
      <c r="G542" s="27">
        <v>0.14817413002030189</v>
      </c>
      <c r="H542" s="27">
        <v>0</v>
      </c>
      <c r="I542" s="27">
        <v>0.74145756907605009</v>
      </c>
      <c r="J542" s="27">
        <v>0.25854243092394991</v>
      </c>
      <c r="K542" s="27">
        <v>0</v>
      </c>
      <c r="L542" s="27">
        <v>5.8148524311756433E-2</v>
      </c>
      <c r="M542" s="27">
        <v>0.53068885695581236</v>
      </c>
      <c r="N542" s="27">
        <v>0.41116261873243121</v>
      </c>
      <c r="O542" s="27">
        <v>-10.939605611587428</v>
      </c>
      <c r="P542" s="27">
        <v>3.3915783362502235E-2</v>
      </c>
      <c r="Q542" s="27">
        <v>7.3726908978811185E-5</v>
      </c>
      <c r="R542" s="27">
        <v>1.0469892639447509</v>
      </c>
      <c r="S542" s="154"/>
      <c r="T542">
        <v>1.012582343223194</v>
      </c>
      <c r="U542">
        <v>2.2103591095602515</v>
      </c>
      <c r="V542">
        <v>2.8595563217426614</v>
      </c>
      <c r="W542">
        <v>1</v>
      </c>
      <c r="Y542" s="2">
        <v>612.7177212130689</v>
      </c>
      <c r="Z542" s="2">
        <v>5641.0748539867936</v>
      </c>
      <c r="AA542" s="2">
        <v>6620.2982240654919</v>
      </c>
      <c r="AB542" s="2">
        <v>8636.5820552283822</v>
      </c>
      <c r="AC542" s="2">
        <v>67.051186111672081</v>
      </c>
      <c r="AD542" s="2">
        <v>1746.2574167247719</v>
      </c>
      <c r="AE542" s="2">
        <v>533.05486959724419</v>
      </c>
      <c r="AF542" s="2">
        <v>1202.4828809658379</v>
      </c>
      <c r="AG542" s="2">
        <v>135.9828073456647</v>
      </c>
      <c r="AH542" s="2">
        <v>356.91311100236686</v>
      </c>
      <c r="AI542" s="2">
        <v>461288.35567675979</v>
      </c>
      <c r="AJ542" s="2">
        <v>430871.51145806583</v>
      </c>
      <c r="AL542" s="27">
        <v>0.91611273054669407</v>
      </c>
      <c r="AM542" s="27">
        <v>0.91869214058136661</v>
      </c>
      <c r="AN542" s="27">
        <v>0.90488312473642174</v>
      </c>
      <c r="AO542" s="27">
        <v>0.87512619706456496</v>
      </c>
      <c r="AP542" s="27">
        <v>0.7541288719463497</v>
      </c>
      <c r="AQ542" s="27">
        <v>0.91611273054669407</v>
      </c>
      <c r="AR542" s="27">
        <v>0.91869214058136661</v>
      </c>
      <c r="AS542" s="27">
        <v>0.90488312473642174</v>
      </c>
      <c r="AT542" s="27">
        <v>0.87512619706456496</v>
      </c>
      <c r="AU542" s="27">
        <v>0.7541288719463497</v>
      </c>
      <c r="AW542" s="1">
        <v>13.525758294793294</v>
      </c>
      <c r="AX542" s="1">
        <v>15.388736694407672</v>
      </c>
      <c r="AY542" s="2">
        <v>1868539.016305868</v>
      </c>
      <c r="AZ542" s="1">
        <v>15.315110766592031</v>
      </c>
      <c r="BA542" s="1">
        <v>17.176006066855258</v>
      </c>
      <c r="BB542" s="2">
        <v>1565972.8212059983</v>
      </c>
      <c r="BC542" s="2">
        <f t="shared" si="63"/>
        <v>-302566.19509986974</v>
      </c>
      <c r="BD542" s="292">
        <f t="shared" si="64"/>
        <v>1.7893524717987379</v>
      </c>
      <c r="BF542" s="170">
        <f t="shared" si="59"/>
        <v>295582.310861059</v>
      </c>
      <c r="BG542" s="2">
        <f t="shared" si="60"/>
        <v>884444.90144872665</v>
      </c>
      <c r="BI542">
        <f t="shared" si="61"/>
        <v>0</v>
      </c>
      <c r="BJ542" s="95">
        <f t="shared" si="62"/>
        <v>1</v>
      </c>
      <c r="BP542" s="217">
        <f t="shared" si="65"/>
        <v>884444.90144872665</v>
      </c>
    </row>
    <row r="543" spans="1:68">
      <c r="A543" s="11">
        <v>537</v>
      </c>
      <c r="C543" s="27">
        <v>0.92276537309708795</v>
      </c>
      <c r="D543" s="27">
        <v>7.7234626902912051E-2</v>
      </c>
      <c r="E543" s="27">
        <v>0</v>
      </c>
      <c r="F543" s="27">
        <v>0.85893886461891966</v>
      </c>
      <c r="G543" s="27">
        <v>0.14106113538108037</v>
      </c>
      <c r="H543" s="27">
        <v>0</v>
      </c>
      <c r="I543" s="27">
        <v>0.74956817414009558</v>
      </c>
      <c r="J543" s="27">
        <v>0.25043182585990442</v>
      </c>
      <c r="K543" s="27">
        <v>0</v>
      </c>
      <c r="L543" s="27">
        <v>5.0613323537236576E-2</v>
      </c>
      <c r="M543" s="27">
        <v>0.51086964100034704</v>
      </c>
      <c r="N543" s="27">
        <v>0.43851703546241638</v>
      </c>
      <c r="O543" s="27">
        <v>-11.153864255068752</v>
      </c>
      <c r="P543" s="27">
        <v>3.5414887996742576E-2</v>
      </c>
      <c r="Q543" s="27">
        <v>6.3375135422846299E-5</v>
      </c>
      <c r="R543" s="27">
        <v>1.0703813016117638</v>
      </c>
      <c r="S543" s="154"/>
      <c r="T543">
        <v>0.85958716940752167</v>
      </c>
      <c r="U543">
        <v>2.1949411809335544</v>
      </c>
      <c r="V543">
        <v>2.7893584007958578</v>
      </c>
      <c r="W543">
        <v>1</v>
      </c>
      <c r="Y543" s="2">
        <v>1447.7524104469917</v>
      </c>
      <c r="Z543" s="2">
        <v>3956.3981605891722</v>
      </c>
      <c r="AA543" s="2">
        <v>1256.8601157850878</v>
      </c>
      <c r="AB543" s="2">
        <v>510.40685333828577</v>
      </c>
      <c r="AC543" s="2">
        <v>777.11835923576723</v>
      </c>
      <c r="AD543" s="2">
        <v>475.92555530504694</v>
      </c>
      <c r="AE543" s="2">
        <v>584.89749353997513</v>
      </c>
      <c r="AF543" s="2">
        <v>1125.2798616719606</v>
      </c>
      <c r="AG543" s="2">
        <v>127.84722834131684</v>
      </c>
      <c r="AH543" s="2">
        <v>441.14309049521387</v>
      </c>
      <c r="AI543" s="2">
        <v>446209.44047265046</v>
      </c>
      <c r="AJ543" s="2">
        <v>411992.44438191189</v>
      </c>
      <c r="AL543" s="27">
        <v>0.91805327840123019</v>
      </c>
      <c r="AM543" s="27">
        <v>0.91745132209028157</v>
      </c>
      <c r="AN543" s="27">
        <v>0.91792385948915911</v>
      </c>
      <c r="AO543" s="27">
        <v>0.86568309151005551</v>
      </c>
      <c r="AP543" s="27">
        <v>0.73868984730219234</v>
      </c>
      <c r="AQ543" s="27">
        <v>0.91805327840123019</v>
      </c>
      <c r="AR543" s="27">
        <v>0.91745132209028157</v>
      </c>
      <c r="AS543" s="27">
        <v>0.91792385948915911</v>
      </c>
      <c r="AT543" s="27">
        <v>0.86568309151005551</v>
      </c>
      <c r="AU543" s="27">
        <v>0.73868984730219234</v>
      </c>
      <c r="AW543" s="1">
        <v>14.01397605002623</v>
      </c>
      <c r="AX543" s="1">
        <v>15.840421483620224</v>
      </c>
      <c r="AY543" s="2">
        <v>1500475.5510896146</v>
      </c>
      <c r="AZ543" s="1">
        <v>15.379206244126385</v>
      </c>
      <c r="BA543" s="1">
        <v>17.198909107378061</v>
      </c>
      <c r="BB543" s="2">
        <v>1134842.956689467</v>
      </c>
      <c r="BC543" s="2">
        <f t="shared" si="63"/>
        <v>-365632.59440014767</v>
      </c>
      <c r="BD543" s="292">
        <f t="shared" si="64"/>
        <v>1.365230194100155</v>
      </c>
      <c r="BF543" s="170">
        <f t="shared" si="59"/>
        <v>741760.61691458197</v>
      </c>
      <c r="BG543" s="2">
        <f t="shared" si="60"/>
        <v>1325830.0423707545</v>
      </c>
      <c r="BI543">
        <f t="shared" si="61"/>
        <v>0</v>
      </c>
      <c r="BJ543" s="95">
        <f t="shared" si="62"/>
        <v>1</v>
      </c>
      <c r="BP543" s="217">
        <f t="shared" si="65"/>
        <v>1325830.0423707545</v>
      </c>
    </row>
    <row r="544" spans="1:68">
      <c r="A544" s="11">
        <v>538</v>
      </c>
      <c r="C544" s="27">
        <v>0.92256653497336583</v>
      </c>
      <c r="D544" s="27">
        <v>7.7433465026634174E-2</v>
      </c>
      <c r="E544" s="27">
        <v>0</v>
      </c>
      <c r="F544" s="27">
        <v>0.8551521681407861</v>
      </c>
      <c r="G544" s="27">
        <v>0.1448478318592139</v>
      </c>
      <c r="H544" s="27">
        <v>0</v>
      </c>
      <c r="I544" s="27">
        <v>0.76566437252462294</v>
      </c>
      <c r="J544" s="27">
        <v>0.23433562747537709</v>
      </c>
      <c r="K544" s="27">
        <v>0</v>
      </c>
      <c r="L544" s="27">
        <v>1.9530012330359892E-4</v>
      </c>
      <c r="M544" s="27">
        <v>0.54718225894617012</v>
      </c>
      <c r="N544" s="27">
        <v>0.45262244093052628</v>
      </c>
      <c r="O544" s="27">
        <v>-11.443401979545545</v>
      </c>
      <c r="P544" s="27">
        <v>3.5016747194713337E-2</v>
      </c>
      <c r="Q544" s="27">
        <v>4.6656486354499875E-5</v>
      </c>
      <c r="R544" s="27">
        <v>1.1085893150344237</v>
      </c>
      <c r="S544" s="154"/>
      <c r="T544">
        <v>1.0099586915731931</v>
      </c>
      <c r="U544">
        <v>2.3140352379869711</v>
      </c>
      <c r="V544">
        <v>3.0513267599431924</v>
      </c>
      <c r="W544">
        <v>1</v>
      </c>
      <c r="Y544" s="2">
        <v>549.84661559162896</v>
      </c>
      <c r="Z544" s="2">
        <v>878.35899401159395</v>
      </c>
      <c r="AA544" s="2">
        <v>350.31480917702601</v>
      </c>
      <c r="AB544" s="2">
        <v>18726.29096457479</v>
      </c>
      <c r="AC544" s="2">
        <v>84.153031464405203</v>
      </c>
      <c r="AD544" s="2">
        <v>9.5447002604933129</v>
      </c>
      <c r="AE544" s="2">
        <v>547.40964876480052</v>
      </c>
      <c r="AF544" s="2">
        <v>743.22150294601681</v>
      </c>
      <c r="AG544" s="2">
        <v>113.02622787335849</v>
      </c>
      <c r="AH544" s="2">
        <v>131.4381797399366</v>
      </c>
      <c r="AI544" s="2">
        <v>630659.45404132002</v>
      </c>
      <c r="AJ544" s="2">
        <v>601496.2255748969</v>
      </c>
      <c r="AL544" s="27">
        <v>0.911929231628688</v>
      </c>
      <c r="AM544" s="27">
        <v>0.91040737185297205</v>
      </c>
      <c r="AN544" s="27">
        <v>0.90273208530375182</v>
      </c>
      <c r="AO544" s="27">
        <v>0.89640713607697653</v>
      </c>
      <c r="AP544" s="27">
        <v>0.68181856837459087</v>
      </c>
      <c r="AQ544" s="27">
        <v>0.911929231628688</v>
      </c>
      <c r="AR544" s="27">
        <v>0.91040737185297205</v>
      </c>
      <c r="AS544" s="27">
        <v>0.90273208530375182</v>
      </c>
      <c r="AT544" s="27">
        <v>0.89640713607697653</v>
      </c>
      <c r="AU544" s="27">
        <v>0.68181856837459087</v>
      </c>
      <c r="AW544" s="1">
        <v>13.16566807709664</v>
      </c>
      <c r="AX544" s="1">
        <v>15.227436683517862</v>
      </c>
      <c r="AY544" s="2">
        <v>2270141.2796330289</v>
      </c>
      <c r="AZ544" s="1">
        <v>15.158552052484055</v>
      </c>
      <c r="BA544" s="1">
        <v>17.191238402970832</v>
      </c>
      <c r="BB544" s="2">
        <v>1877011.9811324994</v>
      </c>
      <c r="BC544" s="2">
        <f t="shared" si="63"/>
        <v>-393129.29850052949</v>
      </c>
      <c r="BD544" s="292">
        <f t="shared" si="64"/>
        <v>1.9928839753874144</v>
      </c>
      <c r="BF544" s="170">
        <f t="shared" si="59"/>
        <v>-163634.38729756651</v>
      </c>
      <c r="BG544" s="2">
        <f t="shared" si="60"/>
        <v>548356.34726494923</v>
      </c>
      <c r="BI544">
        <f t="shared" si="61"/>
        <v>0</v>
      </c>
      <c r="BJ544" s="95">
        <f t="shared" si="62"/>
        <v>1</v>
      </c>
      <c r="BP544" s="217">
        <f t="shared" si="65"/>
        <v>548356.34726494923</v>
      </c>
    </row>
    <row r="545" spans="1:68">
      <c r="A545" s="11">
        <v>539</v>
      </c>
      <c r="C545" s="27">
        <v>0.92156319083687588</v>
      </c>
      <c r="D545" s="27">
        <v>7.8436809163124122E-2</v>
      </c>
      <c r="E545" s="27">
        <v>0</v>
      </c>
      <c r="F545" s="27">
        <v>0.85520599057012781</v>
      </c>
      <c r="G545" s="27">
        <v>0.14479400942987219</v>
      </c>
      <c r="H545" s="27">
        <v>0</v>
      </c>
      <c r="I545" s="27">
        <v>0.7579118297150278</v>
      </c>
      <c r="J545" s="27">
        <v>0.2420881702849722</v>
      </c>
      <c r="K545" s="27">
        <v>0</v>
      </c>
      <c r="L545" s="27">
        <v>0.10834201126497889</v>
      </c>
      <c r="M545" s="27">
        <v>0.51967422525083695</v>
      </c>
      <c r="N545" s="27">
        <v>0.37198376348418416</v>
      </c>
      <c r="O545" s="27">
        <v>-11.256821799061051</v>
      </c>
      <c r="P545" s="27">
        <v>3.5416896609438885E-2</v>
      </c>
      <c r="Q545" s="27">
        <v>5.7179670049793959E-5</v>
      </c>
      <c r="R545" s="27">
        <v>1.0757456611280027</v>
      </c>
      <c r="S545" s="154"/>
      <c r="T545">
        <v>1.1224928851335541</v>
      </c>
      <c r="U545">
        <v>2.2570815725567481</v>
      </c>
      <c r="V545">
        <v>2.9472536135576801</v>
      </c>
      <c r="W545">
        <v>1</v>
      </c>
      <c r="Y545" s="2">
        <v>473.32719294882389</v>
      </c>
      <c r="Z545" s="2">
        <v>2898.1050967193551</v>
      </c>
      <c r="AA545" s="2">
        <v>169.21262045907946</v>
      </c>
      <c r="AB545" s="2">
        <v>14541.989058618989</v>
      </c>
      <c r="AC545" s="2">
        <v>1299.9600417437425</v>
      </c>
      <c r="AD545" s="2">
        <v>207.17834248330905</v>
      </c>
      <c r="AE545" s="2">
        <v>583.46660479395359</v>
      </c>
      <c r="AF545" s="2">
        <v>986.73005894007827</v>
      </c>
      <c r="AG545" s="2">
        <v>131.06522370830385</v>
      </c>
      <c r="AH545" s="2">
        <v>441.22442916561931</v>
      </c>
      <c r="AI545" s="2">
        <v>542494.86938980035</v>
      </c>
      <c r="AJ545" s="2">
        <v>515591.68219598278</v>
      </c>
      <c r="AL545" s="27">
        <v>0.92058258194194464</v>
      </c>
      <c r="AM545" s="27">
        <v>0.90731880858457481</v>
      </c>
      <c r="AN545" s="27">
        <v>0.91731864205622227</v>
      </c>
      <c r="AO545" s="27">
        <v>0.89949743856510733</v>
      </c>
      <c r="AP545" s="27">
        <v>0.7044170991193327</v>
      </c>
      <c r="AQ545" s="27">
        <v>0.92058258194194464</v>
      </c>
      <c r="AR545" s="27">
        <v>0.90731880858457481</v>
      </c>
      <c r="AS545" s="27">
        <v>0.91731864205622227</v>
      </c>
      <c r="AT545" s="27">
        <v>0.89949743856510733</v>
      </c>
      <c r="AU545" s="27">
        <v>0.7044170991193327</v>
      </c>
      <c r="AW545" s="1">
        <v>13.283053983402581</v>
      </c>
      <c r="AX545" s="1">
        <v>15.305961321891676</v>
      </c>
      <c r="AY545" s="2">
        <v>2309348.6955674905</v>
      </c>
      <c r="AZ545" s="1">
        <v>15.438674112489759</v>
      </c>
      <c r="BA545" s="1">
        <v>17.398687967009042</v>
      </c>
      <c r="BB545" s="2">
        <v>1756465.6922887242</v>
      </c>
      <c r="BC545" s="2">
        <f t="shared" si="63"/>
        <v>-552883.00327876629</v>
      </c>
      <c r="BD545" s="292">
        <f t="shared" si="64"/>
        <v>2.1556201290871773</v>
      </c>
      <c r="BF545" s="170">
        <f t="shared" si="59"/>
        <v>-184060.05822307756</v>
      </c>
      <c r="BG545" s="2">
        <f t="shared" si="60"/>
        <v>713722.16570963711</v>
      </c>
      <c r="BI545">
        <f t="shared" si="61"/>
        <v>0</v>
      </c>
      <c r="BJ545" s="95">
        <f t="shared" si="62"/>
        <v>1</v>
      </c>
      <c r="BP545" s="217">
        <f t="shared" si="65"/>
        <v>713722.16570963711</v>
      </c>
    </row>
    <row r="546" spans="1:68">
      <c r="A546" s="11">
        <v>540</v>
      </c>
      <c r="C546" s="27">
        <v>0.92340444310581149</v>
      </c>
      <c r="D546" s="27">
        <v>7.659555689418851E-2</v>
      </c>
      <c r="E546" s="27">
        <v>0</v>
      </c>
      <c r="F546" s="27">
        <v>0.85767459044535665</v>
      </c>
      <c r="G546" s="27">
        <v>0.14232540955464337</v>
      </c>
      <c r="H546" s="27">
        <v>0</v>
      </c>
      <c r="I546" s="27">
        <v>0.75564756523198251</v>
      </c>
      <c r="J546" s="27">
        <v>0.24435243476801743</v>
      </c>
      <c r="K546" s="27">
        <v>0</v>
      </c>
      <c r="L546" s="27">
        <v>0.10172683941453076</v>
      </c>
      <c r="M546" s="27">
        <v>0.48573648525820845</v>
      </c>
      <c r="N546" s="27">
        <v>0.41253667532726079</v>
      </c>
      <c r="O546" s="27">
        <v>-11.416364654125083</v>
      </c>
      <c r="P546" s="27">
        <v>3.9308483552261186E-2</v>
      </c>
      <c r="Q546" s="27">
        <v>5.7403324113524315E-5</v>
      </c>
      <c r="R546" s="27">
        <v>1.071953862422365</v>
      </c>
      <c r="S546" s="154"/>
      <c r="T546">
        <v>1.0876342899440969</v>
      </c>
      <c r="U546">
        <v>2.2101796246339229</v>
      </c>
      <c r="V546">
        <v>2.7878877389108743</v>
      </c>
      <c r="W546">
        <v>1</v>
      </c>
      <c r="Y546" s="2">
        <v>829.55788866612875</v>
      </c>
      <c r="Z546" s="2">
        <v>625.3660175639053</v>
      </c>
      <c r="AA546" s="2">
        <v>26.132211170265254</v>
      </c>
      <c r="AB546" s="2">
        <v>16607.831401575299</v>
      </c>
      <c r="AC546" s="2">
        <v>910.78797607885224</v>
      </c>
      <c r="AD546" s="2">
        <v>252.97594899808672</v>
      </c>
      <c r="AE546" s="2">
        <v>595.79279822406102</v>
      </c>
      <c r="AF546" s="2">
        <v>1055.68766540818</v>
      </c>
      <c r="AG546" s="2">
        <v>194.7279318591645</v>
      </c>
      <c r="AH546" s="2">
        <v>485.18781843785217</v>
      </c>
      <c r="AI546" s="2">
        <v>578625.03075825842</v>
      </c>
      <c r="AJ546" s="2">
        <v>543091.86603030714</v>
      </c>
      <c r="AL546" s="27">
        <v>0.91271718165282312</v>
      </c>
      <c r="AM546" s="27">
        <v>0.91187045799529232</v>
      </c>
      <c r="AN546" s="27">
        <v>0.90720472033700494</v>
      </c>
      <c r="AO546" s="27">
        <v>0.91213118611509525</v>
      </c>
      <c r="AP546" s="27">
        <v>0.83658320206215642</v>
      </c>
      <c r="AQ546" s="27">
        <v>0.91271718165282312</v>
      </c>
      <c r="AR546" s="27">
        <v>0.91187045799529232</v>
      </c>
      <c r="AS546" s="27">
        <v>0.90720472033700494</v>
      </c>
      <c r="AT546" s="27">
        <v>0.91213118611509525</v>
      </c>
      <c r="AU546" s="27">
        <v>0.83658320206215642</v>
      </c>
      <c r="AW546" s="1">
        <v>13.721219533058875</v>
      </c>
      <c r="AX546" s="1">
        <v>15.308469011963222</v>
      </c>
      <c r="AY546" s="2">
        <v>2183744.0272755516</v>
      </c>
      <c r="AZ546" s="1">
        <v>15.621339037018638</v>
      </c>
      <c r="BA546" s="1">
        <v>17.312609395610281</v>
      </c>
      <c r="BB546" s="2">
        <v>1753937.416732491</v>
      </c>
      <c r="BC546" s="2">
        <f t="shared" si="63"/>
        <v>-429806.61054306058</v>
      </c>
      <c r="BD546" s="292">
        <f t="shared" si="64"/>
        <v>1.9001195039597629</v>
      </c>
      <c r="BF546" s="170">
        <f t="shared" si="59"/>
        <v>11651.098013868555</v>
      </c>
      <c r="BG546" s="2">
        <f t="shared" si="60"/>
        <v>745476.82919049123</v>
      </c>
      <c r="BI546">
        <f t="shared" si="61"/>
        <v>0</v>
      </c>
      <c r="BJ546" s="95">
        <f t="shared" si="62"/>
        <v>1</v>
      </c>
      <c r="BP546" s="217">
        <f t="shared" si="65"/>
        <v>745476.82919049123</v>
      </c>
    </row>
    <row r="547" spans="1:68">
      <c r="A547" s="11">
        <v>541</v>
      </c>
      <c r="C547" s="27">
        <v>0.91937217528736337</v>
      </c>
      <c r="D547" s="27">
        <v>8.0627824712636631E-2</v>
      </c>
      <c r="E547" s="27">
        <v>0</v>
      </c>
      <c r="F547" s="27">
        <v>0.85862527555598589</v>
      </c>
      <c r="G547" s="27">
        <v>0.14137472444401414</v>
      </c>
      <c r="H547" s="27">
        <v>0</v>
      </c>
      <c r="I547" s="27">
        <v>0.75688347791799282</v>
      </c>
      <c r="J547" s="27">
        <v>0.24311652208200721</v>
      </c>
      <c r="K547" s="27">
        <v>0</v>
      </c>
      <c r="L547" s="27">
        <v>1.6186050406774677E-2</v>
      </c>
      <c r="M547" s="27">
        <v>0.54241417564920469</v>
      </c>
      <c r="N547" s="27">
        <v>0.44139977394402063</v>
      </c>
      <c r="O547" s="27">
        <v>-11.069737313034189</v>
      </c>
      <c r="P547" s="27">
        <v>3.5047778792458698E-2</v>
      </c>
      <c r="Q547" s="27">
        <v>6.7882614370300834E-5</v>
      </c>
      <c r="R547" s="27">
        <v>1.0581020907552954</v>
      </c>
      <c r="S547" s="154"/>
      <c r="T547">
        <v>0.95454540444725433</v>
      </c>
      <c r="U547">
        <v>2.2518309780924928</v>
      </c>
      <c r="V547">
        <v>3.1077826124597667</v>
      </c>
      <c r="W547">
        <v>1</v>
      </c>
      <c r="Y547" s="2">
        <v>247.37895684491062</v>
      </c>
      <c r="Z547" s="2">
        <v>2922.613197312141</v>
      </c>
      <c r="AA547" s="2">
        <v>3167.7929394437592</v>
      </c>
      <c r="AB547" s="2">
        <v>11055.559433589977</v>
      </c>
      <c r="AC547" s="2">
        <v>2902.8645860744241</v>
      </c>
      <c r="AD547" s="2">
        <v>13.359580933464789</v>
      </c>
      <c r="AE547" s="2">
        <v>561.63736331068014</v>
      </c>
      <c r="AF547" s="2">
        <v>1215.2324220449032</v>
      </c>
      <c r="AG547" s="2">
        <v>180.14436385381094</v>
      </c>
      <c r="AH547" s="2">
        <v>458.12077806071636</v>
      </c>
      <c r="AI547" s="2">
        <v>589263.90055223601</v>
      </c>
      <c r="AJ547" s="2">
        <v>548261.25804783613</v>
      </c>
      <c r="AL547" s="27">
        <v>0.9156287070915573</v>
      </c>
      <c r="AM547" s="27">
        <v>0.91608858748389066</v>
      </c>
      <c r="AN547" s="27">
        <v>0.90618046768418703</v>
      </c>
      <c r="AO547" s="27">
        <v>0.86010701681853907</v>
      </c>
      <c r="AP547" s="27">
        <v>0.68165750732385477</v>
      </c>
      <c r="AQ547" s="27">
        <v>0.9156287070915573</v>
      </c>
      <c r="AR547" s="27">
        <v>0.91608858748389066</v>
      </c>
      <c r="AS547" s="27">
        <v>0.90618046768418703</v>
      </c>
      <c r="AT547" s="27">
        <v>0.86010701681853907</v>
      </c>
      <c r="AU547" s="27">
        <v>0.68165750732385477</v>
      </c>
      <c r="AW547" s="1">
        <v>13.376245247321071</v>
      </c>
      <c r="AX547" s="1">
        <v>15.458234286263254</v>
      </c>
      <c r="AY547" s="2">
        <v>2220942.3168211337</v>
      </c>
      <c r="AZ547" s="1">
        <v>15.192491617337328</v>
      </c>
      <c r="BA547" s="1">
        <v>17.217746058424169</v>
      </c>
      <c r="BB547" s="2">
        <v>1778868.8149102102</v>
      </c>
      <c r="BC547" s="2">
        <f t="shared" si="63"/>
        <v>-442073.50191092351</v>
      </c>
      <c r="BD547" s="292">
        <f t="shared" si="64"/>
        <v>1.8162463700162572</v>
      </c>
      <c r="BF547" s="170">
        <f t="shared" si="59"/>
        <v>-80743.077249762136</v>
      </c>
      <c r="BG547" s="2">
        <f t="shared" si="60"/>
        <v>651929.84386376245</v>
      </c>
      <c r="BI547">
        <f t="shared" si="61"/>
        <v>0</v>
      </c>
      <c r="BJ547" s="95">
        <f t="shared" si="62"/>
        <v>1</v>
      </c>
      <c r="BP547" s="217">
        <f t="shared" si="65"/>
        <v>651929.84386376245</v>
      </c>
    </row>
    <row r="548" spans="1:68">
      <c r="A548" s="11">
        <v>542</v>
      </c>
      <c r="C548" s="27">
        <v>0.92294025039881744</v>
      </c>
      <c r="D548" s="27">
        <v>7.7059749601182559E-2</v>
      </c>
      <c r="E548" s="27">
        <v>0</v>
      </c>
      <c r="F548" s="27">
        <v>0.85948957509357238</v>
      </c>
      <c r="G548" s="27">
        <v>0.14051042490642762</v>
      </c>
      <c r="H548" s="27">
        <v>0</v>
      </c>
      <c r="I548" s="27">
        <v>0.74011138113872332</v>
      </c>
      <c r="J548" s="27">
        <v>0.25988861886127668</v>
      </c>
      <c r="K548" s="27">
        <v>0</v>
      </c>
      <c r="L548" s="27">
        <v>0.12907929288958875</v>
      </c>
      <c r="M548" s="27">
        <v>0.48526684953410881</v>
      </c>
      <c r="N548" s="27">
        <v>0.38565385757630244</v>
      </c>
      <c r="O548" s="27">
        <v>-10.829077708198666</v>
      </c>
      <c r="P548" s="27">
        <v>2.9698956826440297E-2</v>
      </c>
      <c r="Q548" s="27">
        <v>6.8978098176389398E-5</v>
      </c>
      <c r="R548" s="27">
        <v>1.0680098551476498</v>
      </c>
      <c r="S548" s="154"/>
      <c r="T548">
        <v>1.0019666358155104</v>
      </c>
      <c r="U548">
        <v>2.2104408483940365</v>
      </c>
      <c r="V548">
        <v>2.8791606892532875</v>
      </c>
      <c r="W548">
        <v>1</v>
      </c>
      <c r="Y548" s="2">
        <v>263.70715461695727</v>
      </c>
      <c r="Z548" s="2">
        <v>122.34842798776589</v>
      </c>
      <c r="AA548" s="2">
        <v>1385.2384051339029</v>
      </c>
      <c r="AB548" s="2">
        <v>1974.8425693399281</v>
      </c>
      <c r="AC548" s="2">
        <v>875.57791819078466</v>
      </c>
      <c r="AD548" s="2">
        <v>577.99921389468477</v>
      </c>
      <c r="AE548" s="2">
        <v>643.65743319020737</v>
      </c>
      <c r="AF548" s="2">
        <v>1212.5303538733747</v>
      </c>
      <c r="AG548" s="2">
        <v>80.709948245077356</v>
      </c>
      <c r="AH548" s="2">
        <v>504.76811619828771</v>
      </c>
      <c r="AI548" s="2">
        <v>422095.53050728881</v>
      </c>
      <c r="AJ548" s="2">
        <v>379478.84125382348</v>
      </c>
      <c r="AL548" s="27">
        <v>0.92113888848270786</v>
      </c>
      <c r="AM548" s="27">
        <v>0.91144276951584935</v>
      </c>
      <c r="AN548" s="27">
        <v>0.91577612509824213</v>
      </c>
      <c r="AO548" s="27">
        <v>0.87893574872401548</v>
      </c>
      <c r="AP548" s="27">
        <v>0.61694349280367955</v>
      </c>
      <c r="AQ548" s="27">
        <v>0.92113888848270786</v>
      </c>
      <c r="AR548" s="27">
        <v>0.91144276951584935</v>
      </c>
      <c r="AS548" s="27">
        <v>0.91577612509824213</v>
      </c>
      <c r="AT548" s="27">
        <v>0.87893574872401548</v>
      </c>
      <c r="AU548" s="27">
        <v>0.61694349280367955</v>
      </c>
      <c r="AW548" s="1">
        <v>13.24313939332057</v>
      </c>
      <c r="AX548" s="1">
        <v>15.433824138458457</v>
      </c>
      <c r="AY548" s="2">
        <v>1436428.142582685</v>
      </c>
      <c r="AZ548" s="1">
        <v>15.144276002038326</v>
      </c>
      <c r="BA548" s="1">
        <v>17.230227604480401</v>
      </c>
      <c r="BB548" s="2">
        <v>1092541.0275294746</v>
      </c>
      <c r="BC548" s="2">
        <f t="shared" si="63"/>
        <v>-343887.11505321041</v>
      </c>
      <c r="BD548" s="292">
        <f t="shared" si="64"/>
        <v>1.9011366087177564</v>
      </c>
      <c r="BF548" s="170">
        <f t="shared" si="59"/>
        <v>682474.16034860606</v>
      </c>
      <c r="BG548" s="2">
        <f t="shared" si="60"/>
        <v>1330543.1327966575</v>
      </c>
      <c r="BI548">
        <f t="shared" si="61"/>
        <v>0</v>
      </c>
      <c r="BJ548" s="95">
        <f t="shared" si="62"/>
        <v>1</v>
      </c>
      <c r="BP548" s="217">
        <f t="shared" si="65"/>
        <v>1330543.1327966575</v>
      </c>
    </row>
    <row r="549" spans="1:68">
      <c r="A549" s="11">
        <v>543</v>
      </c>
      <c r="C549" s="27">
        <v>0.9232437868879031</v>
      </c>
      <c r="D549" s="27">
        <v>7.6756213112096947E-2</v>
      </c>
      <c r="E549" s="27">
        <v>0</v>
      </c>
      <c r="F549" s="27">
        <v>0.85670879864687144</v>
      </c>
      <c r="G549" s="27">
        <v>0.14329120135312856</v>
      </c>
      <c r="H549" s="27">
        <v>0</v>
      </c>
      <c r="I549" s="27">
        <v>0.75121504352371837</v>
      </c>
      <c r="J549" s="27">
        <v>0.24878495647628157</v>
      </c>
      <c r="K549" s="27">
        <v>0</v>
      </c>
      <c r="L549" s="27">
        <v>0.1297735322579277</v>
      </c>
      <c r="M549" s="27">
        <v>0.52489965503597091</v>
      </c>
      <c r="N549" s="27">
        <v>0.34532681270610138</v>
      </c>
      <c r="O549" s="27">
        <v>-11.226581937729673</v>
      </c>
      <c r="P549" s="27">
        <v>3.4577826837558293E-2</v>
      </c>
      <c r="Q549" s="27">
        <v>5.6894424430508488E-5</v>
      </c>
      <c r="R549" s="27">
        <v>1.0797323243118784</v>
      </c>
      <c r="S549" s="154"/>
      <c r="T549">
        <v>0.92347691491656902</v>
      </c>
      <c r="U549">
        <v>2.1803658347046109</v>
      </c>
      <c r="V549">
        <v>2.869424028534441</v>
      </c>
      <c r="W549">
        <v>1</v>
      </c>
      <c r="Y549" s="2">
        <v>178.85118809897691</v>
      </c>
      <c r="Z549" s="2">
        <v>7706.4869674799647</v>
      </c>
      <c r="AA549" s="2">
        <v>2165.1391025409439</v>
      </c>
      <c r="AB549" s="2">
        <v>11420.931975921805</v>
      </c>
      <c r="AC549" s="2">
        <v>1330.2748972509662</v>
      </c>
      <c r="AD549" s="2">
        <v>228.99094791614965</v>
      </c>
      <c r="AE549" s="2">
        <v>524.61088267079617</v>
      </c>
      <c r="AF549" s="2">
        <v>930.10540831949425</v>
      </c>
      <c r="AG549" s="2">
        <v>139.25576152014281</v>
      </c>
      <c r="AH549" s="2">
        <v>714.25951145459476</v>
      </c>
      <c r="AI549" s="2">
        <v>416675.78260725905</v>
      </c>
      <c r="AJ549" s="2">
        <v>394687.9255671163</v>
      </c>
      <c r="AL549" s="27">
        <v>0.91367824386257435</v>
      </c>
      <c r="AM549" s="27">
        <v>0.91768773511863444</v>
      </c>
      <c r="AN549" s="27">
        <v>0.91201143271180807</v>
      </c>
      <c r="AO549" s="27">
        <v>0.88380666462938418</v>
      </c>
      <c r="AP549" s="27">
        <v>0.77464855442719238</v>
      </c>
      <c r="AQ549" s="27">
        <v>0.91367824386257435</v>
      </c>
      <c r="AR549" s="27">
        <v>0.91768773511863444</v>
      </c>
      <c r="AS549" s="27">
        <v>0.91201143271180807</v>
      </c>
      <c r="AT549" s="27">
        <v>0.88380666462938418</v>
      </c>
      <c r="AU549" s="27">
        <v>0.77464855442719238</v>
      </c>
      <c r="AW549" s="1">
        <v>14.185104494983889</v>
      </c>
      <c r="AX549" s="1">
        <v>16.030673733149637</v>
      </c>
      <c r="AY549" s="2">
        <v>1702651.7838104914</v>
      </c>
      <c r="AZ549" s="1">
        <v>15.645753367652484</v>
      </c>
      <c r="BA549" s="1">
        <v>17.49215831014806</v>
      </c>
      <c r="BB549" s="2">
        <v>1407545.870346199</v>
      </c>
      <c r="BC549" s="2">
        <f t="shared" si="63"/>
        <v>-295105.91346429242</v>
      </c>
      <c r="BD549" s="292">
        <f t="shared" si="64"/>
        <v>1.4606488726685942</v>
      </c>
      <c r="BF549" s="170">
        <f t="shared" si="59"/>
        <v>566964.93538693083</v>
      </c>
      <c r="BG549" s="2">
        <f t="shared" si="60"/>
        <v>1095774.6684781986</v>
      </c>
      <c r="BI549">
        <f t="shared" si="61"/>
        <v>0</v>
      </c>
      <c r="BJ549" s="95">
        <f t="shared" si="62"/>
        <v>1</v>
      </c>
      <c r="BP549" s="217">
        <f t="shared" si="65"/>
        <v>1095774.6684781986</v>
      </c>
    </row>
    <row r="550" spans="1:68">
      <c r="A550" s="11">
        <v>544</v>
      </c>
      <c r="C550" s="27">
        <v>0.92472669286014897</v>
      </c>
      <c r="D550" s="27">
        <v>7.5273307139851031E-2</v>
      </c>
      <c r="E550" s="27">
        <v>0</v>
      </c>
      <c r="F550" s="27">
        <v>0.85410933565571867</v>
      </c>
      <c r="G550" s="27">
        <v>0.14589066434428133</v>
      </c>
      <c r="H550" s="27">
        <v>0</v>
      </c>
      <c r="I550" s="27">
        <v>0.76312396433954266</v>
      </c>
      <c r="J550" s="27">
        <v>0.23687603566045731</v>
      </c>
      <c r="K550" s="27">
        <v>0</v>
      </c>
      <c r="L550" s="27">
        <v>0.11278580524229864</v>
      </c>
      <c r="M550" s="27">
        <v>0.5051848199167599</v>
      </c>
      <c r="N550" s="27">
        <v>0.38202937484094146</v>
      </c>
      <c r="O550" s="27">
        <v>-10.911521743259215</v>
      </c>
      <c r="P550" s="27">
        <v>3.2592322264268107E-2</v>
      </c>
      <c r="Q550" s="27">
        <v>7.1726935735894176E-5</v>
      </c>
      <c r="R550" s="27">
        <v>1.0573649632754527</v>
      </c>
      <c r="S550" s="154"/>
      <c r="T550">
        <v>1.0102308077406019</v>
      </c>
      <c r="U550">
        <v>2.2566889789948363</v>
      </c>
      <c r="V550">
        <v>2.8525893177499775</v>
      </c>
      <c r="W550">
        <v>1</v>
      </c>
      <c r="Y550" s="2">
        <v>965.83016267962671</v>
      </c>
      <c r="Z550" s="2">
        <v>623.79039566365282</v>
      </c>
      <c r="AA550" s="2">
        <v>357.01459502825639</v>
      </c>
      <c r="AB550" s="2">
        <v>1454.4819542163787</v>
      </c>
      <c r="AC550" s="2">
        <v>1548.693654906391</v>
      </c>
      <c r="AD550" s="2">
        <v>2021.3731502709563</v>
      </c>
      <c r="AE550" s="2">
        <v>647.93847868896091</v>
      </c>
      <c r="AF550" s="2">
        <v>1123.4927738855381</v>
      </c>
      <c r="AG550" s="2">
        <v>84.464924942713964</v>
      </c>
      <c r="AH550" s="2">
        <v>685.8686074844295</v>
      </c>
      <c r="AI550" s="2">
        <v>429253.23372610612</v>
      </c>
      <c r="AJ550" s="2">
        <v>385069.74607854668</v>
      </c>
      <c r="AL550" s="27">
        <v>0.91659631859838764</v>
      </c>
      <c r="AM550" s="27">
        <v>0.91574101619151138</v>
      </c>
      <c r="AN550" s="27">
        <v>0.91362917895269202</v>
      </c>
      <c r="AO550" s="27">
        <v>0.84648148892719755</v>
      </c>
      <c r="AP550" s="27">
        <v>0.58576350869961091</v>
      </c>
      <c r="AQ550" s="27">
        <v>0.91659631859838764</v>
      </c>
      <c r="AR550" s="27">
        <v>0.91574101619151138</v>
      </c>
      <c r="AS550" s="27">
        <v>0.91362917895269202</v>
      </c>
      <c r="AT550" s="27">
        <v>0.84648148892719755</v>
      </c>
      <c r="AU550" s="27">
        <v>0.58576350869961091</v>
      </c>
      <c r="AW550" s="1">
        <v>13.206622911169426</v>
      </c>
      <c r="AX550" s="1">
        <v>15.60180788742524</v>
      </c>
      <c r="AY550" s="2">
        <v>1546662.9210469567</v>
      </c>
      <c r="AZ550" s="1">
        <v>15.173449988167823</v>
      </c>
      <c r="BA550" s="1">
        <v>17.403728364127936</v>
      </c>
      <c r="BB550" s="2">
        <v>1136453.9459558809</v>
      </c>
      <c r="BC550" s="2">
        <f t="shared" si="63"/>
        <v>-410208.97509107576</v>
      </c>
      <c r="BD550" s="292">
        <f t="shared" si="64"/>
        <v>1.9668270769983973</v>
      </c>
      <c r="BF550" s="170">
        <f t="shared" si="59"/>
        <v>566396.74474015157</v>
      </c>
      <c r="BG550" s="2">
        <f t="shared" si="60"/>
        <v>1291298.0521509708</v>
      </c>
      <c r="BI550">
        <f t="shared" si="61"/>
        <v>0</v>
      </c>
      <c r="BJ550" s="95">
        <f t="shared" si="62"/>
        <v>1</v>
      </c>
      <c r="BP550" s="217">
        <f t="shared" si="65"/>
        <v>1291298.0521509708</v>
      </c>
    </row>
    <row r="551" spans="1:68">
      <c r="A551" s="11">
        <v>545</v>
      </c>
      <c r="C551" s="27">
        <v>0.92318108968173418</v>
      </c>
      <c r="D551" s="27">
        <v>7.6818910318265807E-2</v>
      </c>
      <c r="E551" s="27">
        <v>0</v>
      </c>
      <c r="F551" s="27">
        <v>0.85334728639580815</v>
      </c>
      <c r="G551" s="27">
        <v>0.14665271360419185</v>
      </c>
      <c r="H551" s="27">
        <v>0</v>
      </c>
      <c r="I551" s="27">
        <v>0.74935812197102492</v>
      </c>
      <c r="J551" s="27">
        <v>0.25064187802897508</v>
      </c>
      <c r="K551" s="27">
        <v>0</v>
      </c>
      <c r="L551" s="27">
        <v>0.1464296748131268</v>
      </c>
      <c r="M551" s="27">
        <v>0.50454566410851931</v>
      </c>
      <c r="N551" s="27">
        <v>0.34902466107835389</v>
      </c>
      <c r="O551" s="27">
        <v>-11.38394135266495</v>
      </c>
      <c r="P551" s="27">
        <v>3.5447226756217733E-2</v>
      </c>
      <c r="Q551" s="27">
        <v>5.041822561532392E-5</v>
      </c>
      <c r="R551" s="27">
        <v>1.0962162073540607</v>
      </c>
      <c r="S551" s="154"/>
      <c r="T551">
        <v>0.87437453034850177</v>
      </c>
      <c r="U551">
        <v>2.15150487206845</v>
      </c>
      <c r="V551">
        <v>3.2891151875756997</v>
      </c>
      <c r="W551">
        <v>1</v>
      </c>
      <c r="Y551" s="2">
        <v>916.39859373258901</v>
      </c>
      <c r="Z551" s="2">
        <v>582.47880340217239</v>
      </c>
      <c r="AA551" s="2">
        <v>2891.9953336018411</v>
      </c>
      <c r="AB551" s="2">
        <v>1399.9208651338943</v>
      </c>
      <c r="AC551" s="2">
        <v>372.49183668488064</v>
      </c>
      <c r="AD551" s="2">
        <v>1233.7136208180605</v>
      </c>
      <c r="AE551" s="2">
        <v>552.9003009009665</v>
      </c>
      <c r="AF551" s="2">
        <v>852.83935990137275</v>
      </c>
      <c r="AG551" s="2">
        <v>83.438243008490957</v>
      </c>
      <c r="AH551" s="2">
        <v>279.61195386717844</v>
      </c>
      <c r="AI551" s="2">
        <v>474434.86347325431</v>
      </c>
      <c r="AJ551" s="2">
        <v>451867.55977801309</v>
      </c>
      <c r="AL551" s="27">
        <v>0.91743919359319093</v>
      </c>
      <c r="AM551" s="27">
        <v>0.91121049742251603</v>
      </c>
      <c r="AN551" s="27">
        <v>0.91139790447672908</v>
      </c>
      <c r="AO551" s="27">
        <v>0.85842035440557585</v>
      </c>
      <c r="AP551" s="27">
        <v>0.81041791359459858</v>
      </c>
      <c r="AQ551" s="27">
        <v>0.91743919359319093</v>
      </c>
      <c r="AR551" s="27">
        <v>0.91121049742251603</v>
      </c>
      <c r="AS551" s="27">
        <v>0.91139790447672908</v>
      </c>
      <c r="AT551" s="27">
        <v>0.85842035440557585</v>
      </c>
      <c r="AU551" s="27">
        <v>0.81041791359459858</v>
      </c>
      <c r="AW551" s="1">
        <v>14.304164667967374</v>
      </c>
      <c r="AX551" s="1">
        <v>16.006759281159106</v>
      </c>
      <c r="AY551" s="2">
        <v>1733283.9798445748</v>
      </c>
      <c r="AZ551" s="1">
        <v>15.628344043468211</v>
      </c>
      <c r="BA551" s="1">
        <v>17.377396362808391</v>
      </c>
      <c r="BB551" s="2">
        <v>1392533.5254672288</v>
      </c>
      <c r="BC551" s="2">
        <f t="shared" si="63"/>
        <v>-340750.45437734597</v>
      </c>
      <c r="BD551" s="292">
        <f t="shared" si="64"/>
        <v>1.3241793755008366</v>
      </c>
      <c r="BF551" s="170">
        <f t="shared" si="59"/>
        <v>555382.36703020521</v>
      </c>
      <c r="BG551" s="2">
        <f t="shared" si="60"/>
        <v>1108001.5214876847</v>
      </c>
      <c r="BI551">
        <f t="shared" si="61"/>
        <v>0</v>
      </c>
      <c r="BJ551" s="95">
        <f t="shared" si="62"/>
        <v>1</v>
      </c>
      <c r="BP551" s="217">
        <f t="shared" si="65"/>
        <v>1108001.5214876847</v>
      </c>
    </row>
    <row r="552" spans="1:68">
      <c r="A552" s="11">
        <v>546</v>
      </c>
      <c r="C552" s="27">
        <v>0.92549342967645831</v>
      </c>
      <c r="D552" s="27">
        <v>7.4506570323541646E-2</v>
      </c>
      <c r="E552" s="27">
        <v>0</v>
      </c>
      <c r="F552" s="27">
        <v>0.85608747398681839</v>
      </c>
      <c r="G552" s="27">
        <v>0.14391252601318161</v>
      </c>
      <c r="H552" s="27">
        <v>0</v>
      </c>
      <c r="I552" s="27">
        <v>0.75229562650384951</v>
      </c>
      <c r="J552" s="27">
        <v>0.24770437349615046</v>
      </c>
      <c r="K552" s="27">
        <v>0</v>
      </c>
      <c r="L552" s="27">
        <v>5.5625752219500724E-2</v>
      </c>
      <c r="M552" s="27">
        <v>0.53822832436613655</v>
      </c>
      <c r="N552" s="27">
        <v>0.40614592341436273</v>
      </c>
      <c r="O552" s="27">
        <v>-10.977798827061918</v>
      </c>
      <c r="P552" s="27">
        <v>3.5609095123574054E-2</v>
      </c>
      <c r="Q552" s="27">
        <v>7.6194838645878148E-5</v>
      </c>
      <c r="R552" s="27">
        <v>1.040231200831724</v>
      </c>
      <c r="S552" s="154"/>
      <c r="T552">
        <v>1.0843272957095123</v>
      </c>
      <c r="U552">
        <v>2.2065189482789824</v>
      </c>
      <c r="V552">
        <v>2.9136906251968111</v>
      </c>
      <c r="W552">
        <v>1</v>
      </c>
      <c r="Y552" s="2">
        <v>144.47281664750997</v>
      </c>
      <c r="Z552" s="2">
        <v>1843.9069499082052</v>
      </c>
      <c r="AA552" s="2">
        <v>2577.9596114041187</v>
      </c>
      <c r="AB552" s="2">
        <v>7966.3436359892812</v>
      </c>
      <c r="AC552" s="2">
        <v>1268.812156590843</v>
      </c>
      <c r="AD552" s="2">
        <v>2268.2379705424228</v>
      </c>
      <c r="AE552" s="2">
        <v>560.30518136094838</v>
      </c>
      <c r="AF552" s="2">
        <v>1038.9154349187384</v>
      </c>
      <c r="AG552" s="2">
        <v>103.79780536830536</v>
      </c>
      <c r="AH552" s="2">
        <v>599.82568841777697</v>
      </c>
      <c r="AI552" s="2">
        <v>366272.81448131264</v>
      </c>
      <c r="AJ552" s="2">
        <v>339361.31536508061</v>
      </c>
      <c r="AL552" s="27">
        <v>0.917878641672494</v>
      </c>
      <c r="AM552" s="27">
        <v>0.91758978334962316</v>
      </c>
      <c r="AN552" s="27">
        <v>0.9113066605338469</v>
      </c>
      <c r="AO552" s="27">
        <v>0.8731836707539824</v>
      </c>
      <c r="AP552" s="27">
        <v>0.58399948270876756</v>
      </c>
      <c r="AQ552" s="27">
        <v>0.917878641672494</v>
      </c>
      <c r="AR552" s="27">
        <v>0.91758978334962316</v>
      </c>
      <c r="AS552" s="27">
        <v>0.9113066605338469</v>
      </c>
      <c r="AT552" s="27">
        <v>0.8731836707539824</v>
      </c>
      <c r="AU552" s="27">
        <v>0.58399948270876756</v>
      </c>
      <c r="AW552" s="1">
        <v>13.094777663026676</v>
      </c>
      <c r="AX552" s="1">
        <v>15.535543280678752</v>
      </c>
      <c r="AY552" s="2">
        <v>1469041.9652036673</v>
      </c>
      <c r="AZ552" s="1">
        <v>15.223217918279051</v>
      </c>
      <c r="BA552" s="1">
        <v>17.46423633589179</v>
      </c>
      <c r="BB552" s="2">
        <v>1200295.3179993925</v>
      </c>
      <c r="BC552" s="2">
        <f t="shared" si="63"/>
        <v>-268746.64720427478</v>
      </c>
      <c r="BD552" s="292">
        <f t="shared" si="64"/>
        <v>2.1284402552523751</v>
      </c>
      <c r="BF552" s="170">
        <f t="shared" si="59"/>
        <v>626122.46088060085</v>
      </c>
      <c r="BG552" s="2">
        <f t="shared" si="60"/>
        <v>1235419.5489252557</v>
      </c>
      <c r="BI552">
        <f t="shared" si="61"/>
        <v>0</v>
      </c>
      <c r="BJ552" s="95">
        <f t="shared" si="62"/>
        <v>1</v>
      </c>
      <c r="BP552" s="217">
        <f t="shared" si="65"/>
        <v>1235419.5489252557</v>
      </c>
    </row>
    <row r="553" spans="1:68">
      <c r="A553" s="11">
        <v>547</v>
      </c>
      <c r="C553" s="27">
        <v>0.92026579172380918</v>
      </c>
      <c r="D553" s="27">
        <v>7.9734208276190821E-2</v>
      </c>
      <c r="E553" s="27">
        <v>0</v>
      </c>
      <c r="F553" s="27">
        <v>0.85616404302047355</v>
      </c>
      <c r="G553" s="27">
        <v>0.14383595697952645</v>
      </c>
      <c r="H553" s="27">
        <v>0</v>
      </c>
      <c r="I553" s="27">
        <v>0.75598710683207115</v>
      </c>
      <c r="J553" s="27">
        <v>0.2440128931679289</v>
      </c>
      <c r="K553" s="27">
        <v>0</v>
      </c>
      <c r="L553" s="27">
        <v>0.20648574675266168</v>
      </c>
      <c r="M553" s="27">
        <v>0.49191943408571331</v>
      </c>
      <c r="N553" s="27">
        <v>0.30159481916162495</v>
      </c>
      <c r="O553" s="27">
        <v>-11.244394888703077</v>
      </c>
      <c r="P553" s="27">
        <v>3.492807275563857E-2</v>
      </c>
      <c r="Q553" s="27">
        <v>5.6718176071475889E-5</v>
      </c>
      <c r="R553" s="27">
        <v>1.0806905068513941</v>
      </c>
      <c r="S553" s="154"/>
      <c r="T553">
        <v>0.93063795385801396</v>
      </c>
      <c r="U553">
        <v>2.2764738199972454</v>
      </c>
      <c r="V553">
        <v>2.9378464176316603</v>
      </c>
      <c r="W553">
        <v>1</v>
      </c>
      <c r="Y553" s="2">
        <v>191.04518421987589</v>
      </c>
      <c r="Z553" s="2">
        <v>225.30265666604046</v>
      </c>
      <c r="AA553" s="2">
        <v>1727.4513861313062</v>
      </c>
      <c r="AB553" s="2">
        <v>4697.3530598086145</v>
      </c>
      <c r="AC553" s="2">
        <v>162.67055340233725</v>
      </c>
      <c r="AD553" s="2">
        <v>432.21027185524503</v>
      </c>
      <c r="AE553" s="2">
        <v>565.23300608560169</v>
      </c>
      <c r="AF553" s="2">
        <v>893.96544144603388</v>
      </c>
      <c r="AG553" s="2">
        <v>138.7132413564803</v>
      </c>
      <c r="AH553" s="2">
        <v>419.50264587175303</v>
      </c>
      <c r="AI553" s="2">
        <v>485335.28460289823</v>
      </c>
      <c r="AJ553" s="2">
        <v>448092.23754030571</v>
      </c>
      <c r="AL553" s="27">
        <v>0.90963364879287367</v>
      </c>
      <c r="AM553" s="27">
        <v>0.91146386262188361</v>
      </c>
      <c r="AN553" s="27">
        <v>0.90671218926373431</v>
      </c>
      <c r="AO553" s="27">
        <v>0.88350688366625874</v>
      </c>
      <c r="AP553" s="27">
        <v>0.7139839161833581</v>
      </c>
      <c r="AQ553" s="27">
        <v>0.90963364879287367</v>
      </c>
      <c r="AR553" s="27">
        <v>0.91146386262188361</v>
      </c>
      <c r="AS553" s="27">
        <v>0.90671218926373431</v>
      </c>
      <c r="AT553" s="27">
        <v>0.88350688366625874</v>
      </c>
      <c r="AU553" s="27">
        <v>0.7139839161833581</v>
      </c>
      <c r="AW553" s="1">
        <v>13.85451667457524</v>
      </c>
      <c r="AX553" s="1">
        <v>15.98076998806083</v>
      </c>
      <c r="AY553" s="2">
        <v>1885290.0064419892</v>
      </c>
      <c r="AZ553" s="1">
        <v>15.440068251404773</v>
      </c>
      <c r="BA553" s="1">
        <v>17.522528373012488</v>
      </c>
      <c r="BB553" s="2">
        <v>1488653.0065377883</v>
      </c>
      <c r="BC553" s="2">
        <f t="shared" si="63"/>
        <v>-396636.9999042009</v>
      </c>
      <c r="BD553" s="292">
        <f t="shared" si="64"/>
        <v>1.5855515768295323</v>
      </c>
      <c r="BF553" s="170">
        <f t="shared" si="59"/>
        <v>331432.66149004945</v>
      </c>
      <c r="BG553" s="2">
        <f t="shared" si="60"/>
        <v>981757.91368697514</v>
      </c>
      <c r="BI553">
        <f t="shared" si="61"/>
        <v>0</v>
      </c>
      <c r="BJ553" s="95">
        <f t="shared" si="62"/>
        <v>1</v>
      </c>
      <c r="BP553" s="217">
        <f t="shared" si="65"/>
        <v>981757.91368697514</v>
      </c>
    </row>
    <row r="554" spans="1:68">
      <c r="A554" s="11">
        <v>548</v>
      </c>
      <c r="C554" s="27">
        <v>0.9249697400231176</v>
      </c>
      <c r="D554" s="27">
        <v>7.5030259976882452E-2</v>
      </c>
      <c r="E554" s="27">
        <v>0</v>
      </c>
      <c r="F554" s="27">
        <v>0.85871735911052238</v>
      </c>
      <c r="G554" s="27">
        <v>0.14128264088947767</v>
      </c>
      <c r="H554" s="27">
        <v>0</v>
      </c>
      <c r="I554" s="27">
        <v>0.74911102263357143</v>
      </c>
      <c r="J554" s="27">
        <v>0.25088897736642857</v>
      </c>
      <c r="K554" s="27">
        <v>0</v>
      </c>
      <c r="L554" s="27">
        <v>0.14638265737290973</v>
      </c>
      <c r="M554" s="27">
        <v>0.49283172463810843</v>
      </c>
      <c r="N554" s="27">
        <v>0.36078561798898184</v>
      </c>
      <c r="O554" s="27">
        <v>-11.193558978129794</v>
      </c>
      <c r="P554" s="27">
        <v>3.4900261518106303E-2</v>
      </c>
      <c r="Q554" s="27">
        <v>5.9606376916734564E-5</v>
      </c>
      <c r="R554" s="27">
        <v>1.0711612382601816</v>
      </c>
      <c r="S554" s="154"/>
      <c r="T554">
        <v>0.95035104503401313</v>
      </c>
      <c r="U554">
        <v>2.2516777373712769</v>
      </c>
      <c r="V554">
        <v>2.9136996328102587</v>
      </c>
      <c r="W554">
        <v>1</v>
      </c>
      <c r="Y554" s="2">
        <v>1188.428832883983</v>
      </c>
      <c r="Z554" s="2">
        <v>6072.4271881923887</v>
      </c>
      <c r="AA554" s="2">
        <v>1263.1627447206827</v>
      </c>
      <c r="AB554" s="2">
        <v>3126.3445730219614</v>
      </c>
      <c r="AC554" s="2">
        <v>668.15646048254109</v>
      </c>
      <c r="AD554" s="2">
        <v>688.99820384058137</v>
      </c>
      <c r="AE554" s="2">
        <v>558.65445679844117</v>
      </c>
      <c r="AF554" s="2">
        <v>1005.582871123337</v>
      </c>
      <c r="AG554" s="2">
        <v>135.1853625391245</v>
      </c>
      <c r="AH554" s="2">
        <v>546.66392869230049</v>
      </c>
      <c r="AI554" s="2">
        <v>445747.53055264178</v>
      </c>
      <c r="AJ554" s="2">
        <v>421166.51948100352</v>
      </c>
      <c r="AL554" s="27">
        <v>0.92064934234462614</v>
      </c>
      <c r="AM554" s="27">
        <v>0.91669927244254035</v>
      </c>
      <c r="AN554" s="27">
        <v>0.90860642469011954</v>
      </c>
      <c r="AO554" s="27">
        <v>0.8509647723406859</v>
      </c>
      <c r="AP554" s="27">
        <v>0.66244627070994733</v>
      </c>
      <c r="AQ554" s="27">
        <v>0.92064934234462614</v>
      </c>
      <c r="AR554" s="27">
        <v>0.91669927244254035</v>
      </c>
      <c r="AS554" s="27">
        <v>0.90860642469011954</v>
      </c>
      <c r="AT554" s="27">
        <v>0.8509647723406859</v>
      </c>
      <c r="AU554" s="27">
        <v>0.66244627070994733</v>
      </c>
      <c r="AW554" s="1">
        <v>13.757512387597828</v>
      </c>
      <c r="AX554" s="1">
        <v>15.894687021918728</v>
      </c>
      <c r="AY554" s="2">
        <v>1751777.1815203629</v>
      </c>
      <c r="AZ554" s="1">
        <v>15.431256132344632</v>
      </c>
      <c r="BA554" s="1">
        <v>17.480108519769182</v>
      </c>
      <c r="BB554" s="2">
        <v>1282939.5885434879</v>
      </c>
      <c r="BC554" s="2">
        <f t="shared" si="63"/>
        <v>-468837.5929768749</v>
      </c>
      <c r="BD554" s="292">
        <f t="shared" si="64"/>
        <v>1.6737437447468047</v>
      </c>
      <c r="BF554" s="170">
        <f t="shared" si="59"/>
        <v>449424.80049528973</v>
      </c>
      <c r="BG554" s="2">
        <f t="shared" si="60"/>
        <v>1186061.3926316535</v>
      </c>
      <c r="BI554">
        <f t="shared" si="61"/>
        <v>0</v>
      </c>
      <c r="BJ554" s="95">
        <f t="shared" si="62"/>
        <v>1</v>
      </c>
      <c r="BP554" s="217">
        <f t="shared" si="65"/>
        <v>1186061.3926316535</v>
      </c>
    </row>
    <row r="555" spans="1:68">
      <c r="A555" s="11">
        <v>549</v>
      </c>
      <c r="C555" s="27">
        <v>0.92047209365005622</v>
      </c>
      <c r="D555" s="27">
        <v>7.9527906349943778E-2</v>
      </c>
      <c r="E555" s="27">
        <v>0</v>
      </c>
      <c r="F555" s="27">
        <v>0.86247177347202009</v>
      </c>
      <c r="G555" s="27">
        <v>0.13752822652797991</v>
      </c>
      <c r="H555" s="27">
        <v>0</v>
      </c>
      <c r="I555" s="27">
        <v>0.75326175951017482</v>
      </c>
      <c r="J555" s="27">
        <v>0.24673824048982521</v>
      </c>
      <c r="K555" s="27">
        <v>0</v>
      </c>
      <c r="L555" s="27">
        <v>5.5818879579879521E-2</v>
      </c>
      <c r="M555" s="27">
        <v>0.53640683534992883</v>
      </c>
      <c r="N555" s="27">
        <v>0.40777428507019164</v>
      </c>
      <c r="O555" s="27">
        <v>-10.974093105078087</v>
      </c>
      <c r="P555" s="27">
        <v>3.4002161841363593E-2</v>
      </c>
      <c r="Q555" s="27">
        <v>7.1486473517072096E-5</v>
      </c>
      <c r="R555" s="27">
        <v>1.0546375730734689</v>
      </c>
      <c r="S555" s="154"/>
      <c r="T555">
        <v>0.93846377231081279</v>
      </c>
      <c r="U555">
        <v>2.1690398856945325</v>
      </c>
      <c r="V555">
        <v>2.9449253447764021</v>
      </c>
      <c r="W555">
        <v>1</v>
      </c>
      <c r="Y555" s="2">
        <v>37.884455241332859</v>
      </c>
      <c r="Z555" s="2">
        <v>10307.543691669249</v>
      </c>
      <c r="AA555" s="2">
        <v>1525.9646398079221</v>
      </c>
      <c r="AB555" s="2">
        <v>1663.6679251419869</v>
      </c>
      <c r="AC555" s="2">
        <v>433.63825054589091</v>
      </c>
      <c r="AD555" s="2">
        <v>1453.7870977215728</v>
      </c>
      <c r="AE555" s="2">
        <v>559.38229587472415</v>
      </c>
      <c r="AF555" s="2">
        <v>915.18463020686568</v>
      </c>
      <c r="AG555" s="2">
        <v>150.54963753323034</v>
      </c>
      <c r="AH555" s="2">
        <v>515.19712955235718</v>
      </c>
      <c r="AI555" s="2">
        <v>500170.12612930831</v>
      </c>
      <c r="AJ555" s="2">
        <v>453908.49056250817</v>
      </c>
      <c r="AL555" s="27">
        <v>0.91896452166601295</v>
      </c>
      <c r="AM555" s="27">
        <v>0.91773982408529231</v>
      </c>
      <c r="AN555" s="27">
        <v>0.90697137060408062</v>
      </c>
      <c r="AO555" s="27">
        <v>0.88593149638408586</v>
      </c>
      <c r="AP555" s="27">
        <v>0.74753956180802661</v>
      </c>
      <c r="AQ555" s="27">
        <v>0.91896452166601295</v>
      </c>
      <c r="AR555" s="27">
        <v>0.91773982408529231</v>
      </c>
      <c r="AS555" s="27">
        <v>0.90697137060408062</v>
      </c>
      <c r="AT555" s="27">
        <v>0.88593149638408586</v>
      </c>
      <c r="AU555" s="27">
        <v>0.74753956180802661</v>
      </c>
      <c r="AW555" s="1">
        <v>13.879435855473048</v>
      </c>
      <c r="AX555" s="1">
        <v>15.722562913345174</v>
      </c>
      <c r="AY555" s="2">
        <v>1907611.4170852317</v>
      </c>
      <c r="AZ555" s="1">
        <v>15.498134950994627</v>
      </c>
      <c r="BA555" s="1">
        <v>17.337977586813068</v>
      </c>
      <c r="BB555" s="2">
        <v>1366708.1204610083</v>
      </c>
      <c r="BC555" s="2">
        <f t="shared" si="63"/>
        <v>-540903.29662422347</v>
      </c>
      <c r="BD555" s="292">
        <f t="shared" si="64"/>
        <v>1.6186990955215794</v>
      </c>
      <c r="BF555" s="170">
        <f t="shared" si="59"/>
        <v>313098.31979045598</v>
      </c>
      <c r="BG555" s="2">
        <f t="shared" si="60"/>
        <v>1112993.4716981321</v>
      </c>
      <c r="BI555">
        <f t="shared" si="61"/>
        <v>0</v>
      </c>
      <c r="BJ555" s="95">
        <f t="shared" si="62"/>
        <v>1</v>
      </c>
      <c r="BP555" s="217">
        <f t="shared" si="65"/>
        <v>1112993.4716981321</v>
      </c>
    </row>
    <row r="556" spans="1:68">
      <c r="A556" s="11">
        <v>550</v>
      </c>
      <c r="C556" s="27">
        <v>0.92301156826211228</v>
      </c>
      <c r="D556" s="27">
        <v>7.6988431737887719E-2</v>
      </c>
      <c r="E556" s="27">
        <v>0</v>
      </c>
      <c r="F556" s="27">
        <v>0.85496063771333131</v>
      </c>
      <c r="G556" s="27">
        <v>0.14503936228666869</v>
      </c>
      <c r="H556" s="27">
        <v>0</v>
      </c>
      <c r="I556" s="27">
        <v>0.74660976628631315</v>
      </c>
      <c r="J556" s="27">
        <v>0.25339023371368685</v>
      </c>
      <c r="K556" s="27">
        <v>0</v>
      </c>
      <c r="L556" s="27">
        <v>8.1497046071709156E-2</v>
      </c>
      <c r="M556" s="27">
        <v>0.50819467543361196</v>
      </c>
      <c r="N556" s="27">
        <v>0.41030827849467888</v>
      </c>
      <c r="O556" s="27">
        <v>-10.99208948895709</v>
      </c>
      <c r="P556" s="27">
        <v>3.5216495614545547E-2</v>
      </c>
      <c r="Q556" s="27">
        <v>7.3885299564569129E-5</v>
      </c>
      <c r="R556" s="27">
        <v>1.0447022806825712</v>
      </c>
      <c r="S556" s="154"/>
      <c r="T556">
        <v>0.9198730708749624</v>
      </c>
      <c r="U556">
        <v>2.2432463137031147</v>
      </c>
      <c r="V556">
        <v>3.0674010506801261</v>
      </c>
      <c r="W556">
        <v>1</v>
      </c>
      <c r="Y556" s="2">
        <v>1.9687385106659259</v>
      </c>
      <c r="Z556" s="2">
        <v>1016.2690016864094</v>
      </c>
      <c r="AA556" s="2">
        <v>164.56048666128297</v>
      </c>
      <c r="AB556" s="2">
        <v>2135.491854846659</v>
      </c>
      <c r="AC556" s="2">
        <v>706.21657572803122</v>
      </c>
      <c r="AD556" s="2">
        <v>2040.8357300938305</v>
      </c>
      <c r="AE556" s="2">
        <v>622.48261691285575</v>
      </c>
      <c r="AF556" s="2">
        <v>924.05417095158532</v>
      </c>
      <c r="AG556" s="2">
        <v>206.61904057865527</v>
      </c>
      <c r="AH556" s="2">
        <v>646.27971823274913</v>
      </c>
      <c r="AI556" s="2">
        <v>480022.30343950639</v>
      </c>
      <c r="AJ556" s="2">
        <v>448168.42341881769</v>
      </c>
      <c r="AL556" s="27">
        <v>0.92098782953358826</v>
      </c>
      <c r="AM556" s="27">
        <v>0.91889845319870123</v>
      </c>
      <c r="AN556" s="27">
        <v>0.90736256560956408</v>
      </c>
      <c r="AO556" s="27">
        <v>0.85514982007750606</v>
      </c>
      <c r="AP556" s="27">
        <v>0.69488735597256179</v>
      </c>
      <c r="AQ556" s="27">
        <v>0.92098782953358826</v>
      </c>
      <c r="AR556" s="27">
        <v>0.91889845319870123</v>
      </c>
      <c r="AS556" s="27">
        <v>0.90736256560956408</v>
      </c>
      <c r="AT556" s="27">
        <v>0.85514982007750606</v>
      </c>
      <c r="AU556" s="27">
        <v>0.69488735597256179</v>
      </c>
      <c r="AW556" s="1">
        <v>13.750274402332815</v>
      </c>
      <c r="AX556" s="1">
        <v>15.747684543436899</v>
      </c>
      <c r="AY556" s="2">
        <v>1742167.9973579871</v>
      </c>
      <c r="AZ556" s="1">
        <v>15.348791924969165</v>
      </c>
      <c r="BA556" s="1">
        <v>17.297392559761526</v>
      </c>
      <c r="BB556" s="2">
        <v>1350589.84359678</v>
      </c>
      <c r="BC556" s="2">
        <f t="shared" si="63"/>
        <v>-391578.15376120713</v>
      </c>
      <c r="BD556" s="292">
        <f t="shared" si="64"/>
        <v>1.5985175226363495</v>
      </c>
      <c r="BF556" s="170">
        <f t="shared" si="59"/>
        <v>457875.90701526334</v>
      </c>
      <c r="BG556" s="2">
        <f t="shared" si="60"/>
        <v>1105216.8643982864</v>
      </c>
      <c r="BI556">
        <f t="shared" si="61"/>
        <v>0</v>
      </c>
      <c r="BJ556" s="95">
        <f t="shared" si="62"/>
        <v>1</v>
      </c>
      <c r="BP556" s="217">
        <f t="shared" si="65"/>
        <v>1105216.8643982864</v>
      </c>
    </row>
    <row r="557" spans="1:68">
      <c r="A557" s="11">
        <v>551</v>
      </c>
      <c r="C557" s="27">
        <v>0.92272822679350086</v>
      </c>
      <c r="D557" s="27">
        <v>7.7271773206499139E-2</v>
      </c>
      <c r="E557" s="27">
        <v>0</v>
      </c>
      <c r="F557" s="27">
        <v>0.8600891225598003</v>
      </c>
      <c r="G557" s="27">
        <v>0.13991087744019967</v>
      </c>
      <c r="H557" s="27">
        <v>0</v>
      </c>
      <c r="I557" s="27">
        <v>0.75650201152933561</v>
      </c>
      <c r="J557" s="27">
        <v>0.24349798847066442</v>
      </c>
      <c r="K557" s="27">
        <v>0</v>
      </c>
      <c r="L557" s="27">
        <v>6.5160300727935883E-2</v>
      </c>
      <c r="M557" s="27">
        <v>0.57936717827103623</v>
      </c>
      <c r="N557" s="27">
        <v>0.35547252100102789</v>
      </c>
      <c r="O557" s="27">
        <v>-11.261716281746489</v>
      </c>
      <c r="P557" s="27">
        <v>3.4634745923280905E-2</v>
      </c>
      <c r="Q557" s="27">
        <v>5.5061657621729987E-5</v>
      </c>
      <c r="R557" s="27">
        <v>1.0881538229761356</v>
      </c>
      <c r="S557" s="154"/>
      <c r="T557">
        <v>1.0051229681525189</v>
      </c>
      <c r="U557">
        <v>2.2008374051426709</v>
      </c>
      <c r="V557">
        <v>2.9314331754430869</v>
      </c>
      <c r="W557">
        <v>1</v>
      </c>
      <c r="Y557" s="2">
        <v>389.4590402150871</v>
      </c>
      <c r="Z557" s="2">
        <v>11483.107917658283</v>
      </c>
      <c r="AA557" s="2">
        <v>78.145802604539071</v>
      </c>
      <c r="AB557" s="2">
        <v>4062.6091712833027</v>
      </c>
      <c r="AC557" s="2">
        <v>2513.2856080712318</v>
      </c>
      <c r="AD557" s="2">
        <v>1795.1802896723116</v>
      </c>
      <c r="AE557" s="2">
        <v>622.93826906312495</v>
      </c>
      <c r="AF557" s="2">
        <v>694.11211756931596</v>
      </c>
      <c r="AG557" s="2">
        <v>106.82204079739904</v>
      </c>
      <c r="AH557" s="2">
        <v>592.32583701868259</v>
      </c>
      <c r="AI557" s="2">
        <v>557107.74567473959</v>
      </c>
      <c r="AJ557" s="2">
        <v>518554.09809175058</v>
      </c>
      <c r="AL557" s="27">
        <v>0.92147847638813651</v>
      </c>
      <c r="AM557" s="27">
        <v>0.91352136315207355</v>
      </c>
      <c r="AN557" s="27">
        <v>0.89992847946223908</v>
      </c>
      <c r="AO557" s="27">
        <v>0.84417189578390106</v>
      </c>
      <c r="AP557" s="27">
        <v>0.79429901678471382</v>
      </c>
      <c r="AQ557" s="27">
        <v>0.92147847638813651</v>
      </c>
      <c r="AR557" s="27">
        <v>0.91352136315207355</v>
      </c>
      <c r="AS557" s="27">
        <v>0.89992847946223908</v>
      </c>
      <c r="AT557" s="27">
        <v>0.84417189578390106</v>
      </c>
      <c r="AU557" s="27">
        <v>0.79429901678471382</v>
      </c>
      <c r="AW557" s="1">
        <v>14.045358934384048</v>
      </c>
      <c r="AX557" s="1">
        <v>15.801054047252808</v>
      </c>
      <c r="AY557" s="2">
        <v>2377888.1264410513</v>
      </c>
      <c r="AZ557" s="1">
        <v>15.745488773474516</v>
      </c>
      <c r="BA557" s="1">
        <v>17.535049139645739</v>
      </c>
      <c r="BB557" s="2">
        <v>1637767.9616109522</v>
      </c>
      <c r="BC557" s="2">
        <f t="shared" si="63"/>
        <v>-740120.16483009909</v>
      </c>
      <c r="BD557" s="292">
        <f t="shared" si="64"/>
        <v>1.7001298390904687</v>
      </c>
      <c r="BF557" s="170">
        <f t="shared" si="59"/>
        <v>-130630.69693960343</v>
      </c>
      <c r="BG557" s="2">
        <f t="shared" si="60"/>
        <v>881510.24214497046</v>
      </c>
      <c r="BI557">
        <f t="shared" si="61"/>
        <v>0</v>
      </c>
      <c r="BJ557" s="95">
        <f t="shared" si="62"/>
        <v>1</v>
      </c>
      <c r="BP557" s="217">
        <f t="shared" si="65"/>
        <v>881510.24214497046</v>
      </c>
    </row>
    <row r="558" spans="1:68">
      <c r="A558" s="11">
        <v>552</v>
      </c>
      <c r="C558" s="27">
        <v>0.92451137044870235</v>
      </c>
      <c r="D558" s="27">
        <v>7.5488629551297676E-2</v>
      </c>
      <c r="E558" s="27">
        <v>0</v>
      </c>
      <c r="F558" s="27">
        <v>0.8571485575908202</v>
      </c>
      <c r="G558" s="27">
        <v>0.1428514424091798</v>
      </c>
      <c r="H558" s="27">
        <v>0</v>
      </c>
      <c r="I558" s="27">
        <v>0.74713250738484638</v>
      </c>
      <c r="J558" s="27">
        <v>0.25286749261515362</v>
      </c>
      <c r="K558" s="27">
        <v>0</v>
      </c>
      <c r="L558" s="27">
        <v>0.13337871184108507</v>
      </c>
      <c r="M558" s="27">
        <v>0.51486303990138649</v>
      </c>
      <c r="N558" s="27">
        <v>0.35175824825752844</v>
      </c>
      <c r="O558" s="27">
        <v>-11.459296205379896</v>
      </c>
      <c r="P558" s="27">
        <v>3.6934057401072917E-2</v>
      </c>
      <c r="Q558" s="27">
        <v>4.9771611108796449E-5</v>
      </c>
      <c r="R558" s="27">
        <v>1.0949562822073018</v>
      </c>
      <c r="S558" s="154"/>
      <c r="T558">
        <v>1.0036784475481477</v>
      </c>
      <c r="U558">
        <v>2.245017194167406</v>
      </c>
      <c r="V558">
        <v>2.8367275274936938</v>
      </c>
      <c r="W558">
        <v>1</v>
      </c>
      <c r="Y558" s="2">
        <v>43.429515054133446</v>
      </c>
      <c r="Z558" s="2">
        <v>1680.5630752550119</v>
      </c>
      <c r="AA558" s="2">
        <v>600.78364103184026</v>
      </c>
      <c r="AB558" s="2">
        <v>12489.363430615025</v>
      </c>
      <c r="AC558" s="2">
        <v>19.523659147554941</v>
      </c>
      <c r="AD558" s="2">
        <v>3865.0381118146865</v>
      </c>
      <c r="AE558" s="2">
        <v>571.07964307589816</v>
      </c>
      <c r="AF558" s="2">
        <v>797.60699677870025</v>
      </c>
      <c r="AG558" s="2">
        <v>107.89213947369529</v>
      </c>
      <c r="AH558" s="2">
        <v>482.96785209626319</v>
      </c>
      <c r="AI558" s="2">
        <v>516009.46566859446</v>
      </c>
      <c r="AJ558" s="2">
        <v>489046.23272474384</v>
      </c>
      <c r="AL558" s="27">
        <v>0.91683715727737203</v>
      </c>
      <c r="AM558" s="27">
        <v>0.91790532750481602</v>
      </c>
      <c r="AN558" s="27">
        <v>0.90384786449183685</v>
      </c>
      <c r="AO558" s="27">
        <v>0.87914780180881946</v>
      </c>
      <c r="AP558" s="27">
        <v>0.62442830559945861</v>
      </c>
      <c r="AQ558" s="27">
        <v>0.91683715727737203</v>
      </c>
      <c r="AR558" s="27">
        <v>0.91790532750481602</v>
      </c>
      <c r="AS558" s="27">
        <v>0.90384786449183685</v>
      </c>
      <c r="AT558" s="27">
        <v>0.87914780180881946</v>
      </c>
      <c r="AU558" s="27">
        <v>0.62442830559945861</v>
      </c>
      <c r="AW558" s="1">
        <v>13.451061638704532</v>
      </c>
      <c r="AX558" s="1">
        <v>15.756328791618262</v>
      </c>
      <c r="AY558" s="2">
        <v>2004774.0952060297</v>
      </c>
      <c r="AZ558" s="1">
        <v>15.293347693546931</v>
      </c>
      <c r="BA558" s="1">
        <v>17.466914792320573</v>
      </c>
      <c r="BB558" s="2">
        <v>1690816.8269017483</v>
      </c>
      <c r="BC558" s="2">
        <f t="shared" si="63"/>
        <v>-313957.2683042814</v>
      </c>
      <c r="BD558" s="292">
        <f t="shared" si="64"/>
        <v>1.8422860548423987</v>
      </c>
      <c r="BF558" s="170">
        <f t="shared" si="59"/>
        <v>147395.76698669558</v>
      </c>
      <c r="BG558" s="2">
        <f t="shared" si="60"/>
        <v>756118.80406576069</v>
      </c>
      <c r="BI558">
        <f t="shared" si="61"/>
        <v>0</v>
      </c>
      <c r="BJ558" s="95">
        <f t="shared" si="62"/>
        <v>1</v>
      </c>
      <c r="BP558" s="217">
        <f t="shared" si="65"/>
        <v>756118.80406576069</v>
      </c>
    </row>
    <row r="559" spans="1:68">
      <c r="A559" s="11">
        <v>553</v>
      </c>
      <c r="C559" s="27">
        <v>0.92318433074232664</v>
      </c>
      <c r="D559" s="27">
        <v>7.6815669257673358E-2</v>
      </c>
      <c r="E559" s="27">
        <v>0</v>
      </c>
      <c r="F559" s="27">
        <v>0.85906847753932147</v>
      </c>
      <c r="G559" s="27">
        <v>0.14093152246067853</v>
      </c>
      <c r="H559" s="27">
        <v>0</v>
      </c>
      <c r="I559" s="27">
        <v>0.75030278045015364</v>
      </c>
      <c r="J559" s="27">
        <v>0.24969721954984639</v>
      </c>
      <c r="K559" s="27">
        <v>0</v>
      </c>
      <c r="L559" s="27">
        <v>7.6701519564959408E-2</v>
      </c>
      <c r="M559" s="27">
        <v>0.52654307844108517</v>
      </c>
      <c r="N559" s="27">
        <v>0.39675540199395543</v>
      </c>
      <c r="O559" s="27">
        <v>-11.042902463423637</v>
      </c>
      <c r="P559" s="27">
        <v>3.4140053347094863E-2</v>
      </c>
      <c r="Q559" s="27">
        <v>6.7120555283350044E-5</v>
      </c>
      <c r="R559" s="27">
        <v>1.0601568460398261</v>
      </c>
      <c r="S559" s="154"/>
      <c r="T559">
        <v>1.0166480505773221</v>
      </c>
      <c r="U559">
        <v>2.2345375854277454</v>
      </c>
      <c r="V559">
        <v>2.9185665936597669</v>
      </c>
      <c r="W559">
        <v>1</v>
      </c>
      <c r="Y559" s="2">
        <v>57.759470818464401</v>
      </c>
      <c r="Z559" s="2">
        <v>4060.0814693076318</v>
      </c>
      <c r="AA559" s="2">
        <v>4833.0781094045133</v>
      </c>
      <c r="AB559" s="2">
        <v>1721.5455890686742</v>
      </c>
      <c r="AC559" s="2">
        <v>684.52160219464236</v>
      </c>
      <c r="AD559" s="2">
        <v>2380.7900350024656</v>
      </c>
      <c r="AE559" s="2">
        <v>596.11943512120524</v>
      </c>
      <c r="AF559" s="2">
        <v>788.7606041975879</v>
      </c>
      <c r="AG559" s="2">
        <v>167.14078197609584</v>
      </c>
      <c r="AH559" s="2">
        <v>842.24838147396611</v>
      </c>
      <c r="AI559" s="2">
        <v>447790.4386083979</v>
      </c>
      <c r="AJ559" s="2">
        <v>410041.9442185309</v>
      </c>
      <c r="AL559" s="27">
        <v>0.91869020067648433</v>
      </c>
      <c r="AM559" s="27">
        <v>0.91878940464025549</v>
      </c>
      <c r="AN559" s="27">
        <v>0.90252931264492109</v>
      </c>
      <c r="AO559" s="27">
        <v>0.85141053898865693</v>
      </c>
      <c r="AP559" s="27">
        <v>0.67859371808657232</v>
      </c>
      <c r="AQ559" s="27">
        <v>0.91869020067648433</v>
      </c>
      <c r="AR559" s="27">
        <v>0.91878940464025549</v>
      </c>
      <c r="AS559" s="27">
        <v>0.90252931264492109</v>
      </c>
      <c r="AT559" s="27">
        <v>0.85141053898865693</v>
      </c>
      <c r="AU559" s="27">
        <v>0.67859371808657232</v>
      </c>
      <c r="AW559" s="1">
        <v>13.466835184277704</v>
      </c>
      <c r="AX559" s="1">
        <v>15.568308931024564</v>
      </c>
      <c r="AY559" s="2">
        <v>1715548.0981120439</v>
      </c>
      <c r="AZ559" s="1">
        <v>15.35934216334336</v>
      </c>
      <c r="BA559" s="1">
        <v>17.382403324910893</v>
      </c>
      <c r="BB559" s="2">
        <v>1317862.6285219691</v>
      </c>
      <c r="BC559" s="2">
        <f t="shared" si="63"/>
        <v>-397685.46959007485</v>
      </c>
      <c r="BD559" s="292">
        <f t="shared" si="64"/>
        <v>1.8925069790656561</v>
      </c>
      <c r="BF559" s="170">
        <f t="shared" si="59"/>
        <v>439145.53137238882</v>
      </c>
      <c r="BG559" s="2">
        <f t="shared" si="60"/>
        <v>1139632.1176129687</v>
      </c>
      <c r="BI559">
        <f t="shared" si="61"/>
        <v>0</v>
      </c>
      <c r="BJ559" s="95">
        <f t="shared" si="62"/>
        <v>1</v>
      </c>
      <c r="BP559" s="217">
        <f t="shared" si="65"/>
        <v>1139632.1176129687</v>
      </c>
    </row>
    <row r="560" spans="1:68">
      <c r="A560" s="11">
        <v>554</v>
      </c>
      <c r="C560" s="27">
        <v>0.92551701715651469</v>
      </c>
      <c r="D560" s="27">
        <v>7.4482982843485313E-2</v>
      </c>
      <c r="E560" s="27">
        <v>0</v>
      </c>
      <c r="F560" s="27">
        <v>0.85174859181096552</v>
      </c>
      <c r="G560" s="27">
        <v>0.14825140818903448</v>
      </c>
      <c r="H560" s="27">
        <v>0</v>
      </c>
      <c r="I560" s="27">
        <v>0.74690426202577354</v>
      </c>
      <c r="J560" s="27">
        <v>0.25309573797422646</v>
      </c>
      <c r="K560" s="27">
        <v>0</v>
      </c>
      <c r="L560" s="27">
        <v>0.1234293345707288</v>
      </c>
      <c r="M560" s="27">
        <v>0.54079166448623606</v>
      </c>
      <c r="N560" s="27">
        <v>0.33577900094303514</v>
      </c>
      <c r="O560" s="27">
        <v>-11.237822182642132</v>
      </c>
      <c r="P560" s="27">
        <v>3.6531398593827348E-2</v>
      </c>
      <c r="Q560" s="27">
        <v>6.1069167562204164E-5</v>
      </c>
      <c r="R560" s="27">
        <v>1.0648215798228895</v>
      </c>
      <c r="S560" s="154"/>
      <c r="T560">
        <v>1.0134699427946836</v>
      </c>
      <c r="U560">
        <v>2.219484563837884</v>
      </c>
      <c r="V560">
        <v>3.0399995519477314</v>
      </c>
      <c r="W560">
        <v>1</v>
      </c>
      <c r="Y560" s="2">
        <v>207.03055580378668</v>
      </c>
      <c r="Z560" s="2">
        <v>3137.1210874174549</v>
      </c>
      <c r="AA560" s="2">
        <v>3505.4140582373448</v>
      </c>
      <c r="AB560" s="2">
        <v>9581.0549897225301</v>
      </c>
      <c r="AC560" s="2">
        <v>1424.2226288995705</v>
      </c>
      <c r="AD560" s="2">
        <v>1139.3201773981848</v>
      </c>
      <c r="AE560" s="2">
        <v>547.72243902203161</v>
      </c>
      <c r="AF560" s="2">
        <v>1042.4773981832759</v>
      </c>
      <c r="AG560" s="2">
        <v>132.48976722934415</v>
      </c>
      <c r="AH560" s="2">
        <v>457.91362248378846</v>
      </c>
      <c r="AI560" s="2">
        <v>461803.22520223132</v>
      </c>
      <c r="AJ560" s="2">
        <v>434082.43278678099</v>
      </c>
      <c r="AL560" s="27">
        <v>0.90797508539732907</v>
      </c>
      <c r="AM560" s="27">
        <v>0.91596888660492271</v>
      </c>
      <c r="AN560" s="27">
        <v>0.92307110080382937</v>
      </c>
      <c r="AO560" s="27">
        <v>0.85640285410657546</v>
      </c>
      <c r="AP560" s="27">
        <v>0.68233481912926619</v>
      </c>
      <c r="AQ560" s="27">
        <v>0.90797508539732907</v>
      </c>
      <c r="AR560" s="27">
        <v>0.91596888660492271</v>
      </c>
      <c r="AS560" s="27">
        <v>0.92307110080382937</v>
      </c>
      <c r="AT560" s="27">
        <v>0.85640285410657546</v>
      </c>
      <c r="AU560" s="27">
        <v>0.68233481912926619</v>
      </c>
      <c r="AW560" s="1">
        <v>13.664135118749652</v>
      </c>
      <c r="AX560" s="1">
        <v>15.939046718699066</v>
      </c>
      <c r="AY560" s="2">
        <v>1970520.4692706887</v>
      </c>
      <c r="AZ560" s="1">
        <v>15.446192281982134</v>
      </c>
      <c r="BA560" s="1">
        <v>17.603394738198428</v>
      </c>
      <c r="BB560" s="2">
        <v>1592468.4356801137</v>
      </c>
      <c r="BC560" s="2">
        <f t="shared" si="63"/>
        <v>-378052.03359057498</v>
      </c>
      <c r="BD560" s="292">
        <f t="shared" si="64"/>
        <v>1.7820571632324818</v>
      </c>
      <c r="BF560" s="170">
        <f t="shared" si="59"/>
        <v>215741.14972925535</v>
      </c>
      <c r="BG560" s="2">
        <f t="shared" si="60"/>
        <v>878922.32943702769</v>
      </c>
      <c r="BI560">
        <f t="shared" si="61"/>
        <v>0</v>
      </c>
      <c r="BJ560" s="95">
        <f t="shared" si="62"/>
        <v>1</v>
      </c>
      <c r="BP560" s="217">
        <f t="shared" si="65"/>
        <v>878922.32943702769</v>
      </c>
    </row>
    <row r="561" spans="1:68">
      <c r="A561" s="11">
        <v>555</v>
      </c>
      <c r="C561" s="27">
        <v>0.9230220241895607</v>
      </c>
      <c r="D561" s="27">
        <v>7.6977975810439303E-2</v>
      </c>
      <c r="E561" s="27">
        <v>0</v>
      </c>
      <c r="F561" s="27">
        <v>0.85770986575880837</v>
      </c>
      <c r="G561" s="27">
        <v>0.14229013424119166</v>
      </c>
      <c r="H561" s="27">
        <v>0</v>
      </c>
      <c r="I561" s="27">
        <v>0.74946718381011468</v>
      </c>
      <c r="J561" s="27">
        <v>0.25053281618988532</v>
      </c>
      <c r="K561" s="27">
        <v>0</v>
      </c>
      <c r="L561" s="27">
        <v>2.6723713918825776E-2</v>
      </c>
      <c r="M561" s="27">
        <v>0.54019684557244307</v>
      </c>
      <c r="N561" s="27">
        <v>0.43307944050873115</v>
      </c>
      <c r="O561" s="27">
        <v>-11.588382441861295</v>
      </c>
      <c r="P561" s="27">
        <v>3.8795865821649317E-2</v>
      </c>
      <c r="Q561" s="27">
        <v>4.730209000208251E-5</v>
      </c>
      <c r="R561" s="27">
        <v>1.0968356173423339</v>
      </c>
      <c r="S561" s="154"/>
      <c r="T561">
        <v>1.0053919591236016</v>
      </c>
      <c r="U561">
        <v>2.2157511612181913</v>
      </c>
      <c r="V561">
        <v>2.8572474952540325</v>
      </c>
      <c r="W561">
        <v>1</v>
      </c>
      <c r="Y561" s="2">
        <v>1290.8917594292561</v>
      </c>
      <c r="Z561" s="2">
        <v>4428.6727248673524</v>
      </c>
      <c r="AA561" s="2">
        <v>1006.4679131536909</v>
      </c>
      <c r="AB561" s="2">
        <v>1077.7091796885682</v>
      </c>
      <c r="AC561" s="2">
        <v>846.06153438121703</v>
      </c>
      <c r="AD561" s="2">
        <v>147.51332927132111</v>
      </c>
      <c r="AE561" s="2">
        <v>545.54428547343286</v>
      </c>
      <c r="AF561" s="2">
        <v>1220.6585373053479</v>
      </c>
      <c r="AG561" s="2">
        <v>71.094053863159161</v>
      </c>
      <c r="AH561" s="2">
        <v>208.99268985996488</v>
      </c>
      <c r="AI561" s="2">
        <v>575369.53752542567</v>
      </c>
      <c r="AJ561" s="2">
        <v>521474.29535711114</v>
      </c>
      <c r="AL561" s="27">
        <v>0.91895761723218294</v>
      </c>
      <c r="AM561" s="27">
        <v>0.9183097285168681</v>
      </c>
      <c r="AN561" s="27">
        <v>0.9053798390476292</v>
      </c>
      <c r="AO561" s="27">
        <v>0.83033191632001468</v>
      </c>
      <c r="AP561" s="27">
        <v>0.76678285325054696</v>
      </c>
      <c r="AQ561" s="27">
        <v>0.91895761723218294</v>
      </c>
      <c r="AR561" s="27">
        <v>0.9183097285168681</v>
      </c>
      <c r="AS561" s="27">
        <v>0.9053798390476292</v>
      </c>
      <c r="AT561" s="27">
        <v>0.83033191632001468</v>
      </c>
      <c r="AU561" s="27">
        <v>0.76678285325054696</v>
      </c>
      <c r="AW561" s="1">
        <v>13.68976983016568</v>
      </c>
      <c r="AX561" s="1">
        <v>15.488712011943937</v>
      </c>
      <c r="AY561" s="2">
        <v>2119243.9587309477</v>
      </c>
      <c r="AZ561" s="1">
        <v>15.469790633464054</v>
      </c>
      <c r="BA561" s="1">
        <v>17.277223426599477</v>
      </c>
      <c r="BB561" s="2">
        <v>1482052.6138995187</v>
      </c>
      <c r="BC561" s="2">
        <f t="shared" si="63"/>
        <v>-637191.34483142896</v>
      </c>
      <c r="BD561" s="292">
        <f t="shared" si="64"/>
        <v>1.780020803298374</v>
      </c>
      <c r="BF561" s="170">
        <f t="shared" si="59"/>
        <v>71119.214095561299</v>
      </c>
      <c r="BG561" s="2">
        <f t="shared" si="60"/>
        <v>993113.88745472999</v>
      </c>
      <c r="BI561">
        <f t="shared" si="61"/>
        <v>0</v>
      </c>
      <c r="BJ561" s="95">
        <f t="shared" si="62"/>
        <v>1</v>
      </c>
      <c r="BP561" s="217">
        <f t="shared" si="65"/>
        <v>993113.88745472999</v>
      </c>
    </row>
    <row r="562" spans="1:68">
      <c r="A562" s="11">
        <v>556</v>
      </c>
      <c r="C562" s="27">
        <v>0.92195660668748614</v>
      </c>
      <c r="D562" s="27">
        <v>7.8043393312513865E-2</v>
      </c>
      <c r="E562" s="27">
        <v>0</v>
      </c>
      <c r="F562" s="27">
        <v>0.85983369428707057</v>
      </c>
      <c r="G562" s="27">
        <v>0.1401663057129294</v>
      </c>
      <c r="H562" s="27">
        <v>0</v>
      </c>
      <c r="I562" s="27">
        <v>0.74431011576564021</v>
      </c>
      <c r="J562" s="27">
        <v>0.25568988423435979</v>
      </c>
      <c r="K562" s="27">
        <v>0</v>
      </c>
      <c r="L562" s="27">
        <v>0.16090501492483905</v>
      </c>
      <c r="M562" s="27">
        <v>0.47555513461823495</v>
      </c>
      <c r="N562" s="27">
        <v>0.36353985045692599</v>
      </c>
      <c r="O562" s="27">
        <v>-11.687138826441684</v>
      </c>
      <c r="P562" s="27">
        <v>3.6029953464142873E-2</v>
      </c>
      <c r="Q562" s="27">
        <v>3.8153968542164519E-5</v>
      </c>
      <c r="R562" s="27">
        <v>1.1319590499953482</v>
      </c>
      <c r="S562" s="154"/>
      <c r="T562">
        <v>0.90173110254086686</v>
      </c>
      <c r="U562">
        <v>2.2403588425538459</v>
      </c>
      <c r="V562">
        <v>2.8794628322488545</v>
      </c>
      <c r="W562">
        <v>1</v>
      </c>
      <c r="Y562" s="2">
        <v>121.30795416167551</v>
      </c>
      <c r="Z562" s="2">
        <v>5239.8858375693117</v>
      </c>
      <c r="AA562" s="2">
        <v>388.29854401351167</v>
      </c>
      <c r="AB562" s="2">
        <v>836.16561081622467</v>
      </c>
      <c r="AC562" s="2">
        <v>608.37307002521641</v>
      </c>
      <c r="AD562" s="2">
        <v>1824.4775962022698</v>
      </c>
      <c r="AE562" s="2">
        <v>559.37727427925483</v>
      </c>
      <c r="AF562" s="2">
        <v>1013.6581456419684</v>
      </c>
      <c r="AG562" s="2">
        <v>193.59340183519711</v>
      </c>
      <c r="AH562" s="2">
        <v>535.26185647387376</v>
      </c>
      <c r="AI562" s="2">
        <v>617646.14707617147</v>
      </c>
      <c r="AJ562" s="2">
        <v>593012.95117810636</v>
      </c>
      <c r="AL562" s="27">
        <v>0.92116860242031362</v>
      </c>
      <c r="AM562" s="27">
        <v>0.91417465466294379</v>
      </c>
      <c r="AN562" s="27">
        <v>0.90844523094614849</v>
      </c>
      <c r="AO562" s="27">
        <v>0.8677823140785117</v>
      </c>
      <c r="AP562" s="27">
        <v>0.71817841234261726</v>
      </c>
      <c r="AQ562" s="27">
        <v>0.92116860242031362</v>
      </c>
      <c r="AR562" s="27">
        <v>0.91417465466294379</v>
      </c>
      <c r="AS562" s="27">
        <v>0.90844523094614849</v>
      </c>
      <c r="AT562" s="27">
        <v>0.8677823140785117</v>
      </c>
      <c r="AU562" s="27">
        <v>0.71817841234261726</v>
      </c>
      <c r="AW562" s="1">
        <v>13.84555340706163</v>
      </c>
      <c r="AX562" s="1">
        <v>15.734585644880116</v>
      </c>
      <c r="AY562" s="2">
        <v>2201612.0136165372</v>
      </c>
      <c r="AZ562" s="1">
        <v>15.366140876193436</v>
      </c>
      <c r="BA562" s="1">
        <v>17.24469363081808</v>
      </c>
      <c r="BB562" s="2">
        <v>1637495.1972337684</v>
      </c>
      <c r="BC562" s="2">
        <f t="shared" si="63"/>
        <v>-564116.8163827688</v>
      </c>
      <c r="BD562" s="292">
        <f t="shared" si="64"/>
        <v>1.5205874691318062</v>
      </c>
      <c r="BF562" s="170">
        <f t="shared" si="59"/>
        <v>13676.531513323542</v>
      </c>
      <c r="BG562" s="2">
        <f t="shared" si="60"/>
        <v>821087.34295718116</v>
      </c>
      <c r="BI562">
        <f t="shared" si="61"/>
        <v>0</v>
      </c>
      <c r="BJ562" s="95">
        <f t="shared" si="62"/>
        <v>1</v>
      </c>
      <c r="BP562" s="217">
        <f t="shared" si="65"/>
        <v>821087.34295718116</v>
      </c>
    </row>
    <row r="563" spans="1:68">
      <c r="A563" s="11">
        <v>557</v>
      </c>
      <c r="C563" s="27">
        <v>0.92035234538275812</v>
      </c>
      <c r="D563" s="27">
        <v>7.9647654617241881E-2</v>
      </c>
      <c r="E563" s="27">
        <v>0</v>
      </c>
      <c r="F563" s="27">
        <v>0.85450192794161617</v>
      </c>
      <c r="G563" s="27">
        <v>0.14549807205838383</v>
      </c>
      <c r="H563" s="27">
        <v>0</v>
      </c>
      <c r="I563" s="27">
        <v>0.74813783327483974</v>
      </c>
      <c r="J563" s="27">
        <v>0.25186216672516026</v>
      </c>
      <c r="K563" s="27">
        <v>0</v>
      </c>
      <c r="L563" s="27">
        <v>8.0919174495395318E-2</v>
      </c>
      <c r="M563" s="27">
        <v>0.54448636472119338</v>
      </c>
      <c r="N563" s="27">
        <v>0.3745944607834113</v>
      </c>
      <c r="O563" s="27">
        <v>-10.984931026360474</v>
      </c>
      <c r="P563" s="27">
        <v>3.2189154033714674E-2</v>
      </c>
      <c r="Q563" s="27">
        <v>6.5531045078703404E-5</v>
      </c>
      <c r="R563" s="27">
        <v>1.0720238720595743</v>
      </c>
      <c r="S563" s="154"/>
      <c r="T563">
        <v>0.9570125446851977</v>
      </c>
      <c r="U563">
        <v>2.2159698406623871</v>
      </c>
      <c r="V563">
        <v>2.8204109662404178</v>
      </c>
      <c r="W563">
        <v>1</v>
      </c>
      <c r="Y563" s="2">
        <v>239.11058781236812</v>
      </c>
      <c r="Z563" s="2">
        <v>2333.4959620142795</v>
      </c>
      <c r="AA563" s="2">
        <v>1486.0441825028963</v>
      </c>
      <c r="AB563" s="2">
        <v>930.73367620193835</v>
      </c>
      <c r="AC563" s="2">
        <v>445.52187412957585</v>
      </c>
      <c r="AD563" s="2">
        <v>440.05990200154469</v>
      </c>
      <c r="AE563" s="2">
        <v>595.81132118552239</v>
      </c>
      <c r="AF563" s="2">
        <v>1103.5355612274143</v>
      </c>
      <c r="AG563" s="2">
        <v>124.10230900968929</v>
      </c>
      <c r="AH563" s="2">
        <v>464.98869885148571</v>
      </c>
      <c r="AI563" s="2">
        <v>394576.44186439586</v>
      </c>
      <c r="AJ563" s="2">
        <v>361302.9828990706</v>
      </c>
      <c r="AL563" s="27">
        <v>0.91439801218181072</v>
      </c>
      <c r="AM563" s="27">
        <v>0.91766211274799292</v>
      </c>
      <c r="AN563" s="27">
        <v>0.90186693633116333</v>
      </c>
      <c r="AO563" s="27">
        <v>0.90287516941952617</v>
      </c>
      <c r="AP563" s="27">
        <v>0.74667660830799754</v>
      </c>
      <c r="AQ563" s="27">
        <v>0.91439801218181072</v>
      </c>
      <c r="AR563" s="27">
        <v>0.91766211274799292</v>
      </c>
      <c r="AS563" s="27">
        <v>0.90186693633116333</v>
      </c>
      <c r="AT563" s="27">
        <v>0.90287516941952617</v>
      </c>
      <c r="AU563" s="27">
        <v>0.74667660830799754</v>
      </c>
      <c r="AW563" s="1">
        <v>13.748939096466289</v>
      </c>
      <c r="AX563" s="1">
        <v>15.642265693979242</v>
      </c>
      <c r="AY563" s="2">
        <v>1483344.6206978804</v>
      </c>
      <c r="AZ563" s="1">
        <v>15.380571515377344</v>
      </c>
      <c r="BA563" s="1">
        <v>17.274236244373025</v>
      </c>
      <c r="BB563" s="2">
        <v>1114754.3836199844</v>
      </c>
      <c r="BC563" s="2">
        <f t="shared" si="63"/>
        <v>-368590.23707789602</v>
      </c>
      <c r="BD563" s="292">
        <f t="shared" si="64"/>
        <v>1.6316324189110549</v>
      </c>
      <c r="BF563" s="170">
        <f t="shared" si="59"/>
        <v>716485.63473672583</v>
      </c>
      <c r="BG563" s="2">
        <f t="shared" si="60"/>
        <v>1346137.0588403905</v>
      </c>
      <c r="BI563">
        <f t="shared" si="61"/>
        <v>0</v>
      </c>
      <c r="BJ563" s="95">
        <f t="shared" si="62"/>
        <v>1</v>
      </c>
      <c r="BP563" s="217">
        <f t="shared" si="65"/>
        <v>1346137.0588403905</v>
      </c>
    </row>
    <row r="564" spans="1:68">
      <c r="A564" s="11">
        <v>558</v>
      </c>
      <c r="C564" s="27">
        <v>0.9245874279903199</v>
      </c>
      <c r="D564" s="27">
        <v>7.5412572009680115E-2</v>
      </c>
      <c r="E564" s="27">
        <v>0</v>
      </c>
      <c r="F564" s="27">
        <v>0.86209611675559372</v>
      </c>
      <c r="G564" s="27">
        <v>0.13790388324440625</v>
      </c>
      <c r="H564" s="27">
        <v>0</v>
      </c>
      <c r="I564" s="27">
        <v>0.75752774103332232</v>
      </c>
      <c r="J564" s="27">
        <v>0.24247225896667768</v>
      </c>
      <c r="K564" s="27">
        <v>0</v>
      </c>
      <c r="L564" s="27">
        <v>0.15588143036940455</v>
      </c>
      <c r="M564" s="27">
        <v>0.47556781971318679</v>
      </c>
      <c r="N564" s="27">
        <v>0.36855074991740872</v>
      </c>
      <c r="O564" s="27">
        <v>-11.209788035598285</v>
      </c>
      <c r="P564" s="27">
        <v>3.2811091044089517E-2</v>
      </c>
      <c r="Q564" s="27">
        <v>5.3720159793746547E-5</v>
      </c>
      <c r="R564" s="27">
        <v>1.0893723394098247</v>
      </c>
      <c r="S564" s="154"/>
      <c r="T564">
        <v>1.0771988480157069</v>
      </c>
      <c r="U564">
        <v>2.1864434065573128</v>
      </c>
      <c r="V564">
        <v>3.2776551925921793</v>
      </c>
      <c r="W564">
        <v>1</v>
      </c>
      <c r="Y564" s="2">
        <v>204.67729889392339</v>
      </c>
      <c r="Z564" s="2">
        <v>18551.611457233284</v>
      </c>
      <c r="AA564" s="2">
        <v>3571.2559434953878</v>
      </c>
      <c r="AB564" s="2">
        <v>1118.9265507384102</v>
      </c>
      <c r="AC564" s="2">
        <v>1691.5838300589226</v>
      </c>
      <c r="AD564" s="2">
        <v>528.36882948355594</v>
      </c>
      <c r="AE564" s="2">
        <v>618.05921899792259</v>
      </c>
      <c r="AF564" s="2">
        <v>918.01424492347769</v>
      </c>
      <c r="AG564" s="2">
        <v>119.13184390692891</v>
      </c>
      <c r="AH564" s="2">
        <v>254.08405338258964</v>
      </c>
      <c r="AI564" s="2">
        <v>707367.76871561876</v>
      </c>
      <c r="AJ564" s="2">
        <v>666505.84823921707</v>
      </c>
      <c r="AL564" s="27">
        <v>0.91525203270930444</v>
      </c>
      <c r="AM564" s="27">
        <v>0.91093488044975213</v>
      </c>
      <c r="AN564" s="27">
        <v>0.90406463333127574</v>
      </c>
      <c r="AO564" s="27">
        <v>0.88713253441561024</v>
      </c>
      <c r="AP564" s="27">
        <v>0.75453038079135781</v>
      </c>
      <c r="AQ564" s="27">
        <v>0.91525203270930444</v>
      </c>
      <c r="AR564" s="27">
        <v>0.91093488044975213</v>
      </c>
      <c r="AS564" s="27">
        <v>0.90406463333127574</v>
      </c>
      <c r="AT564" s="27">
        <v>0.88713253441561024</v>
      </c>
      <c r="AU564" s="27">
        <v>0.75453038079135781</v>
      </c>
      <c r="AW564" s="1">
        <v>13.537791026265079</v>
      </c>
      <c r="AX564" s="1">
        <v>15.390360130885302</v>
      </c>
      <c r="AY564" s="2">
        <v>2884885.5319169741</v>
      </c>
      <c r="AZ564" s="1">
        <v>15.556046700216582</v>
      </c>
      <c r="BA564" s="1">
        <v>17.429083477786453</v>
      </c>
      <c r="BB564" s="2">
        <v>1841936.3958540808</v>
      </c>
      <c r="BC564" s="2">
        <f t="shared" si="63"/>
        <v>-1042949.1360628933</v>
      </c>
      <c r="BD564" s="292">
        <f t="shared" si="64"/>
        <v>2.0182556739515025</v>
      </c>
      <c r="BF564" s="170">
        <f t="shared" si="59"/>
        <v>-718838.96771456162</v>
      </c>
      <c r="BG564" s="2">
        <f t="shared" si="60"/>
        <v>647031.07618057239</v>
      </c>
      <c r="BI564">
        <f t="shared" si="61"/>
        <v>0</v>
      </c>
      <c r="BJ564" s="95">
        <f t="shared" si="62"/>
        <v>1</v>
      </c>
      <c r="BP564" s="217">
        <f t="shared" si="65"/>
        <v>647031.07618057239</v>
      </c>
    </row>
    <row r="565" spans="1:68">
      <c r="A565" s="11">
        <v>559</v>
      </c>
      <c r="C565" s="27">
        <v>0.92573785591675095</v>
      </c>
      <c r="D565" s="27">
        <v>7.4262144083249035E-2</v>
      </c>
      <c r="E565" s="27">
        <v>0</v>
      </c>
      <c r="F565" s="27">
        <v>0.8587806684468946</v>
      </c>
      <c r="G565" s="27">
        <v>0.14121933155310537</v>
      </c>
      <c r="H565" s="27">
        <v>0</v>
      </c>
      <c r="I565" s="27">
        <v>0.74489935690405484</v>
      </c>
      <c r="J565" s="27">
        <v>0.25510064309594516</v>
      </c>
      <c r="K565" s="27">
        <v>0</v>
      </c>
      <c r="L565" s="27">
        <v>0.13125346663086845</v>
      </c>
      <c r="M565" s="27">
        <v>0.46035269839058385</v>
      </c>
      <c r="N565" s="27">
        <v>0.40839383497854764</v>
      </c>
      <c r="O565" s="27">
        <v>-11.284760605279223</v>
      </c>
      <c r="P565" s="27">
        <v>3.4138213658837187E-2</v>
      </c>
      <c r="Q565" s="27">
        <v>5.2696810208167584E-5</v>
      </c>
      <c r="R565" s="27">
        <v>1.0972709716717823</v>
      </c>
      <c r="S565" s="154"/>
      <c r="T565">
        <v>0.99781775664315309</v>
      </c>
      <c r="U565">
        <v>2.2205188490266403</v>
      </c>
      <c r="V565">
        <v>3.1713762300618602</v>
      </c>
      <c r="W565">
        <v>1</v>
      </c>
      <c r="Y565" s="2">
        <v>1919.870616022695</v>
      </c>
      <c r="Z565" s="2">
        <v>2330.5208751665568</v>
      </c>
      <c r="AA565" s="2">
        <v>1084.4229024333779</v>
      </c>
      <c r="AB565" s="2">
        <v>1949.7030270871321</v>
      </c>
      <c r="AC565" s="2">
        <v>321.15642199368546</v>
      </c>
      <c r="AD565" s="2">
        <v>1408.9578103010356</v>
      </c>
      <c r="AE565" s="2">
        <v>628.0292382157578</v>
      </c>
      <c r="AF565" s="2">
        <v>1189.5491966187437</v>
      </c>
      <c r="AG565" s="2">
        <v>157.47288399389157</v>
      </c>
      <c r="AH565" s="2">
        <v>709.73984741091022</v>
      </c>
      <c r="AI565" s="2">
        <v>436280.60066875955</v>
      </c>
      <c r="AJ565" s="2">
        <v>404074.18590034801</v>
      </c>
      <c r="AL565" s="27">
        <v>0.92391830752232229</v>
      </c>
      <c r="AM565" s="27">
        <v>0.91224518752843575</v>
      </c>
      <c r="AN565" s="27">
        <v>0.90907552409000048</v>
      </c>
      <c r="AO565" s="27">
        <v>0.8451380796168787</v>
      </c>
      <c r="AP565" s="27">
        <v>0.68981135002799254</v>
      </c>
      <c r="AQ565" s="27">
        <v>0.92391830752232229</v>
      </c>
      <c r="AR565" s="27">
        <v>0.91224518752843575</v>
      </c>
      <c r="AS565" s="27">
        <v>0.90907552409000048</v>
      </c>
      <c r="AT565" s="27">
        <v>0.8451380796168787</v>
      </c>
      <c r="AU565" s="27">
        <v>0.68981135002799254</v>
      </c>
      <c r="AW565" s="1">
        <v>13.432055833699003</v>
      </c>
      <c r="AX565" s="1">
        <v>15.346200632653725</v>
      </c>
      <c r="AY565" s="2">
        <v>1472738.7471082604</v>
      </c>
      <c r="AZ565" s="1">
        <v>15.313760957243115</v>
      </c>
      <c r="BA565" s="1">
        <v>17.200159872503395</v>
      </c>
      <c r="BB565" s="2">
        <v>1087419.0030097351</v>
      </c>
      <c r="BC565" s="2">
        <f t="shared" si="63"/>
        <v>-385319.74409852526</v>
      </c>
      <c r="BD565" s="292">
        <f t="shared" si="64"/>
        <v>1.881705123544112</v>
      </c>
      <c r="BF565" s="170">
        <f t="shared" si="59"/>
        <v>676390.18628358026</v>
      </c>
      <c r="BG565" s="2">
        <f t="shared" si="60"/>
        <v>1362782.7501491634</v>
      </c>
      <c r="BI565">
        <f t="shared" si="61"/>
        <v>0</v>
      </c>
      <c r="BJ565" s="95">
        <f t="shared" si="62"/>
        <v>1</v>
      </c>
      <c r="BP565" s="217">
        <f t="shared" si="65"/>
        <v>1362782.7501491634</v>
      </c>
    </row>
    <row r="566" spans="1:68">
      <c r="A566" s="11">
        <v>560</v>
      </c>
      <c r="C566" s="27">
        <v>0.92292117910317206</v>
      </c>
      <c r="D566" s="27">
        <v>7.7078820896827938E-2</v>
      </c>
      <c r="E566" s="27">
        <v>0</v>
      </c>
      <c r="F566" s="27">
        <v>0.8589819641185783</v>
      </c>
      <c r="G566" s="27">
        <v>0.14101803588142175</v>
      </c>
      <c r="H566" s="27">
        <v>0</v>
      </c>
      <c r="I566" s="27">
        <v>0.75483214683860889</v>
      </c>
      <c r="J566" s="27">
        <v>0.24516785316139114</v>
      </c>
      <c r="K566" s="27">
        <v>0</v>
      </c>
      <c r="L566" s="27">
        <v>0.13338688545864585</v>
      </c>
      <c r="M566" s="27">
        <v>0.46839418871164618</v>
      </c>
      <c r="N566" s="27">
        <v>0.39821892582970797</v>
      </c>
      <c r="O566" s="27">
        <v>-11.147019248754576</v>
      </c>
      <c r="P566" s="27">
        <v>3.478340502839148E-2</v>
      </c>
      <c r="Q566" s="27">
        <v>6.2140274438016052E-5</v>
      </c>
      <c r="R566" s="27">
        <v>1.0679201537516441</v>
      </c>
      <c r="S566" s="154"/>
      <c r="T566">
        <v>1.0008508990097595</v>
      </c>
      <c r="U566">
        <v>2.3111328611460027</v>
      </c>
      <c r="V566">
        <v>2.9360537863643867</v>
      </c>
      <c r="W566">
        <v>1</v>
      </c>
      <c r="Y566" s="2">
        <v>580.85958659171388</v>
      </c>
      <c r="Z566" s="2">
        <v>7751.4760066014987</v>
      </c>
      <c r="AA566" s="2">
        <v>98.662658653573132</v>
      </c>
      <c r="AB566" s="2">
        <v>21168.113014003298</v>
      </c>
      <c r="AC566" s="2">
        <v>517.03522172760483</v>
      </c>
      <c r="AD566" s="2">
        <v>5160.0382295292138</v>
      </c>
      <c r="AE566" s="2">
        <v>550.8784961426793</v>
      </c>
      <c r="AF566" s="2">
        <v>822.34811758298008</v>
      </c>
      <c r="AG566" s="2">
        <v>117.71198074437318</v>
      </c>
      <c r="AH566" s="2">
        <v>467.18093265011618</v>
      </c>
      <c r="AI566" s="2">
        <v>647887.80710448138</v>
      </c>
      <c r="AJ566" s="2">
        <v>619076.89135610755</v>
      </c>
      <c r="AL566" s="27">
        <v>0.92585363450273117</v>
      </c>
      <c r="AM566" s="27">
        <v>0.91269797622882098</v>
      </c>
      <c r="AN566" s="27">
        <v>0.90962775904490323</v>
      </c>
      <c r="AO566" s="27">
        <v>0.87637414669081082</v>
      </c>
      <c r="AP566" s="27">
        <v>0.69907799692011929</v>
      </c>
      <c r="AQ566" s="27">
        <v>0.92585363450273117</v>
      </c>
      <c r="AR566" s="27">
        <v>0.91269797622882098</v>
      </c>
      <c r="AS566" s="27">
        <v>0.90962775904490323</v>
      </c>
      <c r="AT566" s="27">
        <v>0.87637414669081082</v>
      </c>
      <c r="AU566" s="27">
        <v>0.69907799692011929</v>
      </c>
      <c r="AW566" s="1">
        <v>13.520681479993131</v>
      </c>
      <c r="AX566" s="1">
        <v>15.43179102350544</v>
      </c>
      <c r="AY566" s="2">
        <v>2462759.5599846081</v>
      </c>
      <c r="AZ566" s="1">
        <v>15.417134827184011</v>
      </c>
      <c r="BA566" s="1">
        <v>17.292302828075449</v>
      </c>
      <c r="BB566" s="2">
        <v>2083646.6636063608</v>
      </c>
      <c r="BC566" s="2">
        <f t="shared" si="63"/>
        <v>-379112.8963782473</v>
      </c>
      <c r="BD566" s="292">
        <f t="shared" si="64"/>
        <v>1.8964533471908798</v>
      </c>
      <c r="BF566" s="170">
        <f t="shared" si="59"/>
        <v>-299450.52318570716</v>
      </c>
      <c r="BG566" s="2">
        <f t="shared" si="60"/>
        <v>383094.90874308092</v>
      </c>
      <c r="BI566">
        <f t="shared" si="61"/>
        <v>0</v>
      </c>
      <c r="BJ566" s="95">
        <f t="shared" si="62"/>
        <v>1</v>
      </c>
      <c r="BP566" s="217">
        <f t="shared" si="65"/>
        <v>383094.90874308092</v>
      </c>
    </row>
    <row r="567" spans="1:68">
      <c r="A567" s="11">
        <v>561</v>
      </c>
      <c r="C567" s="27">
        <v>0.9202966493144572</v>
      </c>
      <c r="D567" s="27">
        <v>7.9703350685542795E-2</v>
      </c>
      <c r="E567" s="27">
        <v>0</v>
      </c>
      <c r="F567" s="27">
        <v>0.85720171931354461</v>
      </c>
      <c r="G567" s="27">
        <v>0.14279828068645542</v>
      </c>
      <c r="H567" s="27">
        <v>0</v>
      </c>
      <c r="I567" s="27">
        <v>0.75800305514244493</v>
      </c>
      <c r="J567" s="27">
        <v>0.24199694485755505</v>
      </c>
      <c r="K567" s="27">
        <v>0</v>
      </c>
      <c r="L567" s="27">
        <v>0.12039402660252019</v>
      </c>
      <c r="M567" s="27">
        <v>0.541749375246252</v>
      </c>
      <c r="N567" s="27">
        <v>0.33785659815122782</v>
      </c>
      <c r="O567" s="27">
        <v>-11.100094740361479</v>
      </c>
      <c r="P567" s="27">
        <v>3.2853432270084248E-2</v>
      </c>
      <c r="Q567" s="27">
        <v>6.0054949790430513E-5</v>
      </c>
      <c r="R567" s="27">
        <v>1.0803026252132761</v>
      </c>
      <c r="S567" s="154"/>
      <c r="T567">
        <v>0.92004692335141502</v>
      </c>
      <c r="U567">
        <v>2.3015236988109042</v>
      </c>
      <c r="V567">
        <v>3.0188050625111562</v>
      </c>
      <c r="W567">
        <v>1</v>
      </c>
      <c r="Y567" s="2">
        <v>84.579834267091599</v>
      </c>
      <c r="Z567" s="2">
        <v>2262.7889079512538</v>
      </c>
      <c r="AA567" s="2">
        <v>2448.2917888261168</v>
      </c>
      <c r="AB567" s="2">
        <v>525.10588659649716</v>
      </c>
      <c r="AC567" s="2">
        <v>1434.6115889139303</v>
      </c>
      <c r="AD567" s="2">
        <v>703.61347725634687</v>
      </c>
      <c r="AE567" s="2">
        <v>616.99331419068301</v>
      </c>
      <c r="AF567" s="2">
        <v>998.9115988993085</v>
      </c>
      <c r="AG567" s="2">
        <v>138.86695581065928</v>
      </c>
      <c r="AH567" s="2">
        <v>349.1643083342891</v>
      </c>
      <c r="AI567" s="2">
        <v>473533.53541483259</v>
      </c>
      <c r="AJ567" s="2">
        <v>431986.22600746603</v>
      </c>
      <c r="AL567" s="27">
        <v>0.91821101755146939</v>
      </c>
      <c r="AM567" s="27">
        <v>0.92051901567446337</v>
      </c>
      <c r="AN567" s="27">
        <v>0.90479367311192971</v>
      </c>
      <c r="AO567" s="27">
        <v>0.89272702852003616</v>
      </c>
      <c r="AP567" s="27">
        <v>0.7287314329233876</v>
      </c>
      <c r="AQ567" s="27">
        <v>0.91821101755146939</v>
      </c>
      <c r="AR567" s="27">
        <v>0.92051901567446337</v>
      </c>
      <c r="AS567" s="27">
        <v>0.90479367311192971</v>
      </c>
      <c r="AT567" s="27">
        <v>0.89272702852003616</v>
      </c>
      <c r="AU567" s="27">
        <v>0.7287314329233876</v>
      </c>
      <c r="AW567" s="1">
        <v>13.921378722834076</v>
      </c>
      <c r="AX567" s="1">
        <v>15.871063212003611</v>
      </c>
      <c r="AY567" s="2">
        <v>1819020.2555965392</v>
      </c>
      <c r="AZ567" s="1">
        <v>15.530944303007143</v>
      </c>
      <c r="BA567" s="1">
        <v>17.447981110734545</v>
      </c>
      <c r="BB567" s="2">
        <v>1357791.6192097594</v>
      </c>
      <c r="BC567" s="2">
        <f t="shared" si="63"/>
        <v>-461228.63638677984</v>
      </c>
      <c r="BD567" s="292">
        <f t="shared" si="64"/>
        <v>1.6095655801730668</v>
      </c>
      <c r="BF567" s="170">
        <f t="shared" si="59"/>
        <v>408400.34005691274</v>
      </c>
      <c r="BG567" s="2">
        <f t="shared" si="60"/>
        <v>1127159.4692713832</v>
      </c>
      <c r="BI567">
        <f t="shared" si="61"/>
        <v>0</v>
      </c>
      <c r="BJ567" s="95">
        <f t="shared" si="62"/>
        <v>1</v>
      </c>
      <c r="BP567" s="217">
        <f t="shared" si="65"/>
        <v>1127159.4692713832</v>
      </c>
    </row>
    <row r="568" spans="1:68">
      <c r="A568" s="11">
        <v>562</v>
      </c>
      <c r="C568" s="27">
        <v>0.92190591013339285</v>
      </c>
      <c r="D568" s="27">
        <v>7.8094089866607153E-2</v>
      </c>
      <c r="E568" s="27">
        <v>0</v>
      </c>
      <c r="F568" s="27">
        <v>0.85687629351142569</v>
      </c>
      <c r="G568" s="27">
        <v>0.14312370648857431</v>
      </c>
      <c r="H568" s="27">
        <v>0</v>
      </c>
      <c r="I568" s="27">
        <v>0.74404164192858468</v>
      </c>
      <c r="J568" s="27">
        <v>0.25595835807141532</v>
      </c>
      <c r="K568" s="27">
        <v>0</v>
      </c>
      <c r="L568" s="27">
        <v>2.6328522989484959E-2</v>
      </c>
      <c r="M568" s="27">
        <v>0.54381671484706695</v>
      </c>
      <c r="N568" s="27">
        <v>0.42985476216344809</v>
      </c>
      <c r="O568" s="27">
        <v>-11.491616096039616</v>
      </c>
      <c r="P568" s="27">
        <v>3.6996730556974743E-2</v>
      </c>
      <c r="Q568" s="27">
        <v>4.831572829934065E-5</v>
      </c>
      <c r="R568" s="27">
        <v>1.0982051001837783</v>
      </c>
      <c r="S568" s="154"/>
      <c r="T568">
        <v>1.1323986235243493</v>
      </c>
      <c r="U568">
        <v>2.2592172073565044</v>
      </c>
      <c r="V568">
        <v>3.271355576949333</v>
      </c>
      <c r="W568">
        <v>1</v>
      </c>
      <c r="Y568" s="2">
        <v>849.23461385049302</v>
      </c>
      <c r="Z568" s="2">
        <v>2705.2960642184198</v>
      </c>
      <c r="AA568" s="2">
        <v>1266.1121670079708</v>
      </c>
      <c r="AB568" s="2">
        <v>4341.2744731161893</v>
      </c>
      <c r="AC568" s="2">
        <v>919.08866967339054</v>
      </c>
      <c r="AD568" s="2">
        <v>162.88683963710596</v>
      </c>
      <c r="AE568" s="2">
        <v>514.95434365024062</v>
      </c>
      <c r="AF568" s="2">
        <v>892.02030965522317</v>
      </c>
      <c r="AG568" s="2">
        <v>134.2569121131192</v>
      </c>
      <c r="AH568" s="2">
        <v>649.94692315875329</v>
      </c>
      <c r="AI568" s="2">
        <v>512901.58357271034</v>
      </c>
      <c r="AJ568" s="2">
        <v>486412.32837657921</v>
      </c>
      <c r="AL568" s="27">
        <v>0.9175022416046168</v>
      </c>
      <c r="AM568" s="27">
        <v>0.90928339537062597</v>
      </c>
      <c r="AN568" s="27">
        <v>0.89774274964175016</v>
      </c>
      <c r="AO568" s="27">
        <v>0.89744707233360943</v>
      </c>
      <c r="AP568" s="27">
        <v>0.69365980574353048</v>
      </c>
      <c r="AQ568" s="27">
        <v>0.9175022416046168</v>
      </c>
      <c r="AR568" s="27">
        <v>0.90928339537062597</v>
      </c>
      <c r="AS568" s="27">
        <v>0.89774274964175016</v>
      </c>
      <c r="AT568" s="27">
        <v>0.89744707233360943</v>
      </c>
      <c r="AU568" s="27">
        <v>0.69365980574353048</v>
      </c>
      <c r="AW568" s="1">
        <v>12.945868381876281</v>
      </c>
      <c r="AX568" s="1">
        <v>14.983029538031838</v>
      </c>
      <c r="AY568" s="2">
        <v>2085522.9285247885</v>
      </c>
      <c r="AZ568" s="1">
        <v>15.206587431942578</v>
      </c>
      <c r="BA568" s="1">
        <v>17.207253861437724</v>
      </c>
      <c r="BB568" s="2">
        <v>1454856.5458664573</v>
      </c>
      <c r="BC568" s="2">
        <f t="shared" si="63"/>
        <v>-630666.38265833119</v>
      </c>
      <c r="BD568" s="292">
        <f t="shared" si="64"/>
        <v>2.2607190500662977</v>
      </c>
      <c r="BF568" s="170">
        <f t="shared" si="59"/>
        <v>-14183.98742458364</v>
      </c>
      <c r="BG568" s="2">
        <f t="shared" si="60"/>
        <v>978197.44324435527</v>
      </c>
      <c r="BI568">
        <f t="shared" si="61"/>
        <v>0</v>
      </c>
      <c r="BJ568" s="95">
        <f t="shared" si="62"/>
        <v>1</v>
      </c>
      <c r="BP568" s="217">
        <f t="shared" si="65"/>
        <v>978197.44324435527</v>
      </c>
    </row>
    <row r="569" spans="1:68">
      <c r="A569" s="11">
        <v>563</v>
      </c>
      <c r="C569" s="27">
        <v>0.9236675462528785</v>
      </c>
      <c r="D569" s="27">
        <v>7.633245374712147E-2</v>
      </c>
      <c r="E569" s="27">
        <v>0</v>
      </c>
      <c r="F569" s="27">
        <v>0.86040633674836942</v>
      </c>
      <c r="G569" s="27">
        <v>0.13959366325163058</v>
      </c>
      <c r="H569" s="27">
        <v>0</v>
      </c>
      <c r="I569" s="27">
        <v>0.75113263832810295</v>
      </c>
      <c r="J569" s="27">
        <v>0.24886736167189707</v>
      </c>
      <c r="K569" s="27">
        <v>0</v>
      </c>
      <c r="L569" s="27">
        <v>0.23000217200425305</v>
      </c>
      <c r="M569" s="27">
        <v>0.42652580052496641</v>
      </c>
      <c r="N569" s="27">
        <v>0.34347202747078059</v>
      </c>
      <c r="O569" s="27">
        <v>-11.413939323522529</v>
      </c>
      <c r="P569" s="27">
        <v>3.6292108096387041E-2</v>
      </c>
      <c r="Q569" s="27">
        <v>5.0695633087445323E-5</v>
      </c>
      <c r="R569" s="27">
        <v>1.0971418003222058</v>
      </c>
      <c r="S569" s="154"/>
      <c r="T569">
        <v>1.0448049016194296</v>
      </c>
      <c r="U569">
        <v>2.1820349789764291</v>
      </c>
      <c r="V569">
        <v>3.0352794093081306</v>
      </c>
      <c r="W569">
        <v>1</v>
      </c>
      <c r="Y569" s="2">
        <v>660.16158625142646</v>
      </c>
      <c r="Z569" s="2">
        <v>38.89113407738563</v>
      </c>
      <c r="AA569" s="2">
        <v>1758.5967845949831</v>
      </c>
      <c r="AB569" s="2">
        <v>8208.9314173256498</v>
      </c>
      <c r="AC569" s="2">
        <v>1240.3487406199022</v>
      </c>
      <c r="AD569" s="2">
        <v>554.34836559696362</v>
      </c>
      <c r="AE569" s="2">
        <v>617.04032923571629</v>
      </c>
      <c r="AF569" s="2">
        <v>1185.8693719912098</v>
      </c>
      <c r="AG569" s="2">
        <v>108.70907603820743</v>
      </c>
      <c r="AH569" s="2">
        <v>222.53650281113133</v>
      </c>
      <c r="AI569" s="2">
        <v>506506.95515926828</v>
      </c>
      <c r="AJ569" s="2">
        <v>487609.45051256602</v>
      </c>
      <c r="AL569" s="27">
        <v>0.91915866021739223</v>
      </c>
      <c r="AM569" s="27">
        <v>0.91715828257878851</v>
      </c>
      <c r="AN569" s="27">
        <v>0.91129724223769981</v>
      </c>
      <c r="AO569" s="27">
        <v>0.87462073345305447</v>
      </c>
      <c r="AP569" s="27">
        <v>0.65689426794674488</v>
      </c>
      <c r="AQ569" s="27">
        <v>0.91915866021739223</v>
      </c>
      <c r="AR569" s="27">
        <v>0.91715828257878851</v>
      </c>
      <c r="AS569" s="27">
        <v>0.91129724223769981</v>
      </c>
      <c r="AT569" s="27">
        <v>0.87462073345305447</v>
      </c>
      <c r="AU569" s="27">
        <v>0.65689426794674488</v>
      </c>
      <c r="AW569" s="1">
        <v>13.332172781522756</v>
      </c>
      <c r="AX569" s="1">
        <v>15.424482426768709</v>
      </c>
      <c r="AY569" s="2">
        <v>1860849.7677344934</v>
      </c>
      <c r="AZ569" s="1">
        <v>15.340324315639879</v>
      </c>
      <c r="BA569" s="1">
        <v>17.344004561724947</v>
      </c>
      <c r="BB569" s="2">
        <v>1450064.1565382774</v>
      </c>
      <c r="BC569" s="2">
        <f t="shared" si="63"/>
        <v>-410785.61119621596</v>
      </c>
      <c r="BD569" s="292">
        <f t="shared" si="64"/>
        <v>2.0081515341171237</v>
      </c>
      <c r="BF569" s="170">
        <f t="shared" si="59"/>
        <v>272297.8773091475</v>
      </c>
      <c r="BG569" s="2">
        <f t="shared" si="60"/>
        <v>1004387.7339641033</v>
      </c>
      <c r="BI569">
        <f t="shared" si="61"/>
        <v>0</v>
      </c>
      <c r="BJ569" s="95">
        <f t="shared" si="62"/>
        <v>1</v>
      </c>
      <c r="BP569" s="217">
        <f t="shared" si="65"/>
        <v>1004387.7339641033</v>
      </c>
    </row>
    <row r="570" spans="1:68">
      <c r="A570" s="11">
        <v>564</v>
      </c>
      <c r="C570" s="27">
        <v>0.92684031811447465</v>
      </c>
      <c r="D570" s="27">
        <v>7.3159681885525407E-2</v>
      </c>
      <c r="E570" s="27">
        <v>0</v>
      </c>
      <c r="F570" s="27">
        <v>0.85442522382625707</v>
      </c>
      <c r="G570" s="27">
        <v>0.14557477617374293</v>
      </c>
      <c r="H570" s="27">
        <v>0</v>
      </c>
      <c r="I570" s="27">
        <v>0.75081685218538741</v>
      </c>
      <c r="J570" s="27">
        <v>0.24918314781461259</v>
      </c>
      <c r="K570" s="27">
        <v>0</v>
      </c>
      <c r="L570" s="27">
        <v>0.18185987954814564</v>
      </c>
      <c r="M570" s="27">
        <v>0.45024464005580028</v>
      </c>
      <c r="N570" s="27">
        <v>0.36789548039605413</v>
      </c>
      <c r="O570" s="27">
        <v>-11.20333300230636</v>
      </c>
      <c r="P570" s="27">
        <v>3.3793257883142976E-2</v>
      </c>
      <c r="Q570" s="27">
        <v>5.6345049659440029E-5</v>
      </c>
      <c r="R570" s="27">
        <v>1.0892279657001585</v>
      </c>
      <c r="S570" s="154"/>
      <c r="T570">
        <v>1.0258550663160682</v>
      </c>
      <c r="U570">
        <v>2.2817434579903955</v>
      </c>
      <c r="V570">
        <v>2.8865582682274171</v>
      </c>
      <c r="W570">
        <v>1</v>
      </c>
      <c r="Y570" s="2">
        <v>79.601002832766682</v>
      </c>
      <c r="Z570" s="2">
        <v>7837.5434407740413</v>
      </c>
      <c r="AA570" s="2">
        <v>1223.4528005573457</v>
      </c>
      <c r="AB570" s="2">
        <v>8606.9672591720628</v>
      </c>
      <c r="AC570" s="2">
        <v>2145.5573013214298</v>
      </c>
      <c r="AD570" s="2">
        <v>388.81513787264436</v>
      </c>
      <c r="AE570" s="2">
        <v>550.19495508832131</v>
      </c>
      <c r="AF570" s="2">
        <v>1012.7207476041815</v>
      </c>
      <c r="AG570" s="2">
        <v>150.24568183771493</v>
      </c>
      <c r="AH570" s="2">
        <v>658.41373682298331</v>
      </c>
      <c r="AI570" s="2">
        <v>738093.19688186259</v>
      </c>
      <c r="AJ570" s="2">
        <v>711797.31709013344</v>
      </c>
      <c r="AL570" s="27">
        <v>0.9129058764140533</v>
      </c>
      <c r="AM570" s="27">
        <v>0.91467154816410801</v>
      </c>
      <c r="AN570" s="27">
        <v>0.91123057622339287</v>
      </c>
      <c r="AO570" s="27">
        <v>0.83991106622952905</v>
      </c>
      <c r="AP570" s="27">
        <v>0.75076325108696085</v>
      </c>
      <c r="AQ570" s="27">
        <v>0.9129058764140533</v>
      </c>
      <c r="AR570" s="27">
        <v>0.91467154816410801</v>
      </c>
      <c r="AS570" s="27">
        <v>0.91123057622339287</v>
      </c>
      <c r="AT570" s="27">
        <v>0.83991106622952905</v>
      </c>
      <c r="AU570" s="27">
        <v>0.75076325108696085</v>
      </c>
      <c r="AW570" s="1">
        <v>13.578353480324331</v>
      </c>
      <c r="AX570" s="1">
        <v>15.452221975765317</v>
      </c>
      <c r="AY570" s="2">
        <v>2723868.4763648636</v>
      </c>
      <c r="AZ570" s="1">
        <v>15.436261077164382</v>
      </c>
      <c r="BA570" s="1">
        <v>17.31550774921401</v>
      </c>
      <c r="BB570" s="2">
        <v>1988323.289812163</v>
      </c>
      <c r="BC570" s="2">
        <f t="shared" si="63"/>
        <v>-735545.18655270059</v>
      </c>
      <c r="BD570" s="292">
        <f t="shared" si="64"/>
        <v>1.8579075968400502</v>
      </c>
      <c r="BF570" s="170">
        <f t="shared" si="59"/>
        <v>-551331.91951297037</v>
      </c>
      <c r="BG570" s="2">
        <f t="shared" si="60"/>
        <v>481478.48253413802</v>
      </c>
      <c r="BI570">
        <f t="shared" si="61"/>
        <v>0</v>
      </c>
      <c r="BJ570" s="95">
        <f t="shared" si="62"/>
        <v>1</v>
      </c>
      <c r="BP570" s="217">
        <f t="shared" si="65"/>
        <v>481478.48253413802</v>
      </c>
    </row>
    <row r="571" spans="1:68">
      <c r="A571" s="11">
        <v>565</v>
      </c>
      <c r="C571" s="27">
        <v>0.9221516355445244</v>
      </c>
      <c r="D571" s="27">
        <v>7.7848364455475605E-2</v>
      </c>
      <c r="E571" s="27">
        <v>0</v>
      </c>
      <c r="F571" s="27">
        <v>0.85623512576279071</v>
      </c>
      <c r="G571" s="27">
        <v>0.14376487423720929</v>
      </c>
      <c r="H571" s="27">
        <v>0</v>
      </c>
      <c r="I571" s="27">
        <v>0.75050483490446396</v>
      </c>
      <c r="J571" s="27">
        <v>0.24949516509553601</v>
      </c>
      <c r="K571" s="27">
        <v>0</v>
      </c>
      <c r="L571" s="27">
        <v>0.19163913947380989</v>
      </c>
      <c r="M571" s="27">
        <v>0.44621206172638916</v>
      </c>
      <c r="N571" s="27">
        <v>0.36214879879980094</v>
      </c>
      <c r="O571" s="27">
        <v>-11.255932182094789</v>
      </c>
      <c r="P571" s="27">
        <v>3.6786605164220276E-2</v>
      </c>
      <c r="Q571" s="27">
        <v>6.0619449641828108E-5</v>
      </c>
      <c r="R571" s="27">
        <v>1.0757609669127042</v>
      </c>
      <c r="S571" s="154"/>
      <c r="T571">
        <v>1.0405209040033772</v>
      </c>
      <c r="U571">
        <v>2.2465771086648645</v>
      </c>
      <c r="V571">
        <v>3.3481073128471328</v>
      </c>
      <c r="W571">
        <v>1</v>
      </c>
      <c r="Y571" s="2">
        <v>442.73259798618312</v>
      </c>
      <c r="Z571" s="2">
        <v>594.17794456033221</v>
      </c>
      <c r="AA571" s="2">
        <v>1459.9965740872608</v>
      </c>
      <c r="AB571" s="2">
        <v>2426.7134242138886</v>
      </c>
      <c r="AC571" s="2">
        <v>1249.7009605230487</v>
      </c>
      <c r="AD571" s="2">
        <v>3030.9954180180775</v>
      </c>
      <c r="AE571" s="2">
        <v>583.63335231426618</v>
      </c>
      <c r="AF571" s="2">
        <v>964.07872912642131</v>
      </c>
      <c r="AG571" s="2">
        <v>107.55105022764246</v>
      </c>
      <c r="AH571" s="2">
        <v>585.60475818825637</v>
      </c>
      <c r="AI571" s="2">
        <v>413074.61634191533</v>
      </c>
      <c r="AJ571" s="2">
        <v>378079.9579546288</v>
      </c>
      <c r="AL571" s="27">
        <v>0.91404103952986071</v>
      </c>
      <c r="AM571" s="27">
        <v>0.91957107941650806</v>
      </c>
      <c r="AN571" s="27">
        <v>0.90723327880634208</v>
      </c>
      <c r="AO571" s="27">
        <v>0.88876025349700916</v>
      </c>
      <c r="AP571" s="27">
        <v>0.66955250031691205</v>
      </c>
      <c r="AQ571" s="27">
        <v>0.91404103952986071</v>
      </c>
      <c r="AR571" s="27">
        <v>0.91957107941650806</v>
      </c>
      <c r="AS571" s="27">
        <v>0.90723327880634208</v>
      </c>
      <c r="AT571" s="27">
        <v>0.88876025349700916</v>
      </c>
      <c r="AU571" s="27">
        <v>0.66955250031691205</v>
      </c>
      <c r="AW571" s="1">
        <v>13.169638432055306</v>
      </c>
      <c r="AX571" s="1">
        <v>15.268197732541621</v>
      </c>
      <c r="AY571" s="2">
        <v>1508035.3430099795</v>
      </c>
      <c r="AZ571" s="1">
        <v>15.235261988873416</v>
      </c>
      <c r="BA571" s="1">
        <v>17.2584790935095</v>
      </c>
      <c r="BB571" s="2">
        <v>1144722.9362665399</v>
      </c>
      <c r="BC571" s="2">
        <f t="shared" si="63"/>
        <v>-363312.40674343961</v>
      </c>
      <c r="BD571" s="292">
        <f t="shared" si="64"/>
        <v>2.0656235568181103</v>
      </c>
      <c r="BF571" s="170">
        <f t="shared" si="59"/>
        <v>599106.80611886969</v>
      </c>
      <c r="BG571" s="2">
        <f t="shared" si="60"/>
        <v>1292918.9819532067</v>
      </c>
      <c r="BI571">
        <f t="shared" si="61"/>
        <v>0</v>
      </c>
      <c r="BJ571" s="95">
        <f t="shared" si="62"/>
        <v>1</v>
      </c>
      <c r="BP571" s="217">
        <f t="shared" si="65"/>
        <v>1292918.9819532067</v>
      </c>
    </row>
    <row r="572" spans="1:68">
      <c r="A572" s="11">
        <v>566</v>
      </c>
      <c r="C572" s="27">
        <v>0.92700042926177095</v>
      </c>
      <c r="D572" s="27">
        <v>7.2999570738229061E-2</v>
      </c>
      <c r="E572" s="27">
        <v>0</v>
      </c>
      <c r="F572" s="27">
        <v>0.85247843398407208</v>
      </c>
      <c r="G572" s="27">
        <v>0.14752156601592792</v>
      </c>
      <c r="H572" s="27">
        <v>0</v>
      </c>
      <c r="I572" s="27">
        <v>0.75373864600546003</v>
      </c>
      <c r="J572" s="27">
        <v>0.24626135399453991</v>
      </c>
      <c r="K572" s="27">
        <v>0</v>
      </c>
      <c r="L572" s="27">
        <v>0.21386096559635726</v>
      </c>
      <c r="M572" s="27">
        <v>0.45159225048667262</v>
      </c>
      <c r="N572" s="27">
        <v>0.33454678391697013</v>
      </c>
      <c r="O572" s="27">
        <v>-11.01007242167187</v>
      </c>
      <c r="P572" s="27">
        <v>3.331025499419317E-2</v>
      </c>
      <c r="Q572" s="27">
        <v>6.6985008863426862E-5</v>
      </c>
      <c r="R572" s="27">
        <v>1.0689555244726241</v>
      </c>
      <c r="S572" s="154"/>
      <c r="T572">
        <v>1.0682180315769683</v>
      </c>
      <c r="U572">
        <v>2.2359069244868852</v>
      </c>
      <c r="V572">
        <v>2.8748064117472367</v>
      </c>
      <c r="W572">
        <v>1</v>
      </c>
      <c r="Y572" s="2">
        <v>1902.6442554819532</v>
      </c>
      <c r="Z572" s="2">
        <v>4648.631616210534</v>
      </c>
      <c r="AA572" s="2">
        <v>1231.9359879210758</v>
      </c>
      <c r="AB572" s="2">
        <v>13498.870234885531</v>
      </c>
      <c r="AC572" s="2">
        <v>1282.2816506259296</v>
      </c>
      <c r="AD572" s="2">
        <v>467.00555279646272</v>
      </c>
      <c r="AE572" s="2">
        <v>534.28978930935727</v>
      </c>
      <c r="AF572" s="2">
        <v>914.06740086182879</v>
      </c>
      <c r="AG572" s="2">
        <v>124.41147423201305</v>
      </c>
      <c r="AH572" s="2">
        <v>485.05503312934206</v>
      </c>
      <c r="AI572" s="2">
        <v>420125.53131590754</v>
      </c>
      <c r="AJ572" s="2">
        <v>384945.56697451317</v>
      </c>
      <c r="AL572" s="27">
        <v>0.90822805313878685</v>
      </c>
      <c r="AM572" s="27">
        <v>0.91911373404824026</v>
      </c>
      <c r="AN572" s="27">
        <v>0.90919403127697929</v>
      </c>
      <c r="AO572" s="27">
        <v>0.89485554277633139</v>
      </c>
      <c r="AP572" s="27">
        <v>0.74334592134468203</v>
      </c>
      <c r="AQ572" s="27">
        <v>0.90822805313878685</v>
      </c>
      <c r="AR572" s="27">
        <v>0.91911373404824026</v>
      </c>
      <c r="AS572" s="27">
        <v>0.90919403127697929</v>
      </c>
      <c r="AT572" s="27">
        <v>0.89485554277633139</v>
      </c>
      <c r="AU572" s="27">
        <v>0.74334592134468203</v>
      </c>
      <c r="AW572" s="1">
        <v>13.59800322876772</v>
      </c>
      <c r="AX572" s="1">
        <v>15.533277403049786</v>
      </c>
      <c r="AY572" s="2">
        <v>1606399.1787376497</v>
      </c>
      <c r="AZ572" s="1">
        <v>15.51033677628855</v>
      </c>
      <c r="BA572" s="1">
        <v>17.43691335541029</v>
      </c>
      <c r="BB572" s="2">
        <v>1298057.2973325406</v>
      </c>
      <c r="BC572" s="2">
        <f t="shared" si="63"/>
        <v>-308341.88140510907</v>
      </c>
      <c r="BD572" s="292">
        <f t="shared" si="64"/>
        <v>1.9123335475208307</v>
      </c>
      <c r="BF572" s="170">
        <f t="shared" si="59"/>
        <v>569281.33786518546</v>
      </c>
      <c r="BG572" s="2">
        <f t="shared" si="60"/>
        <v>1183596.5868736273</v>
      </c>
      <c r="BI572">
        <f t="shared" si="61"/>
        <v>0</v>
      </c>
      <c r="BJ572" s="95">
        <f t="shared" si="62"/>
        <v>1</v>
      </c>
      <c r="BP572" s="217">
        <f t="shared" si="65"/>
        <v>1183596.5868736273</v>
      </c>
    </row>
    <row r="573" spans="1:68">
      <c r="A573" s="11">
        <v>567</v>
      </c>
      <c r="C573" s="27">
        <v>0.92373412524597731</v>
      </c>
      <c r="D573" s="27">
        <v>7.6265874754022647E-2</v>
      </c>
      <c r="E573" s="27">
        <v>0</v>
      </c>
      <c r="F573" s="27">
        <v>0.86653115541411152</v>
      </c>
      <c r="G573" s="27">
        <v>0.13346884458588848</v>
      </c>
      <c r="H573" s="27">
        <v>0</v>
      </c>
      <c r="I573" s="27">
        <v>0.75028125279840285</v>
      </c>
      <c r="J573" s="27">
        <v>0.2497187472015972</v>
      </c>
      <c r="K573" s="27">
        <v>0</v>
      </c>
      <c r="L573" s="27">
        <v>5.0314011574524864E-2</v>
      </c>
      <c r="M573" s="27">
        <v>0.56323687642953035</v>
      </c>
      <c r="N573" s="27">
        <v>0.38644911199594478</v>
      </c>
      <c r="O573" s="27">
        <v>-11.223200174363029</v>
      </c>
      <c r="P573" s="27">
        <v>3.4714818055815472E-2</v>
      </c>
      <c r="Q573" s="27">
        <v>5.741655876476534E-5</v>
      </c>
      <c r="R573" s="27">
        <v>1.0775978962999202</v>
      </c>
      <c r="S573" s="154"/>
      <c r="T573">
        <v>0.99223523095039201</v>
      </c>
      <c r="U573">
        <v>2.2141028870619142</v>
      </c>
      <c r="V573">
        <v>3.041451391934177</v>
      </c>
      <c r="W573">
        <v>1</v>
      </c>
      <c r="Y573" s="2">
        <v>839.83587198180817</v>
      </c>
      <c r="Z573" s="2">
        <v>5877.3038126061156</v>
      </c>
      <c r="AA573" s="2">
        <v>1999.9496059437865</v>
      </c>
      <c r="AB573" s="2">
        <v>2254.2220118813243</v>
      </c>
      <c r="AC573" s="2">
        <v>402.06704561961169</v>
      </c>
      <c r="AD573" s="2">
        <v>1097.0867799503476</v>
      </c>
      <c r="AE573" s="2">
        <v>554.05371340628596</v>
      </c>
      <c r="AF573" s="2">
        <v>1016.4035769550303</v>
      </c>
      <c r="AG573" s="2">
        <v>95.472634189669577</v>
      </c>
      <c r="AH573" s="2">
        <v>703.10877131041832</v>
      </c>
      <c r="AI573" s="2">
        <v>412675.23467803502</v>
      </c>
      <c r="AJ573" s="2">
        <v>376736.34385616914</v>
      </c>
      <c r="AL573" s="27">
        <v>0.91663549004807499</v>
      </c>
      <c r="AM573" s="27">
        <v>0.91980242940520884</v>
      </c>
      <c r="AN573" s="27">
        <v>0.91829438518087658</v>
      </c>
      <c r="AO573" s="27">
        <v>0.86201390310501202</v>
      </c>
      <c r="AP573" s="27">
        <v>0.67520473634004108</v>
      </c>
      <c r="AQ573" s="27">
        <v>0.91663549004807499</v>
      </c>
      <c r="AR573" s="27">
        <v>0.91980242940520884</v>
      </c>
      <c r="AS573" s="27">
        <v>0.91829438518087658</v>
      </c>
      <c r="AT573" s="27">
        <v>0.86201390310501202</v>
      </c>
      <c r="AU573" s="27">
        <v>0.67520473634004108</v>
      </c>
      <c r="AW573" s="1">
        <v>13.667458387818078</v>
      </c>
      <c r="AX573" s="1">
        <v>15.805951989570465</v>
      </c>
      <c r="AY573" s="2">
        <v>1633103.7750000521</v>
      </c>
      <c r="AZ573" s="1">
        <v>15.512218371593098</v>
      </c>
      <c r="BA573" s="1">
        <v>17.543127220218189</v>
      </c>
      <c r="BB573" s="2">
        <v>1180455.2347868884</v>
      </c>
      <c r="BC573" s="2">
        <f t="shared" si="63"/>
        <v>-452648.54021316371</v>
      </c>
      <c r="BD573" s="292">
        <f t="shared" si="64"/>
        <v>1.8447599837750204</v>
      </c>
      <c r="BF573" s="170">
        <f t="shared" si="59"/>
        <v>553689.56705084024</v>
      </c>
      <c r="BG573" s="2">
        <f t="shared" si="60"/>
        <v>1301499.7046680076</v>
      </c>
      <c r="BI573">
        <f t="shared" si="61"/>
        <v>0</v>
      </c>
      <c r="BJ573" s="95">
        <f t="shared" si="62"/>
        <v>1</v>
      </c>
      <c r="BP573" s="217">
        <f t="shared" si="65"/>
        <v>1301499.7046680076</v>
      </c>
    </row>
    <row r="574" spans="1:68">
      <c r="A574" s="11">
        <v>568</v>
      </c>
      <c r="C574" s="27">
        <v>0.92583236778974476</v>
      </c>
      <c r="D574" s="27">
        <v>7.4167632210255255E-2</v>
      </c>
      <c r="E574" s="27">
        <v>0</v>
      </c>
      <c r="F574" s="27">
        <v>0.85503825531802669</v>
      </c>
      <c r="G574" s="27">
        <v>0.14496174468197331</v>
      </c>
      <c r="H574" s="27">
        <v>0</v>
      </c>
      <c r="I574" s="27">
        <v>0.7534222915944252</v>
      </c>
      <c r="J574" s="27">
        <v>0.24657770840557477</v>
      </c>
      <c r="K574" s="27">
        <v>0</v>
      </c>
      <c r="L574" s="27">
        <v>0.14713772742896131</v>
      </c>
      <c r="M574" s="27">
        <v>0.4952750803324637</v>
      </c>
      <c r="N574" s="27">
        <v>0.35758719223857499</v>
      </c>
      <c r="O574" s="27">
        <v>-11.225829399836289</v>
      </c>
      <c r="P574" s="27">
        <v>3.445566101407526E-2</v>
      </c>
      <c r="Q574" s="27">
        <v>5.6645860919553086E-5</v>
      </c>
      <c r="R574" s="27">
        <v>1.082039558391634</v>
      </c>
      <c r="S574" s="154"/>
      <c r="T574">
        <v>1.1374643514501181</v>
      </c>
      <c r="U574">
        <v>2.3104275560682037</v>
      </c>
      <c r="V574">
        <v>2.7791788786804958</v>
      </c>
      <c r="W574">
        <v>1</v>
      </c>
      <c r="Y574" s="2">
        <v>338.55611865044756</v>
      </c>
      <c r="Z574" s="2">
        <v>1009.7447141822203</v>
      </c>
      <c r="AA574" s="2">
        <v>1294.41694592008</v>
      </c>
      <c r="AB574" s="2">
        <v>6111.9723718180639</v>
      </c>
      <c r="AC574" s="2">
        <v>226.60994458738094</v>
      </c>
      <c r="AD574" s="2">
        <v>1897.3662213900479</v>
      </c>
      <c r="AE574" s="2">
        <v>650.26237454843067</v>
      </c>
      <c r="AF574" s="2">
        <v>1010.1814496768226</v>
      </c>
      <c r="AG574" s="2">
        <v>122.5084258043382</v>
      </c>
      <c r="AH574" s="2">
        <v>464.30284752939457</v>
      </c>
      <c r="AI574" s="2">
        <v>469740.70807720831</v>
      </c>
      <c r="AJ574" s="2">
        <v>437505.37016114459</v>
      </c>
      <c r="AL574" s="27">
        <v>0.91389913979651327</v>
      </c>
      <c r="AM574" s="27">
        <v>0.91731778891140403</v>
      </c>
      <c r="AN574" s="27">
        <v>0.90771357662577057</v>
      </c>
      <c r="AO574" s="27">
        <v>0.84327984640569276</v>
      </c>
      <c r="AP574" s="27">
        <v>0.76409252002904837</v>
      </c>
      <c r="AQ574" s="27">
        <v>0.91389913979651327</v>
      </c>
      <c r="AR574" s="27">
        <v>0.91731778891140403</v>
      </c>
      <c r="AS574" s="27">
        <v>0.90771357662577057</v>
      </c>
      <c r="AT574" s="27">
        <v>0.84327984640569276</v>
      </c>
      <c r="AU574" s="27">
        <v>0.76409252002904837</v>
      </c>
      <c r="AW574" s="1">
        <v>13.48550135423489</v>
      </c>
      <c r="AX574" s="1">
        <v>15.362274085802877</v>
      </c>
      <c r="AY574" s="2">
        <v>1847625.6601459659</v>
      </c>
      <c r="AZ574" s="1">
        <v>15.580295546483255</v>
      </c>
      <c r="BA574" s="1">
        <v>17.455195288954894</v>
      </c>
      <c r="BB574" s="2">
        <v>1379244.8055423808</v>
      </c>
      <c r="BC574" s="2">
        <f t="shared" si="63"/>
        <v>-468380.85460358509</v>
      </c>
      <c r="BD574" s="292">
        <f t="shared" si="64"/>
        <v>2.0947941922483651</v>
      </c>
      <c r="BF574" s="170">
        <f t="shared" si="59"/>
        <v>310054.55653161649</v>
      </c>
      <c r="BG574" s="2">
        <f t="shared" si="60"/>
        <v>1113602.4818949399</v>
      </c>
      <c r="BI574">
        <f t="shared" si="61"/>
        <v>0</v>
      </c>
      <c r="BJ574" s="95">
        <f t="shared" si="62"/>
        <v>1</v>
      </c>
      <c r="BP574" s="217">
        <f t="shared" si="65"/>
        <v>1113602.4818949399</v>
      </c>
    </row>
    <row r="575" spans="1:68">
      <c r="A575" s="11">
        <v>569</v>
      </c>
      <c r="C575" s="27">
        <v>0.92067765244174382</v>
      </c>
      <c r="D575" s="27">
        <v>7.9322347558256179E-2</v>
      </c>
      <c r="E575" s="27">
        <v>0</v>
      </c>
      <c r="F575" s="27">
        <v>0.85657133335098889</v>
      </c>
      <c r="G575" s="27">
        <v>0.14342866664901111</v>
      </c>
      <c r="H575" s="27">
        <v>0</v>
      </c>
      <c r="I575" s="27">
        <v>0.74669444589779255</v>
      </c>
      <c r="J575" s="27">
        <v>0.25330555410220745</v>
      </c>
      <c r="K575" s="27">
        <v>0</v>
      </c>
      <c r="L575" s="27">
        <v>4.1241620784293165E-2</v>
      </c>
      <c r="M575" s="27">
        <v>0.54819958844875893</v>
      </c>
      <c r="N575" s="27">
        <v>0.4105587907669479</v>
      </c>
      <c r="O575" s="27">
        <v>-10.823028855196464</v>
      </c>
      <c r="P575" s="27">
        <v>3.2277958070864907E-2</v>
      </c>
      <c r="Q575" s="27">
        <v>7.73357197798402E-5</v>
      </c>
      <c r="R575" s="27">
        <v>1.050695511095338</v>
      </c>
      <c r="S575" s="154"/>
      <c r="T575">
        <v>1.0315623974698058</v>
      </c>
      <c r="U575">
        <v>2.2363722057707345</v>
      </c>
      <c r="V575">
        <v>3.0237566610305855</v>
      </c>
      <c r="W575">
        <v>1</v>
      </c>
      <c r="Y575" s="2">
        <v>428.76114407272104</v>
      </c>
      <c r="Z575" s="2">
        <v>4234.6197048454505</v>
      </c>
      <c r="AA575" s="2">
        <v>4388.7624564079642</v>
      </c>
      <c r="AB575" s="2">
        <v>444.6602960927263</v>
      </c>
      <c r="AC575" s="2">
        <v>1788.7703999445932</v>
      </c>
      <c r="AD575" s="2">
        <v>4451.9011155634016</v>
      </c>
      <c r="AE575" s="2">
        <v>615.92202179046853</v>
      </c>
      <c r="AF575" s="2">
        <v>982.41476824077449</v>
      </c>
      <c r="AG575" s="2">
        <v>88.220020112298201</v>
      </c>
      <c r="AH575" s="2">
        <v>416.25183228461975</v>
      </c>
      <c r="AI575" s="2">
        <v>525174.21902812342</v>
      </c>
      <c r="AJ575" s="2">
        <v>501025.96118874958</v>
      </c>
      <c r="AL575" s="27">
        <v>0.91432220915616902</v>
      </c>
      <c r="AM575" s="27">
        <v>0.91950721360731569</v>
      </c>
      <c r="AN575" s="27">
        <v>0.90668707877199306</v>
      </c>
      <c r="AO575" s="27">
        <v>0.80637090984445314</v>
      </c>
      <c r="AP575" s="27">
        <v>0.61524880400424264</v>
      </c>
      <c r="AQ575" s="27">
        <v>0.91432220915616902</v>
      </c>
      <c r="AR575" s="27">
        <v>0.91950721360731569</v>
      </c>
      <c r="AS575" s="27">
        <v>0.90668707877199306</v>
      </c>
      <c r="AT575" s="27">
        <v>0.80637090984445314</v>
      </c>
      <c r="AU575" s="27">
        <v>0.61524880400424264</v>
      </c>
      <c r="AW575" s="1">
        <v>12.964576510276551</v>
      </c>
      <c r="AX575" s="1">
        <v>15.327052227685726</v>
      </c>
      <c r="AY575" s="2">
        <v>2123976.6222855709</v>
      </c>
      <c r="AZ575" s="1">
        <v>15.022304369382573</v>
      </c>
      <c r="BA575" s="1">
        <v>17.2375395437919</v>
      </c>
      <c r="BB575" s="2">
        <v>1588225.525505235</v>
      </c>
      <c r="BC575" s="2">
        <f t="shared" si="63"/>
        <v>-535751.096780336</v>
      </c>
      <c r="BD575" s="292">
        <f t="shared" si="64"/>
        <v>2.0577278591060217</v>
      </c>
      <c r="BF575" s="170">
        <f t="shared" si="59"/>
        <v>-49644.380641322816</v>
      </c>
      <c r="BG575" s="2">
        <f t="shared" si="60"/>
        <v>815343.17359597655</v>
      </c>
      <c r="BI575">
        <f t="shared" si="61"/>
        <v>0</v>
      </c>
      <c r="BJ575" s="95">
        <f t="shared" si="62"/>
        <v>1</v>
      </c>
      <c r="BP575" s="217">
        <f t="shared" si="65"/>
        <v>815343.17359597655</v>
      </c>
    </row>
    <row r="576" spans="1:68">
      <c r="A576" s="11">
        <v>570</v>
      </c>
      <c r="C576" s="27">
        <v>0.92229572423594275</v>
      </c>
      <c r="D576" s="27">
        <v>7.7704275764057251E-2</v>
      </c>
      <c r="E576" s="27">
        <v>0</v>
      </c>
      <c r="F576" s="27">
        <v>0.85631476935812478</v>
      </c>
      <c r="G576" s="27">
        <v>0.14368523064187522</v>
      </c>
      <c r="H576" s="27">
        <v>0</v>
      </c>
      <c r="I576" s="27">
        <v>0.74419664050420897</v>
      </c>
      <c r="J576" s="27">
        <v>0.25580335949579103</v>
      </c>
      <c r="K576" s="27">
        <v>0</v>
      </c>
      <c r="L576" s="27">
        <v>4.2944820897182989E-2</v>
      </c>
      <c r="M576" s="27">
        <v>0.52039942754057178</v>
      </c>
      <c r="N576" s="27">
        <v>0.43665575156224523</v>
      </c>
      <c r="O576" s="27">
        <v>-10.744104439371922</v>
      </c>
      <c r="P576" s="27">
        <v>3.2032726354648475E-2</v>
      </c>
      <c r="Q576" s="27">
        <v>8.2829197453864338E-5</v>
      </c>
      <c r="R576" s="27">
        <v>1.0309411501639603</v>
      </c>
      <c r="S576" s="154"/>
      <c r="T576">
        <v>1.0235887028408335</v>
      </c>
      <c r="U576">
        <v>2.1955687660481011</v>
      </c>
      <c r="V576">
        <v>2.9838703269414841</v>
      </c>
      <c r="W576">
        <v>1</v>
      </c>
      <c r="Y576" s="2">
        <v>1480.1565058967872</v>
      </c>
      <c r="Z576" s="2">
        <v>1554.614778546131</v>
      </c>
      <c r="AA576" s="2">
        <v>1058.104301999615</v>
      </c>
      <c r="AB576" s="2">
        <v>163.78562206864405</v>
      </c>
      <c r="AC576" s="2">
        <v>22.144394264359999</v>
      </c>
      <c r="AD576" s="2">
        <v>124.33656522210669</v>
      </c>
      <c r="AE576" s="2">
        <v>560.21237797609331</v>
      </c>
      <c r="AF576" s="2">
        <v>969.99446033902188</v>
      </c>
      <c r="AG576" s="2">
        <v>131.32932678726968</v>
      </c>
      <c r="AH576" s="2">
        <v>496.55950815829777</v>
      </c>
      <c r="AI576" s="2">
        <v>526264.77296034805</v>
      </c>
      <c r="AJ576" s="2">
        <v>503323.80864605942</v>
      </c>
      <c r="AL576" s="27">
        <v>0.9135512132962933</v>
      </c>
      <c r="AM576" s="27">
        <v>0.92045178265689154</v>
      </c>
      <c r="AN576" s="27">
        <v>0.91088709259330236</v>
      </c>
      <c r="AO576" s="27">
        <v>0.88145680837090357</v>
      </c>
      <c r="AP576" s="27">
        <v>0.66990986313162892</v>
      </c>
      <c r="AQ576" s="27">
        <v>0.9135512132962933</v>
      </c>
      <c r="AR576" s="27">
        <v>0.92045178265689154</v>
      </c>
      <c r="AS576" s="27">
        <v>0.91088709259330236</v>
      </c>
      <c r="AT576" s="27">
        <v>0.88145680837090357</v>
      </c>
      <c r="AU576" s="27">
        <v>0.66990986313162892</v>
      </c>
      <c r="AW576" s="1">
        <v>13.279527689770264</v>
      </c>
      <c r="AX576" s="1">
        <v>15.405925335721111</v>
      </c>
      <c r="AY576" s="2">
        <v>2050747.7212323267</v>
      </c>
      <c r="AZ576" s="1">
        <v>15.206004289438249</v>
      </c>
      <c r="BA576" s="1">
        <v>17.246554451435053</v>
      </c>
      <c r="BB576" s="2">
        <v>1447553.8861236132</v>
      </c>
      <c r="BC576" s="2">
        <f t="shared" si="63"/>
        <v>-603193.83510871348</v>
      </c>
      <c r="BD576" s="292">
        <f t="shared" si="64"/>
        <v>1.9264765996679856</v>
      </c>
      <c r="BF576" s="170">
        <f t="shared" si="59"/>
        <v>73976.709130915347</v>
      </c>
      <c r="BG576" s="2">
        <f t="shared" si="60"/>
        <v>985406.80018650671</v>
      </c>
      <c r="BI576">
        <f t="shared" si="61"/>
        <v>0</v>
      </c>
      <c r="BJ576" s="95">
        <f t="shared" si="62"/>
        <v>1</v>
      </c>
      <c r="BP576" s="217">
        <f t="shared" si="65"/>
        <v>985406.80018650671</v>
      </c>
    </row>
    <row r="577" spans="1:68">
      <c r="A577" s="11">
        <v>571</v>
      </c>
      <c r="C577" s="27">
        <v>0.9203894710675925</v>
      </c>
      <c r="D577" s="27">
        <v>7.9610528932407498E-2</v>
      </c>
      <c r="E577" s="27">
        <v>0</v>
      </c>
      <c r="F577" s="27">
        <v>0.86151993959958906</v>
      </c>
      <c r="G577" s="27">
        <v>0.13848006040041097</v>
      </c>
      <c r="H577" s="27">
        <v>0</v>
      </c>
      <c r="I577" s="27">
        <v>0.76361353749028082</v>
      </c>
      <c r="J577" s="27">
        <v>0.23638646250971918</v>
      </c>
      <c r="K577" s="27">
        <v>0</v>
      </c>
      <c r="L577" s="27">
        <v>1.4043540595717996E-2</v>
      </c>
      <c r="M577" s="27">
        <v>0.56676778779896853</v>
      </c>
      <c r="N577" s="27">
        <v>0.41918867160531348</v>
      </c>
      <c r="O577" s="27">
        <v>-11.182021685937787</v>
      </c>
      <c r="P577" s="27">
        <v>3.3947047428060172E-2</v>
      </c>
      <c r="Q577" s="27">
        <v>5.793170773764417E-5</v>
      </c>
      <c r="R577" s="27">
        <v>1.0800008009795699</v>
      </c>
      <c r="S577" s="154"/>
      <c r="T577">
        <v>1.014298794760814</v>
      </c>
      <c r="U577">
        <v>2.276435890523465</v>
      </c>
      <c r="V577">
        <v>3.0188879949856964</v>
      </c>
      <c r="W577">
        <v>1</v>
      </c>
      <c r="Y577" s="2">
        <v>513.73201588579457</v>
      </c>
      <c r="Z577" s="2">
        <v>899.04697799486621</v>
      </c>
      <c r="AA577" s="2">
        <v>1200.3063211729623</v>
      </c>
      <c r="AB577" s="2">
        <v>4052.3249171948182</v>
      </c>
      <c r="AC577" s="2">
        <v>1352.2237153342344</v>
      </c>
      <c r="AD577" s="2">
        <v>1049.433477986659</v>
      </c>
      <c r="AE577" s="2">
        <v>561.2157717582744</v>
      </c>
      <c r="AF577" s="2">
        <v>1210.2579384284074</v>
      </c>
      <c r="AG577" s="2">
        <v>49.891574428403757</v>
      </c>
      <c r="AH577" s="2">
        <v>371.4816984813333</v>
      </c>
      <c r="AI577" s="2">
        <v>573231.33876153152</v>
      </c>
      <c r="AJ577" s="2">
        <v>537691.2755585725</v>
      </c>
      <c r="AL577" s="27">
        <v>0.91960359401022329</v>
      </c>
      <c r="AM577" s="27">
        <v>0.9129179201880262</v>
      </c>
      <c r="AN577" s="27">
        <v>0.90780400495701186</v>
      </c>
      <c r="AO577" s="27">
        <v>0.84493132755075762</v>
      </c>
      <c r="AP577" s="27">
        <v>0.71001770869981717</v>
      </c>
      <c r="AQ577" s="27">
        <v>0.91960359401022329</v>
      </c>
      <c r="AR577" s="27">
        <v>0.9129179201880262</v>
      </c>
      <c r="AS577" s="27">
        <v>0.90780400495701186</v>
      </c>
      <c r="AT577" s="27">
        <v>0.84493132755075762</v>
      </c>
      <c r="AU577" s="27">
        <v>0.71001770869981717</v>
      </c>
      <c r="AW577" s="1">
        <v>13.435285155598601</v>
      </c>
      <c r="AX577" s="1">
        <v>15.431518083574241</v>
      </c>
      <c r="AY577" s="2">
        <v>2212585.8115398046</v>
      </c>
      <c r="AZ577" s="1">
        <v>15.397826875649553</v>
      </c>
      <c r="BA577" s="1">
        <v>17.351890511317226</v>
      </c>
      <c r="BB577" s="2">
        <v>1618628.5970614627</v>
      </c>
      <c r="BC577" s="2">
        <f t="shared" si="63"/>
        <v>-593957.21447834186</v>
      </c>
      <c r="BD577" s="292">
        <f t="shared" si="64"/>
        <v>1.9625417200509521</v>
      </c>
      <c r="BF577" s="170">
        <f t="shared" si="59"/>
        <v>-62940.186644028407</v>
      </c>
      <c r="BG577" s="2">
        <f t="shared" si="60"/>
        <v>845023.70304246573</v>
      </c>
      <c r="BI577">
        <f t="shared" si="61"/>
        <v>0</v>
      </c>
      <c r="BJ577" s="95">
        <f t="shared" si="62"/>
        <v>1</v>
      </c>
      <c r="BP577" s="217">
        <f t="shared" si="65"/>
        <v>845023.70304246573</v>
      </c>
    </row>
    <row r="578" spans="1:68">
      <c r="A578" s="11">
        <v>572</v>
      </c>
      <c r="C578" s="27">
        <v>0.92338360471483272</v>
      </c>
      <c r="D578" s="27">
        <v>7.6616395285167255E-2</v>
      </c>
      <c r="E578" s="27">
        <v>0</v>
      </c>
      <c r="F578" s="27">
        <v>0.86371205976841448</v>
      </c>
      <c r="G578" s="27">
        <v>0.13628794023158547</v>
      </c>
      <c r="H578" s="27">
        <v>0</v>
      </c>
      <c r="I578" s="27">
        <v>0.74729478761166368</v>
      </c>
      <c r="J578" s="27">
        <v>0.25270521238833632</v>
      </c>
      <c r="K578" s="27">
        <v>0</v>
      </c>
      <c r="L578" s="27">
        <v>0.16714571788618421</v>
      </c>
      <c r="M578" s="27">
        <v>0.50911661804913821</v>
      </c>
      <c r="N578" s="27">
        <v>0.32373766406467758</v>
      </c>
      <c r="O578" s="27">
        <v>-10.951983147729855</v>
      </c>
      <c r="P578" s="27">
        <v>3.2075383592255854E-2</v>
      </c>
      <c r="Q578" s="27">
        <v>6.7403269194349393E-5</v>
      </c>
      <c r="R578" s="27">
        <v>1.0676320469635543</v>
      </c>
      <c r="S578" s="154"/>
      <c r="T578">
        <v>0.97069637885822724</v>
      </c>
      <c r="U578">
        <v>2.3495132108816095</v>
      </c>
      <c r="V578">
        <v>3.0217999733804777</v>
      </c>
      <c r="W578">
        <v>1</v>
      </c>
      <c r="Y578" s="2">
        <v>290.49771175803363</v>
      </c>
      <c r="Z578" s="2">
        <v>17737.856922625571</v>
      </c>
      <c r="AA578" s="2">
        <v>147.83447994999659</v>
      </c>
      <c r="AB578" s="2">
        <v>4786.0154487770851</v>
      </c>
      <c r="AC578" s="2">
        <v>5993.3526445498746</v>
      </c>
      <c r="AD578" s="2">
        <v>2637.0659562646247</v>
      </c>
      <c r="AE578" s="2">
        <v>594.22166242938169</v>
      </c>
      <c r="AF578" s="2">
        <v>986.493134141376</v>
      </c>
      <c r="AG578" s="2">
        <v>84.731957072554877</v>
      </c>
      <c r="AH578" s="2">
        <v>380.0614428070237</v>
      </c>
      <c r="AI578" s="2">
        <v>410151.88020746387</v>
      </c>
      <c r="AJ578" s="2">
        <v>383026.52675246086</v>
      </c>
      <c r="AL578" s="27">
        <v>0.91934793806459569</v>
      </c>
      <c r="AM578" s="27">
        <v>0.92349299963404352</v>
      </c>
      <c r="AN578" s="27">
        <v>0.90673771890203148</v>
      </c>
      <c r="AO578" s="27">
        <v>0.8914662739689877</v>
      </c>
      <c r="AP578" s="27">
        <v>0.66855834330334929</v>
      </c>
      <c r="AQ578" s="27">
        <v>0.91934793806459569</v>
      </c>
      <c r="AR578" s="27">
        <v>0.92349299963404352</v>
      </c>
      <c r="AS578" s="27">
        <v>0.90673771890203148</v>
      </c>
      <c r="AT578" s="27">
        <v>0.8914662739689877</v>
      </c>
      <c r="AU578" s="27">
        <v>0.66855834330334929</v>
      </c>
      <c r="AW578" s="1">
        <v>13.714290095594569</v>
      </c>
      <c r="AX578" s="1">
        <v>15.843350751770265</v>
      </c>
      <c r="AY578" s="2">
        <v>1893842.5078512395</v>
      </c>
      <c r="AZ578" s="1">
        <v>15.529633756679479</v>
      </c>
      <c r="BA578" s="1">
        <v>17.554602675291775</v>
      </c>
      <c r="BB578" s="2">
        <v>1239703.3888247868</v>
      </c>
      <c r="BC578" s="2">
        <f t="shared" si="63"/>
        <v>-654139.11902645277</v>
      </c>
      <c r="BD578" s="292">
        <f t="shared" si="64"/>
        <v>1.8153436610849099</v>
      </c>
      <c r="BF578" s="170">
        <f t="shared" si="59"/>
        <v>300443.90744389151</v>
      </c>
      <c r="BG578" s="2">
        <f t="shared" si="60"/>
        <v>1245038.01224393</v>
      </c>
      <c r="BI578">
        <f t="shared" si="61"/>
        <v>0</v>
      </c>
      <c r="BJ578" s="95">
        <f t="shared" si="62"/>
        <v>1</v>
      </c>
      <c r="BP578" s="217">
        <f t="shared" si="65"/>
        <v>1245038.01224393</v>
      </c>
    </row>
    <row r="579" spans="1:68">
      <c r="A579" s="11">
        <v>573</v>
      </c>
      <c r="C579" s="27">
        <v>0.92168908272842209</v>
      </c>
      <c r="D579" s="27">
        <v>7.8310917271577907E-2</v>
      </c>
      <c r="E579" s="27">
        <v>0</v>
      </c>
      <c r="F579" s="27">
        <v>0.85076168536221097</v>
      </c>
      <c r="G579" s="27">
        <v>0.14923831463778903</v>
      </c>
      <c r="H579" s="27">
        <v>0</v>
      </c>
      <c r="I579" s="27">
        <v>0.7598608554046633</v>
      </c>
      <c r="J579" s="27">
        <v>0.24013914459533672</v>
      </c>
      <c r="K579" s="27">
        <v>0</v>
      </c>
      <c r="L579" s="27">
        <v>0.12392031155942018</v>
      </c>
      <c r="M579" s="27">
        <v>0.49796733175298047</v>
      </c>
      <c r="N579" s="27">
        <v>0.37811235668759935</v>
      </c>
      <c r="O579" s="27">
        <v>-10.980220807721008</v>
      </c>
      <c r="P579" s="27">
        <v>3.5322443587477131E-2</v>
      </c>
      <c r="Q579" s="27">
        <v>7.5100887848504104E-5</v>
      </c>
      <c r="R579" s="27">
        <v>1.0416742301811817</v>
      </c>
      <c r="S579" s="154"/>
      <c r="T579">
        <v>1.1234004344916406</v>
      </c>
      <c r="U579">
        <v>2.2106070855243112</v>
      </c>
      <c r="V579">
        <v>2.8866975929374155</v>
      </c>
      <c r="W579">
        <v>1</v>
      </c>
      <c r="Y579" s="2">
        <v>76.46183012600423</v>
      </c>
      <c r="Z579" s="2">
        <v>3167.0841821714221</v>
      </c>
      <c r="AA579" s="2">
        <v>3827.0805252220612</v>
      </c>
      <c r="AB579" s="2">
        <v>993.11485992813607</v>
      </c>
      <c r="AC579" s="2">
        <v>1473.4735865756347</v>
      </c>
      <c r="AD579" s="2">
        <v>813.98073744981241</v>
      </c>
      <c r="AE579" s="2">
        <v>582.2771803979773</v>
      </c>
      <c r="AF579" s="2">
        <v>1089.3622993444742</v>
      </c>
      <c r="AG579" s="2">
        <v>168.88880835911837</v>
      </c>
      <c r="AH579" s="2">
        <v>436.11587984202038</v>
      </c>
      <c r="AI579" s="2">
        <v>505259.8578926124</v>
      </c>
      <c r="AJ579" s="2">
        <v>461378.91237588151</v>
      </c>
      <c r="AL579" s="27">
        <v>0.92101043123731041</v>
      </c>
      <c r="AM579" s="27">
        <v>0.9206357796317397</v>
      </c>
      <c r="AN579" s="27">
        <v>0.90505893083350908</v>
      </c>
      <c r="AO579" s="27">
        <v>0.86831449507449987</v>
      </c>
      <c r="AP579" s="27">
        <v>0.66801575548020131</v>
      </c>
      <c r="AQ579" s="27">
        <v>0.92101043123731041</v>
      </c>
      <c r="AR579" s="27">
        <v>0.9206357796317397</v>
      </c>
      <c r="AS579" s="27">
        <v>0.90505893083350908</v>
      </c>
      <c r="AT579" s="27">
        <v>0.86831449507449987</v>
      </c>
      <c r="AU579" s="27">
        <v>0.66801575548020131</v>
      </c>
      <c r="AW579" s="1">
        <v>13.155831509720111</v>
      </c>
      <c r="AX579" s="1">
        <v>15.302815706794672</v>
      </c>
      <c r="AY579" s="2">
        <v>2066879.1266700097</v>
      </c>
      <c r="AZ579" s="1">
        <v>15.331737420079508</v>
      </c>
      <c r="BA579" s="1">
        <v>17.36150161419814</v>
      </c>
      <c r="BB579" s="2">
        <v>1454417.5109786061</v>
      </c>
      <c r="BC579" s="2">
        <f t="shared" si="63"/>
        <v>-612461.61569140363</v>
      </c>
      <c r="BD579" s="292">
        <f t="shared" si="64"/>
        <v>2.175905910359397</v>
      </c>
      <c r="BF579" s="170">
        <f t="shared" si="59"/>
        <v>38053.914885207778</v>
      </c>
      <c r="BG579" s="2">
        <f t="shared" si="60"/>
        <v>998660.47623411519</v>
      </c>
      <c r="BI579">
        <f t="shared" si="61"/>
        <v>0</v>
      </c>
      <c r="BJ579" s="95">
        <f t="shared" si="62"/>
        <v>1</v>
      </c>
      <c r="BP579" s="217">
        <f t="shared" si="65"/>
        <v>998660.47623411519</v>
      </c>
    </row>
    <row r="580" spans="1:68">
      <c r="A580" s="11">
        <v>574</v>
      </c>
      <c r="C580" s="27">
        <v>0.92131369655327511</v>
      </c>
      <c r="D580" s="27">
        <v>7.8686303446724892E-2</v>
      </c>
      <c r="E580" s="27">
        <v>0</v>
      </c>
      <c r="F580" s="27">
        <v>0.8601248606837073</v>
      </c>
      <c r="G580" s="27">
        <v>0.13987513931629267</v>
      </c>
      <c r="H580" s="27">
        <v>0</v>
      </c>
      <c r="I580" s="27">
        <v>0.74883748051631505</v>
      </c>
      <c r="J580" s="27">
        <v>0.25116251948368495</v>
      </c>
      <c r="K580" s="27">
        <v>0</v>
      </c>
      <c r="L580" s="27">
        <v>0.12218475768276327</v>
      </c>
      <c r="M580" s="27">
        <v>0.49052758318307588</v>
      </c>
      <c r="N580" s="27">
        <v>0.38728765913416086</v>
      </c>
      <c r="O580" s="27">
        <v>-11.438462072705741</v>
      </c>
      <c r="P580" s="27">
        <v>3.5835799426280436E-2</v>
      </c>
      <c r="Q580" s="27">
        <v>4.8528539159561283E-5</v>
      </c>
      <c r="R580" s="27">
        <v>1.1040131718416875</v>
      </c>
      <c r="S580" s="154"/>
      <c r="T580">
        <v>1.0631476860004523</v>
      </c>
      <c r="U580">
        <v>2.2529668627169479</v>
      </c>
      <c r="V580">
        <v>2.786037878096248</v>
      </c>
      <c r="W580">
        <v>1</v>
      </c>
      <c r="Y580" s="2">
        <v>107.62681583285112</v>
      </c>
      <c r="Z580" s="2">
        <v>4424.4755234594759</v>
      </c>
      <c r="AA580" s="2">
        <v>4256.1374417485176</v>
      </c>
      <c r="AB580" s="2">
        <v>7132.9317036459443</v>
      </c>
      <c r="AC580" s="2">
        <v>20.84140581008386</v>
      </c>
      <c r="AD580" s="2">
        <v>1193.6079178043453</v>
      </c>
      <c r="AE580" s="2">
        <v>591.59484663157446</v>
      </c>
      <c r="AF580" s="2">
        <v>888.80135707311456</v>
      </c>
      <c r="AG580" s="2">
        <v>86.505270894374902</v>
      </c>
      <c r="AH580" s="2">
        <v>403.19991970393897</v>
      </c>
      <c r="AI580" s="2">
        <v>460391.55164685147</v>
      </c>
      <c r="AJ580" s="2">
        <v>418886.36696428503</v>
      </c>
      <c r="AL580" s="27">
        <v>0.91541923080524912</v>
      </c>
      <c r="AM580" s="27">
        <v>0.9092932726196532</v>
      </c>
      <c r="AN580" s="27">
        <v>0.89799296443915388</v>
      </c>
      <c r="AO580" s="27">
        <v>0.85644502941461076</v>
      </c>
      <c r="AP580" s="27">
        <v>0.72885281934894075</v>
      </c>
      <c r="AQ580" s="27">
        <v>0.91541923080524912</v>
      </c>
      <c r="AR580" s="27">
        <v>0.9092932726196532</v>
      </c>
      <c r="AS580" s="27">
        <v>0.89799296443915388</v>
      </c>
      <c r="AT580" s="27">
        <v>0.85644502941461076</v>
      </c>
      <c r="AU580" s="27">
        <v>0.72885281934894075</v>
      </c>
      <c r="AW580" s="1">
        <v>13.287651382372502</v>
      </c>
      <c r="AX580" s="1">
        <v>15.230806230853847</v>
      </c>
      <c r="AY580" s="2">
        <v>1688482.3898935067</v>
      </c>
      <c r="AZ580" s="1">
        <v>15.280325806754982</v>
      </c>
      <c r="BA580" s="1">
        <v>17.228453601223993</v>
      </c>
      <c r="BB580" s="2">
        <v>1336679.6240777138</v>
      </c>
      <c r="BC580" s="2">
        <f t="shared" si="63"/>
        <v>-351802.76581579284</v>
      </c>
      <c r="BD580" s="292">
        <f t="shared" si="64"/>
        <v>1.9926744243824803</v>
      </c>
      <c r="BF580" s="170">
        <f t="shared" si="59"/>
        <v>437541.83128609369</v>
      </c>
      <c r="BG580" s="2">
        <f t="shared" si="60"/>
        <v>1108172.5050030833</v>
      </c>
      <c r="BI580">
        <f t="shared" si="61"/>
        <v>0</v>
      </c>
      <c r="BJ580" s="95">
        <f t="shared" si="62"/>
        <v>1</v>
      </c>
      <c r="BP580" s="217">
        <f t="shared" si="65"/>
        <v>1108172.5050030833</v>
      </c>
    </row>
    <row r="581" spans="1:68">
      <c r="A581" s="11">
        <v>575</v>
      </c>
      <c r="C581" s="27">
        <v>0.92232312512974035</v>
      </c>
      <c r="D581" s="27">
        <v>7.7676874870259649E-2</v>
      </c>
      <c r="E581" s="27">
        <v>0</v>
      </c>
      <c r="F581" s="27">
        <v>0.84786697740233641</v>
      </c>
      <c r="G581" s="27">
        <v>0.15213302259766359</v>
      </c>
      <c r="H581" s="27">
        <v>0</v>
      </c>
      <c r="I581" s="27">
        <v>0.75644551028041374</v>
      </c>
      <c r="J581" s="27">
        <v>0.24355448971958626</v>
      </c>
      <c r="K581" s="27">
        <v>0</v>
      </c>
      <c r="L581" s="27">
        <v>0.13177666283380574</v>
      </c>
      <c r="M581" s="27">
        <v>0.50688382251808028</v>
      </c>
      <c r="N581" s="27">
        <v>0.36133951464811398</v>
      </c>
      <c r="O581" s="27">
        <v>-10.601531463548628</v>
      </c>
      <c r="P581" s="27">
        <v>3.2241262023249985E-2</v>
      </c>
      <c r="Q581" s="27">
        <v>9.636201603084726E-5</v>
      </c>
      <c r="R581" s="27">
        <v>1.0150873364805666</v>
      </c>
      <c r="S581" s="154"/>
      <c r="T581">
        <v>1.0178763086659046</v>
      </c>
      <c r="U581">
        <v>2.2435721635598651</v>
      </c>
      <c r="V581">
        <v>3.2322720110731487</v>
      </c>
      <c r="W581">
        <v>1</v>
      </c>
      <c r="Y581" s="2">
        <v>2972.7291334266706</v>
      </c>
      <c r="Z581" s="2">
        <v>4658.3662696336978</v>
      </c>
      <c r="AA581" s="2">
        <v>1285.1606473119662</v>
      </c>
      <c r="AB581" s="2">
        <v>675.66174514397665</v>
      </c>
      <c r="AC581" s="2">
        <v>1120.0341926514686</v>
      </c>
      <c r="AD581" s="2">
        <v>25.317401176344784</v>
      </c>
      <c r="AE581" s="2">
        <v>567.61887857932084</v>
      </c>
      <c r="AF581" s="2">
        <v>828.06195840896248</v>
      </c>
      <c r="AG581" s="2">
        <v>100.16748952840611</v>
      </c>
      <c r="AH581" s="2">
        <v>205.13199816810919</v>
      </c>
      <c r="AI581" s="2">
        <v>380939.20881558757</v>
      </c>
      <c r="AJ581" s="2">
        <v>346111.68856613588</v>
      </c>
      <c r="AL581" s="27">
        <v>0.91528185680361718</v>
      </c>
      <c r="AM581" s="27">
        <v>0.90867410983357078</v>
      </c>
      <c r="AN581" s="27">
        <v>0.91652314054005379</v>
      </c>
      <c r="AO581" s="27">
        <v>0.90199851844014767</v>
      </c>
      <c r="AP581" s="27">
        <v>0.74722930629526974</v>
      </c>
      <c r="AQ581" s="27">
        <v>0.91528185680361718</v>
      </c>
      <c r="AR581" s="27">
        <v>0.90867410983357078</v>
      </c>
      <c r="AS581" s="27">
        <v>0.91652314054005379</v>
      </c>
      <c r="AT581" s="27">
        <v>0.90199851844014767</v>
      </c>
      <c r="AU581" s="27">
        <v>0.74722930629526974</v>
      </c>
      <c r="AW581" s="1">
        <v>13.680025001680374</v>
      </c>
      <c r="AX581" s="1">
        <v>15.609191948679456</v>
      </c>
      <c r="AY581" s="2">
        <v>1615316.6528445443</v>
      </c>
      <c r="AZ581" s="1">
        <v>15.498949252841664</v>
      </c>
      <c r="BA581" s="1">
        <v>17.415604239189996</v>
      </c>
      <c r="BB581" s="2">
        <v>1089349.0892088953</v>
      </c>
      <c r="BC581" s="2">
        <f t="shared" si="63"/>
        <v>-525967.56363564893</v>
      </c>
      <c r="BD581" s="292">
        <f t="shared" si="64"/>
        <v>1.81892425116129</v>
      </c>
      <c r="BF581" s="170">
        <f t="shared" si="59"/>
        <v>573487.34742431552</v>
      </c>
      <c r="BG581" s="2">
        <f t="shared" si="60"/>
        <v>1390482.7912457706</v>
      </c>
      <c r="BI581">
        <f t="shared" si="61"/>
        <v>0</v>
      </c>
      <c r="BJ581" s="95">
        <f t="shared" si="62"/>
        <v>1</v>
      </c>
      <c r="BP581" s="217">
        <f t="shared" si="65"/>
        <v>1390482.7912457706</v>
      </c>
    </row>
    <row r="582" spans="1:68">
      <c r="A582" s="11">
        <v>576</v>
      </c>
      <c r="C582" s="27">
        <v>0.92260816795656464</v>
      </c>
      <c r="D582" s="27">
        <v>7.739183204343536E-2</v>
      </c>
      <c r="E582" s="27">
        <v>0</v>
      </c>
      <c r="F582" s="27">
        <v>0.85462339781812358</v>
      </c>
      <c r="G582" s="27">
        <v>0.14537660218187642</v>
      </c>
      <c r="H582" s="27">
        <v>0</v>
      </c>
      <c r="I582" s="27">
        <v>0.7579006972655431</v>
      </c>
      <c r="J582" s="27">
        <v>0.24209930273445684</v>
      </c>
      <c r="K582" s="27">
        <v>0</v>
      </c>
      <c r="L582" s="27">
        <v>9.3851995566068824E-3</v>
      </c>
      <c r="M582" s="27">
        <v>0.61303799107994206</v>
      </c>
      <c r="N582" s="27">
        <v>0.37757680936345106</v>
      </c>
      <c r="O582" s="27">
        <v>-11.193809519561361</v>
      </c>
      <c r="P582" s="27">
        <v>3.4161545644592381E-2</v>
      </c>
      <c r="Q582" s="27">
        <v>5.7770944297802493E-5</v>
      </c>
      <c r="R582" s="27">
        <v>1.0858154219036169</v>
      </c>
      <c r="S582" s="154"/>
      <c r="T582">
        <v>0.94547151015606257</v>
      </c>
      <c r="U582">
        <v>2.1671681502653426</v>
      </c>
      <c r="V582">
        <v>2.9696013048726897</v>
      </c>
      <c r="W582">
        <v>1</v>
      </c>
      <c r="Y582" s="2">
        <v>1171.7832199134398</v>
      </c>
      <c r="Z582" s="2">
        <v>8558.0683510427752</v>
      </c>
      <c r="AA582" s="2">
        <v>704.10471307017076</v>
      </c>
      <c r="AB582" s="2">
        <v>1625.0107556175217</v>
      </c>
      <c r="AC582" s="2">
        <v>23.999922951621667</v>
      </c>
      <c r="AD582" s="2">
        <v>420.94937020719681</v>
      </c>
      <c r="AE582" s="2">
        <v>600.3100358213876</v>
      </c>
      <c r="AF582" s="2">
        <v>882.7215508056488</v>
      </c>
      <c r="AG582" s="2">
        <v>143.41697844053402</v>
      </c>
      <c r="AH582" s="2">
        <v>367.13341708444449</v>
      </c>
      <c r="AI582" s="2">
        <v>423100.8604955959</v>
      </c>
      <c r="AJ582" s="2">
        <v>398790.01976044342</v>
      </c>
      <c r="AL582" s="27">
        <v>0.91399154490343149</v>
      </c>
      <c r="AM582" s="27">
        <v>0.91648782803511686</v>
      </c>
      <c r="AN582" s="27">
        <v>0.90817240887325357</v>
      </c>
      <c r="AO582" s="27">
        <v>0.87181984954111624</v>
      </c>
      <c r="AP582" s="27">
        <v>0.68850451067565421</v>
      </c>
      <c r="AQ582" s="27">
        <v>0.91399154490343149</v>
      </c>
      <c r="AR582" s="27">
        <v>0.91648782803511686</v>
      </c>
      <c r="AS582" s="27">
        <v>0.90817240887325357</v>
      </c>
      <c r="AT582" s="27">
        <v>0.87181984954111624</v>
      </c>
      <c r="AU582" s="27">
        <v>0.68850451067565421</v>
      </c>
      <c r="AW582" s="1">
        <v>13.743668532443426</v>
      </c>
      <c r="AX582" s="1">
        <v>15.879587061575686</v>
      </c>
      <c r="AY582" s="2">
        <v>1759565.097122892</v>
      </c>
      <c r="AZ582" s="1">
        <v>15.376874633322394</v>
      </c>
      <c r="BA582" s="1">
        <v>17.444955759200877</v>
      </c>
      <c r="BB582" s="2">
        <v>1239462.0272534692</v>
      </c>
      <c r="BC582" s="2">
        <f t="shared" si="63"/>
        <v>-520103.06986942282</v>
      </c>
      <c r="BD582" s="292">
        <f t="shared" si="64"/>
        <v>1.6332061008789687</v>
      </c>
      <c r="BF582" s="170">
        <f t="shared" si="59"/>
        <v>439421.86806805595</v>
      </c>
      <c r="BG582" s="2">
        <f t="shared" si="60"/>
        <v>1220837.9140781139</v>
      </c>
      <c r="BI582">
        <f t="shared" si="61"/>
        <v>0</v>
      </c>
      <c r="BJ582" s="95">
        <f t="shared" si="62"/>
        <v>1</v>
      </c>
      <c r="BP582" s="217">
        <f t="shared" si="65"/>
        <v>1220837.9140781139</v>
      </c>
    </row>
    <row r="583" spans="1:68">
      <c r="A583" s="11">
        <v>577</v>
      </c>
      <c r="C583" s="27">
        <v>0.92578342946431369</v>
      </c>
      <c r="D583" s="27">
        <v>7.4216570535686352E-2</v>
      </c>
      <c r="E583" s="27">
        <v>0</v>
      </c>
      <c r="F583" s="27">
        <v>0.85065196296621326</v>
      </c>
      <c r="G583" s="27">
        <v>0.14934803703378674</v>
      </c>
      <c r="H583" s="27">
        <v>0</v>
      </c>
      <c r="I583" s="27">
        <v>0.75086915451296987</v>
      </c>
      <c r="J583" s="27">
        <v>0.2491308454870301</v>
      </c>
      <c r="K583" s="27">
        <v>0</v>
      </c>
      <c r="L583" s="27">
        <v>0.13485167225990324</v>
      </c>
      <c r="M583" s="27">
        <v>0.45249809167026317</v>
      </c>
      <c r="N583" s="27">
        <v>0.41265023606983353</v>
      </c>
      <c r="O583" s="27">
        <v>-11.349531056128752</v>
      </c>
      <c r="P583" s="27">
        <v>3.3567510132841781E-2</v>
      </c>
      <c r="Q583" s="27">
        <v>4.8221979696432071E-5</v>
      </c>
      <c r="R583" s="27">
        <v>1.1052869693513061</v>
      </c>
      <c r="S583" s="154"/>
      <c r="T583">
        <v>0.98458159919564736</v>
      </c>
      <c r="U583">
        <v>2.2607617219155971</v>
      </c>
      <c r="V583">
        <v>2.9743893167185935</v>
      </c>
      <c r="W583">
        <v>1</v>
      </c>
      <c r="Y583" s="2">
        <v>570.65605302470681</v>
      </c>
      <c r="Z583" s="2">
        <v>1556.4864076303966</v>
      </c>
      <c r="AA583" s="2">
        <v>1376.8941889494279</v>
      </c>
      <c r="AB583" s="2">
        <v>3558.3223065708753</v>
      </c>
      <c r="AC583" s="2">
        <v>547.25014524829635</v>
      </c>
      <c r="AD583" s="2">
        <v>345.84507231938704</v>
      </c>
      <c r="AE583" s="2">
        <v>618.40380209326258</v>
      </c>
      <c r="AF583" s="2">
        <v>772.52550878564716</v>
      </c>
      <c r="AG583" s="2">
        <v>119.10490347181674</v>
      </c>
      <c r="AH583" s="2">
        <v>444.03177845465211</v>
      </c>
      <c r="AI583" s="2">
        <v>636417.65910031786</v>
      </c>
      <c r="AJ583" s="2">
        <v>591123.48199899704</v>
      </c>
      <c r="AL583" s="27">
        <v>0.92585788355659859</v>
      </c>
      <c r="AM583" s="27">
        <v>0.91663400591380195</v>
      </c>
      <c r="AN583" s="27">
        <v>0.91156476577116319</v>
      </c>
      <c r="AO583" s="27">
        <v>0.8297438049101139</v>
      </c>
      <c r="AP583" s="27">
        <v>0.71761154871055743</v>
      </c>
      <c r="AQ583" s="27">
        <v>0.92585788355659859</v>
      </c>
      <c r="AR583" s="27">
        <v>0.91663400591380195</v>
      </c>
      <c r="AS583" s="27">
        <v>0.91156476577116319</v>
      </c>
      <c r="AT583" s="27">
        <v>0.8297438049101139</v>
      </c>
      <c r="AU583" s="27">
        <v>0.71761154871055743</v>
      </c>
      <c r="AW583" s="1">
        <v>13.520199799880515</v>
      </c>
      <c r="AX583" s="1">
        <v>15.329698116985046</v>
      </c>
      <c r="AY583" s="2">
        <v>2073213.8707747937</v>
      </c>
      <c r="AZ583" s="1">
        <v>15.329504177156874</v>
      </c>
      <c r="BA583" s="1">
        <v>17.125273595041968</v>
      </c>
      <c r="BB583" s="2">
        <v>1550188.1761964674</v>
      </c>
      <c r="BC583" s="2">
        <f t="shared" si="63"/>
        <v>-523025.69457832631</v>
      </c>
      <c r="BD583" s="292">
        <f t="shared" si="64"/>
        <v>1.8093043772763586</v>
      </c>
      <c r="BF583" s="170">
        <f t="shared" ref="BF583:BF646" si="66">AW583*Threshold-AY583</f>
        <v>90018.097206088947</v>
      </c>
      <c r="BG583" s="2">
        <f t="shared" ref="BG583:BG646" si="67">AZ583*Threshold-BB583</f>
        <v>902532.49214863242</v>
      </c>
      <c r="BI583">
        <f t="shared" ref="BI583:BI646" si="68">IF(MAX($BF583:$BG583)=$BF583,1,0)</f>
        <v>0</v>
      </c>
      <c r="BJ583" s="95">
        <f t="shared" ref="BJ583:BJ646" si="69">IF(MAX($BF583:$BG583)=$BF583,0,1)</f>
        <v>1</v>
      </c>
      <c r="BP583" s="217">
        <f t="shared" si="65"/>
        <v>902532.49214863242</v>
      </c>
    </row>
    <row r="584" spans="1:68">
      <c r="A584" s="11">
        <v>578</v>
      </c>
      <c r="C584" s="27">
        <v>0.92108411050844063</v>
      </c>
      <c r="D584" s="27">
        <v>7.8915889491559366E-2</v>
      </c>
      <c r="E584" s="27">
        <v>0</v>
      </c>
      <c r="F584" s="27">
        <v>0.85614133744119347</v>
      </c>
      <c r="G584" s="27">
        <v>0.14385866255880653</v>
      </c>
      <c r="H584" s="27">
        <v>0</v>
      </c>
      <c r="I584" s="27">
        <v>0.74830784023725738</v>
      </c>
      <c r="J584" s="27">
        <v>0.25169215976274262</v>
      </c>
      <c r="K584" s="27">
        <v>0</v>
      </c>
      <c r="L584" s="27">
        <v>0.13241450180476677</v>
      </c>
      <c r="M584" s="27">
        <v>0.49504813660128111</v>
      </c>
      <c r="N584" s="27">
        <v>0.37253736159395212</v>
      </c>
      <c r="O584" s="27">
        <v>-11.232013632526986</v>
      </c>
      <c r="P584" s="27">
        <v>3.3760341317434578E-2</v>
      </c>
      <c r="Q584" s="27">
        <v>5.4676350172422434E-5</v>
      </c>
      <c r="R584" s="27">
        <v>1.0906456247497072</v>
      </c>
      <c r="S584" s="154"/>
      <c r="T584">
        <v>1.0645549481137433</v>
      </c>
      <c r="U584">
        <v>2.1894585307251702</v>
      </c>
      <c r="V584">
        <v>3.1687158848406147</v>
      </c>
      <c r="W584">
        <v>1</v>
      </c>
      <c r="Y584" s="2">
        <v>83.546239353474419</v>
      </c>
      <c r="Z584" s="2">
        <v>2615.6383557589534</v>
      </c>
      <c r="AA584" s="2">
        <v>676.99201188745758</v>
      </c>
      <c r="AB584" s="2">
        <v>11446.626747413404</v>
      </c>
      <c r="AC584" s="2">
        <v>1368.5285139464215</v>
      </c>
      <c r="AD584" s="2">
        <v>1752.4750744950061</v>
      </c>
      <c r="AE584" s="2">
        <v>515.19855798359652</v>
      </c>
      <c r="AF584" s="2">
        <v>1155.1556617845206</v>
      </c>
      <c r="AG584" s="2">
        <v>136.70191087471594</v>
      </c>
      <c r="AH584" s="2">
        <v>214.98933958013754</v>
      </c>
      <c r="AI584" s="2">
        <v>661612.79689193366</v>
      </c>
      <c r="AJ584" s="2">
        <v>616259.23698766076</v>
      </c>
      <c r="AL584" s="27">
        <v>0.9156133866907793</v>
      </c>
      <c r="AM584" s="27">
        <v>0.91373743541419405</v>
      </c>
      <c r="AN584" s="27">
        <v>0.9040163563221304</v>
      </c>
      <c r="AO584" s="27">
        <v>0.87418966034959145</v>
      </c>
      <c r="AP584" s="27">
        <v>0.64256184286756335</v>
      </c>
      <c r="AQ584" s="27">
        <v>0.9156133866907793</v>
      </c>
      <c r="AR584" s="27">
        <v>0.91373743541419405</v>
      </c>
      <c r="AS584" s="27">
        <v>0.9040163563221304</v>
      </c>
      <c r="AT584" s="27">
        <v>0.87418966034959145</v>
      </c>
      <c r="AU584" s="27">
        <v>0.64256184286756335</v>
      </c>
      <c r="AW584" s="1">
        <v>13.018913597446117</v>
      </c>
      <c r="AX584" s="1">
        <v>15.237880580097327</v>
      </c>
      <c r="AY584" s="2">
        <v>2529090.7640459705</v>
      </c>
      <c r="AZ584" s="1">
        <v>15.118354813435284</v>
      </c>
      <c r="BA584" s="1">
        <v>17.239045927792912</v>
      </c>
      <c r="BB584" s="2">
        <v>1939425.3333882522</v>
      </c>
      <c r="BC584" s="2">
        <f t="shared" ref="BC584:BC647" si="70">BB584-AY584</f>
        <v>-589665.43065771833</v>
      </c>
      <c r="BD584" s="292">
        <f t="shared" ref="BD584:BD647" si="71">AZ584-AW584</f>
        <v>2.0994412159891667</v>
      </c>
      <c r="BF584" s="170">
        <f t="shared" si="66"/>
        <v>-446064.58845459181</v>
      </c>
      <c r="BG584" s="2">
        <f t="shared" si="67"/>
        <v>479511.43676139321</v>
      </c>
      <c r="BI584">
        <f t="shared" si="68"/>
        <v>0</v>
      </c>
      <c r="BJ584" s="95">
        <f t="shared" si="69"/>
        <v>1</v>
      </c>
      <c r="BP584" s="217">
        <f t="shared" ref="BP584:BP647" si="72">MAX(BF584,BG584)</f>
        <v>479511.43676139321</v>
      </c>
    </row>
    <row r="585" spans="1:68">
      <c r="A585" s="11">
        <v>579</v>
      </c>
      <c r="C585" s="27">
        <v>0.92139530543713666</v>
      </c>
      <c r="D585" s="27">
        <v>7.8604694562863342E-2</v>
      </c>
      <c r="E585" s="27">
        <v>0</v>
      </c>
      <c r="F585" s="27">
        <v>0.85773818985167305</v>
      </c>
      <c r="G585" s="27">
        <v>0.14226181014832692</v>
      </c>
      <c r="H585" s="27">
        <v>0</v>
      </c>
      <c r="I585" s="27">
        <v>0.74782619911968462</v>
      </c>
      <c r="J585" s="27">
        <v>0.25217380088031538</v>
      </c>
      <c r="K585" s="27">
        <v>0</v>
      </c>
      <c r="L585" s="27">
        <v>5.1487572661662373E-2</v>
      </c>
      <c r="M585" s="27">
        <v>0.51680223273428383</v>
      </c>
      <c r="N585" s="27">
        <v>0.4317101946040538</v>
      </c>
      <c r="O585" s="27">
        <v>-11.169517992323282</v>
      </c>
      <c r="P585" s="27">
        <v>3.4617964196336039E-2</v>
      </c>
      <c r="Q585" s="27">
        <v>6.0337093380953721E-5</v>
      </c>
      <c r="R585" s="27">
        <v>1.0806498591466274</v>
      </c>
      <c r="S585" s="154"/>
      <c r="T585">
        <v>0.91827209128856635</v>
      </c>
      <c r="U585">
        <v>2.2282394394186644</v>
      </c>
      <c r="V585">
        <v>3.0246833728752756</v>
      </c>
      <c r="W585">
        <v>1</v>
      </c>
      <c r="Y585" s="2">
        <v>258.88423187109044</v>
      </c>
      <c r="Z585" s="2">
        <v>7006.6649587189477</v>
      </c>
      <c r="AA585" s="2">
        <v>2339.1559260484746</v>
      </c>
      <c r="AB585" s="2">
        <v>400.98743738101712</v>
      </c>
      <c r="AC585" s="2">
        <v>1402.524515949852</v>
      </c>
      <c r="AD585" s="2">
        <v>1714.5951342393289</v>
      </c>
      <c r="AE585" s="2">
        <v>577.61562304708411</v>
      </c>
      <c r="AF585" s="2">
        <v>1262.8347462476988</v>
      </c>
      <c r="AG585" s="2">
        <v>98.338713886969927</v>
      </c>
      <c r="AH585" s="2">
        <v>339.47609070977245</v>
      </c>
      <c r="AI585" s="2">
        <v>425186.90163522877</v>
      </c>
      <c r="AJ585" s="2">
        <v>398074.441293635</v>
      </c>
      <c r="AL585" s="27">
        <v>0.91452984685347904</v>
      </c>
      <c r="AM585" s="27">
        <v>0.91641483551644942</v>
      </c>
      <c r="AN585" s="27">
        <v>0.90702104474167877</v>
      </c>
      <c r="AO585" s="27">
        <v>0.86990038345001974</v>
      </c>
      <c r="AP585" s="27">
        <v>0.68220074600448444</v>
      </c>
      <c r="AQ585" s="27">
        <v>0.91452984685347904</v>
      </c>
      <c r="AR585" s="27">
        <v>0.91641483551644942</v>
      </c>
      <c r="AS585" s="27">
        <v>0.90702104474167877</v>
      </c>
      <c r="AT585" s="27">
        <v>0.86990038345001974</v>
      </c>
      <c r="AU585" s="27">
        <v>0.68220074600448444</v>
      </c>
      <c r="AW585" s="1">
        <v>13.48190747716356</v>
      </c>
      <c r="AX585" s="1">
        <v>15.512118650069789</v>
      </c>
      <c r="AY585" s="2">
        <v>1546958.4372993885</v>
      </c>
      <c r="AZ585" s="1">
        <v>15.139229261906573</v>
      </c>
      <c r="BA585" s="1">
        <v>17.13191591111292</v>
      </c>
      <c r="BB585" s="2">
        <v>1141424.4322884253</v>
      </c>
      <c r="BC585" s="2">
        <f t="shared" si="70"/>
        <v>-405534.00501096318</v>
      </c>
      <c r="BD585" s="292">
        <f t="shared" si="71"/>
        <v>1.6573217847430133</v>
      </c>
      <c r="BF585" s="170">
        <f t="shared" si="66"/>
        <v>610146.75904678134</v>
      </c>
      <c r="BG585" s="2">
        <f t="shared" si="67"/>
        <v>1280852.2496166264</v>
      </c>
      <c r="BI585">
        <f t="shared" si="68"/>
        <v>0</v>
      </c>
      <c r="BJ585" s="95">
        <f t="shared" si="69"/>
        <v>1</v>
      </c>
      <c r="BP585" s="217">
        <f t="shared" si="72"/>
        <v>1280852.2496166264</v>
      </c>
    </row>
    <row r="586" spans="1:68">
      <c r="A586" s="11">
        <v>580</v>
      </c>
      <c r="C586" s="27">
        <v>0.92389281887635955</v>
      </c>
      <c r="D586" s="27">
        <v>7.6107181123640497E-2</v>
      </c>
      <c r="E586" s="27">
        <v>0</v>
      </c>
      <c r="F586" s="27">
        <v>0.85835882604194014</v>
      </c>
      <c r="G586" s="27">
        <v>0.14164117395805989</v>
      </c>
      <c r="H586" s="27">
        <v>0</v>
      </c>
      <c r="I586" s="27">
        <v>0.75357637440903558</v>
      </c>
      <c r="J586" s="27">
        <v>0.24642362559096437</v>
      </c>
      <c r="K586" s="27">
        <v>0</v>
      </c>
      <c r="L586" s="27">
        <v>6.8930294861450303E-2</v>
      </c>
      <c r="M586" s="27">
        <v>0.56024484436624633</v>
      </c>
      <c r="N586" s="27">
        <v>0.37082486077230337</v>
      </c>
      <c r="O586" s="27">
        <v>-11.249865441242218</v>
      </c>
      <c r="P586" s="27">
        <v>3.8007995264252484E-2</v>
      </c>
      <c r="Q586" s="27">
        <v>6.4198568813361332E-5</v>
      </c>
      <c r="R586" s="27">
        <v>1.0653255805923261</v>
      </c>
      <c r="S586" s="154"/>
      <c r="T586">
        <v>1.0279839580692731</v>
      </c>
      <c r="U586">
        <v>2.2556924949353658</v>
      </c>
      <c r="V586">
        <v>2.5677488319430939</v>
      </c>
      <c r="W586">
        <v>1</v>
      </c>
      <c r="Y586" s="2">
        <v>580.3240622224921</v>
      </c>
      <c r="Z586" s="2">
        <v>706.52712316262796</v>
      </c>
      <c r="AA586" s="2">
        <v>1678.2219599966022</v>
      </c>
      <c r="AB586" s="2">
        <v>1598.2978493876963</v>
      </c>
      <c r="AC586" s="2">
        <v>6116.5306627348409</v>
      </c>
      <c r="AD586" s="2">
        <v>1671.0026858321339</v>
      </c>
      <c r="AE586" s="2">
        <v>603.52247754501877</v>
      </c>
      <c r="AF586" s="2">
        <v>1823.8023560433041</v>
      </c>
      <c r="AG586" s="2">
        <v>92.758193724899712</v>
      </c>
      <c r="AH586" s="2">
        <v>543.03483079221792</v>
      </c>
      <c r="AI586" s="2">
        <v>456903.63895017724</v>
      </c>
      <c r="AJ586" s="2">
        <v>421543.47959367372</v>
      </c>
      <c r="AL586" s="27">
        <v>0.91565531360402597</v>
      </c>
      <c r="AM586" s="27">
        <v>0.91991057638847384</v>
      </c>
      <c r="AN586" s="27">
        <v>0.91325360211984319</v>
      </c>
      <c r="AO586" s="27">
        <v>0.86773395977428358</v>
      </c>
      <c r="AP586" s="27">
        <v>0.75184748437147064</v>
      </c>
      <c r="AQ586" s="27">
        <v>0.91565531360402597</v>
      </c>
      <c r="AR586" s="27">
        <v>0.91991057638847384</v>
      </c>
      <c r="AS586" s="27">
        <v>0.91325360211984319</v>
      </c>
      <c r="AT586" s="27">
        <v>0.86773395977428358</v>
      </c>
      <c r="AU586" s="27">
        <v>0.75184748437147064</v>
      </c>
      <c r="AW586" s="1">
        <v>13.877889229189714</v>
      </c>
      <c r="AX586" s="1">
        <v>15.789855283867251</v>
      </c>
      <c r="AY586" s="2">
        <v>1871443.2118077467</v>
      </c>
      <c r="AZ586" s="1">
        <v>15.642981513015121</v>
      </c>
      <c r="BA586" s="1">
        <v>17.5240054875458</v>
      </c>
      <c r="BB586" s="2">
        <v>1350865.6587630091</v>
      </c>
      <c r="BC586" s="2">
        <f t="shared" si="70"/>
        <v>-520577.55304473755</v>
      </c>
      <c r="BD586" s="292">
        <f t="shared" si="71"/>
        <v>1.7650922838254068</v>
      </c>
      <c r="BF586" s="170">
        <f t="shared" si="66"/>
        <v>349019.06486260775</v>
      </c>
      <c r="BG586" s="2">
        <f t="shared" si="67"/>
        <v>1152011.38331941</v>
      </c>
      <c r="BI586">
        <f t="shared" si="68"/>
        <v>0</v>
      </c>
      <c r="BJ586" s="95">
        <f t="shared" si="69"/>
        <v>1</v>
      </c>
      <c r="BP586" s="217">
        <f t="shared" si="72"/>
        <v>1152011.38331941</v>
      </c>
    </row>
    <row r="587" spans="1:68">
      <c r="A587" s="11">
        <v>581</v>
      </c>
      <c r="C587" s="27">
        <v>0.91980087402601007</v>
      </c>
      <c r="D587" s="27">
        <v>8.0199125973989926E-2</v>
      </c>
      <c r="E587" s="27">
        <v>0</v>
      </c>
      <c r="F587" s="27">
        <v>0.8503803321501493</v>
      </c>
      <c r="G587" s="27">
        <v>0.1496196678498507</v>
      </c>
      <c r="H587" s="27">
        <v>0</v>
      </c>
      <c r="I587" s="27">
        <v>0.7493050593157502</v>
      </c>
      <c r="J587" s="27">
        <v>0.2506949406842498</v>
      </c>
      <c r="K587" s="27">
        <v>0</v>
      </c>
      <c r="L587" s="27">
        <v>8.7184912718729246E-2</v>
      </c>
      <c r="M587" s="27">
        <v>0.54792324828268035</v>
      </c>
      <c r="N587" s="27">
        <v>0.3648918389985904</v>
      </c>
      <c r="O587" s="27">
        <v>-11.081751969064332</v>
      </c>
      <c r="P587" s="27">
        <v>3.7173894979295852E-2</v>
      </c>
      <c r="Q587" s="27">
        <v>7.3336774239438773E-5</v>
      </c>
      <c r="R587" s="27">
        <v>1.0420532099693367</v>
      </c>
      <c r="S587" s="154"/>
      <c r="T587">
        <v>1.1175046880975743</v>
      </c>
      <c r="U587">
        <v>2.252640103357642</v>
      </c>
      <c r="V587">
        <v>2.9937114350891756</v>
      </c>
      <c r="W587">
        <v>1</v>
      </c>
      <c r="Y587" s="2">
        <v>362.31595903780152</v>
      </c>
      <c r="Z587" s="2">
        <v>971.09935100226392</v>
      </c>
      <c r="AA587" s="2">
        <v>227.87353953744815</v>
      </c>
      <c r="AB587" s="2">
        <v>2684.1773173274837</v>
      </c>
      <c r="AC587" s="2">
        <v>186.9361098138254</v>
      </c>
      <c r="AD587" s="2">
        <v>2726.1719577184485</v>
      </c>
      <c r="AE587" s="2">
        <v>505.87784663300505</v>
      </c>
      <c r="AF587" s="2">
        <v>838.84297399731179</v>
      </c>
      <c r="AG587" s="2">
        <v>118.80237206306643</v>
      </c>
      <c r="AH587" s="2">
        <v>299.75938339985453</v>
      </c>
      <c r="AI587" s="2">
        <v>404502.34540006402</v>
      </c>
      <c r="AJ587" s="2">
        <v>368324.71216024476</v>
      </c>
      <c r="AL587" s="27">
        <v>0.91513511876588316</v>
      </c>
      <c r="AM587" s="27">
        <v>0.90863222758115703</v>
      </c>
      <c r="AN587" s="27">
        <v>0.91635952518642583</v>
      </c>
      <c r="AO587" s="27">
        <v>0.87641361176918475</v>
      </c>
      <c r="AP587" s="27">
        <v>0.64888261013048398</v>
      </c>
      <c r="AQ587" s="27">
        <v>0.91513511876588316</v>
      </c>
      <c r="AR587" s="27">
        <v>0.90863222758115703</v>
      </c>
      <c r="AS587" s="27">
        <v>0.91635952518642583</v>
      </c>
      <c r="AT587" s="27">
        <v>0.87641361176918475</v>
      </c>
      <c r="AU587" s="27">
        <v>0.64888261013048398</v>
      </c>
      <c r="AW587" s="1">
        <v>13.040470137439076</v>
      </c>
      <c r="AX587" s="1">
        <v>15.39751362008192</v>
      </c>
      <c r="AY587" s="2">
        <v>1757337.493234962</v>
      </c>
      <c r="AZ587" s="1">
        <v>15.203091790395961</v>
      </c>
      <c r="BA587" s="1">
        <v>17.409678047334015</v>
      </c>
      <c r="BB587" s="2">
        <v>1275047.3021929993</v>
      </c>
      <c r="BC587" s="2">
        <f t="shared" si="70"/>
        <v>-482290.19104196271</v>
      </c>
      <c r="BD587" s="292">
        <f t="shared" si="71"/>
        <v>2.1626216529568847</v>
      </c>
      <c r="BF587" s="170">
        <f t="shared" si="66"/>
        <v>329137.72875529015</v>
      </c>
      <c r="BG587" s="2">
        <f t="shared" si="67"/>
        <v>1157447.3842703544</v>
      </c>
      <c r="BI587">
        <f t="shared" si="68"/>
        <v>0</v>
      </c>
      <c r="BJ587" s="95">
        <f t="shared" si="69"/>
        <v>1</v>
      </c>
      <c r="BP587" s="217">
        <f t="shared" si="72"/>
        <v>1157447.3842703544</v>
      </c>
    </row>
    <row r="588" spans="1:68">
      <c r="A588" s="11">
        <v>582</v>
      </c>
      <c r="C588" s="27">
        <v>0.92321614765426796</v>
      </c>
      <c r="D588" s="27">
        <v>7.6783852345732068E-2</v>
      </c>
      <c r="E588" s="27">
        <v>0</v>
      </c>
      <c r="F588" s="27">
        <v>0.86018840202366431</v>
      </c>
      <c r="G588" s="27">
        <v>0.13981159797633572</v>
      </c>
      <c r="H588" s="27">
        <v>0</v>
      </c>
      <c r="I588" s="27">
        <v>0.75127563815854614</v>
      </c>
      <c r="J588" s="27">
        <v>0.24872436184145386</v>
      </c>
      <c r="K588" s="27">
        <v>0</v>
      </c>
      <c r="L588" s="27">
        <v>9.9171475434858047E-2</v>
      </c>
      <c r="M588" s="27">
        <v>0.47457049798578843</v>
      </c>
      <c r="N588" s="27">
        <v>0.42625802657935352</v>
      </c>
      <c r="O588" s="27">
        <v>-11.655083136885651</v>
      </c>
      <c r="P588" s="27">
        <v>3.9027280640025454E-2</v>
      </c>
      <c r="Q588" s="27">
        <v>4.4682110454180358E-5</v>
      </c>
      <c r="R588" s="27">
        <v>1.1026329272780897</v>
      </c>
      <c r="S588" s="154"/>
      <c r="T588">
        <v>1.0840512839800729</v>
      </c>
      <c r="U588">
        <v>2.2046863732084852</v>
      </c>
      <c r="V588">
        <v>2.9611381669368462</v>
      </c>
      <c r="W588">
        <v>1</v>
      </c>
      <c r="Y588" s="2">
        <v>611.82978459739957</v>
      </c>
      <c r="Z588" s="2">
        <v>7237.1933985715395</v>
      </c>
      <c r="AA588" s="2">
        <v>631.01512221031942</v>
      </c>
      <c r="AB588" s="2">
        <v>6425.3994951356572</v>
      </c>
      <c r="AC588" s="2">
        <v>1774.9093502729356</v>
      </c>
      <c r="AD588" s="2">
        <v>490.88817923494531</v>
      </c>
      <c r="AE588" s="2">
        <v>613.40298758776225</v>
      </c>
      <c r="AF588" s="2">
        <v>907.64599388721854</v>
      </c>
      <c r="AG588" s="2">
        <v>171.66313134474186</v>
      </c>
      <c r="AH588" s="2">
        <v>791.95617701258936</v>
      </c>
      <c r="AI588" s="2">
        <v>462911.00728952751</v>
      </c>
      <c r="AJ588" s="2">
        <v>438543.87936456042</v>
      </c>
      <c r="AL588" s="27">
        <v>0.90722857014618752</v>
      </c>
      <c r="AM588" s="27">
        <v>0.91015219513965784</v>
      </c>
      <c r="AN588" s="27">
        <v>0.91007532965059534</v>
      </c>
      <c r="AO588" s="27">
        <v>0.90413324347803736</v>
      </c>
      <c r="AP588" s="27">
        <v>0.69980192804693653</v>
      </c>
      <c r="AQ588" s="27">
        <v>0.90722857014618752</v>
      </c>
      <c r="AR588" s="27">
        <v>0.91015219513965784</v>
      </c>
      <c r="AS588" s="27">
        <v>0.91007532965059534</v>
      </c>
      <c r="AT588" s="27">
        <v>0.90413324347803736</v>
      </c>
      <c r="AU588" s="27">
        <v>0.69980192804693653</v>
      </c>
      <c r="AW588" s="1">
        <v>13.119198339873863</v>
      </c>
      <c r="AX588" s="1">
        <v>15.158311611999329</v>
      </c>
      <c r="AY588" s="2">
        <v>1797168.6707242983</v>
      </c>
      <c r="AZ588" s="1">
        <v>15.206919021227483</v>
      </c>
      <c r="BA588" s="1">
        <v>17.224491862903029</v>
      </c>
      <c r="BB588" s="2">
        <v>1270627.0926497001</v>
      </c>
      <c r="BC588" s="2">
        <f t="shared" si="70"/>
        <v>-526541.57807459822</v>
      </c>
      <c r="BD588" s="292">
        <f t="shared" si="71"/>
        <v>2.0877206813536198</v>
      </c>
      <c r="BF588" s="170">
        <f t="shared" si="66"/>
        <v>301903.06365551986</v>
      </c>
      <c r="BG588" s="2">
        <f t="shared" si="67"/>
        <v>1162479.9507466974</v>
      </c>
      <c r="BI588">
        <f t="shared" si="68"/>
        <v>0</v>
      </c>
      <c r="BJ588" s="95">
        <f t="shared" si="69"/>
        <v>1</v>
      </c>
      <c r="BP588" s="217">
        <f t="shared" si="72"/>
        <v>1162479.9507466974</v>
      </c>
    </row>
    <row r="589" spans="1:68">
      <c r="A589" s="11">
        <v>583</v>
      </c>
      <c r="C589" s="27">
        <v>0.91946153738276437</v>
      </c>
      <c r="D589" s="27">
        <v>8.0538462617235629E-2</v>
      </c>
      <c r="E589" s="27">
        <v>0</v>
      </c>
      <c r="F589" s="27">
        <v>0.85477628958450624</v>
      </c>
      <c r="G589" s="27">
        <v>0.14522371041549376</v>
      </c>
      <c r="H589" s="27">
        <v>0</v>
      </c>
      <c r="I589" s="27">
        <v>0.75218953492170448</v>
      </c>
      <c r="J589" s="27">
        <v>0.24781046507829552</v>
      </c>
      <c r="K589" s="27">
        <v>0</v>
      </c>
      <c r="L589" s="27">
        <v>0.15365364424785793</v>
      </c>
      <c r="M589" s="27">
        <v>0.48406555656685996</v>
      </c>
      <c r="N589" s="27">
        <v>0.36228079918528217</v>
      </c>
      <c r="O589" s="27">
        <v>-11.027821862891123</v>
      </c>
      <c r="P589" s="27">
        <v>3.4417267061575919E-2</v>
      </c>
      <c r="Q589" s="27">
        <v>6.8938438566021427E-5</v>
      </c>
      <c r="R589" s="27">
        <v>1.0613196395450226</v>
      </c>
      <c r="S589" s="154"/>
      <c r="T589">
        <v>1.1283871078086816</v>
      </c>
      <c r="U589">
        <v>2.1819089850036408</v>
      </c>
      <c r="V589">
        <v>3.0271074749528779</v>
      </c>
      <c r="W589">
        <v>1</v>
      </c>
      <c r="Y589" s="2">
        <v>2685.8912258362116</v>
      </c>
      <c r="Z589" s="2">
        <v>722.92195264416694</v>
      </c>
      <c r="AA589" s="2">
        <v>1683.6614775681744</v>
      </c>
      <c r="AB589" s="2">
        <v>2561.8448467354951</v>
      </c>
      <c r="AC589" s="2">
        <v>2033.4929176727678</v>
      </c>
      <c r="AD589" s="2">
        <v>890.89472146504443</v>
      </c>
      <c r="AE589" s="2">
        <v>611.25743539519863</v>
      </c>
      <c r="AF589" s="2">
        <v>1049.5166293268387</v>
      </c>
      <c r="AG589" s="2">
        <v>97.467047212428398</v>
      </c>
      <c r="AH589" s="2">
        <v>484.85016499599169</v>
      </c>
      <c r="AI589" s="2">
        <v>507263.93038273428</v>
      </c>
      <c r="AJ589" s="2">
        <v>448875.13759536063</v>
      </c>
      <c r="AL589" s="27">
        <v>0.91490390646961262</v>
      </c>
      <c r="AM589" s="27">
        <v>0.91564976420993205</v>
      </c>
      <c r="AN589" s="27">
        <v>0.90165742888991129</v>
      </c>
      <c r="AO589" s="27">
        <v>0.85652631058465056</v>
      </c>
      <c r="AP589" s="27">
        <v>0.65696186445755389</v>
      </c>
      <c r="AQ589" s="27">
        <v>0.91490390646961262</v>
      </c>
      <c r="AR589" s="27">
        <v>0.91564976420993205</v>
      </c>
      <c r="AS589" s="27">
        <v>0.90165742888991129</v>
      </c>
      <c r="AT589" s="27">
        <v>0.85652631058465056</v>
      </c>
      <c r="AU589" s="27">
        <v>0.65696186445755389</v>
      </c>
      <c r="AW589" s="1">
        <v>12.897907378460481</v>
      </c>
      <c r="AX589" s="1">
        <v>15.1231791551421</v>
      </c>
      <c r="AY589" s="2">
        <v>1978647.3572362468</v>
      </c>
      <c r="AZ589" s="1">
        <v>15.135725040413254</v>
      </c>
      <c r="BA589" s="1">
        <v>17.2570101498935</v>
      </c>
      <c r="BB589" s="2">
        <v>1381589.5753158368</v>
      </c>
      <c r="BC589" s="2">
        <f t="shared" si="70"/>
        <v>-597057.78192040999</v>
      </c>
      <c r="BD589" s="292">
        <f t="shared" si="71"/>
        <v>2.2378176619527732</v>
      </c>
      <c r="BF589" s="170">
        <f t="shared" si="66"/>
        <v>85017.823317430215</v>
      </c>
      <c r="BG589" s="2">
        <f t="shared" si="67"/>
        <v>1040126.4311502837</v>
      </c>
      <c r="BI589">
        <f t="shared" si="68"/>
        <v>0</v>
      </c>
      <c r="BJ589" s="95">
        <f t="shared" si="69"/>
        <v>1</v>
      </c>
      <c r="BP589" s="217">
        <f t="shared" si="72"/>
        <v>1040126.4311502837</v>
      </c>
    </row>
    <row r="590" spans="1:68">
      <c r="A590" s="11">
        <v>584</v>
      </c>
      <c r="C590" s="27">
        <v>0.92271730839210286</v>
      </c>
      <c r="D590" s="27">
        <v>7.7282691607897136E-2</v>
      </c>
      <c r="E590" s="27">
        <v>0</v>
      </c>
      <c r="F590" s="27">
        <v>0.85916584019872044</v>
      </c>
      <c r="G590" s="27">
        <v>0.14083415980127953</v>
      </c>
      <c r="H590" s="27">
        <v>0</v>
      </c>
      <c r="I590" s="27">
        <v>0.7570956042937329</v>
      </c>
      <c r="J590" s="27">
        <v>0.2429043957062671</v>
      </c>
      <c r="K590" s="27">
        <v>0</v>
      </c>
      <c r="L590" s="27">
        <v>7.443122031687488E-2</v>
      </c>
      <c r="M590" s="27">
        <v>0.45276949830040847</v>
      </c>
      <c r="N590" s="27">
        <v>0.47279928138271665</v>
      </c>
      <c r="O590" s="27">
        <v>-10.594770178051851</v>
      </c>
      <c r="P590" s="27">
        <v>3.2858792629374252E-2</v>
      </c>
      <c r="Q590" s="27">
        <v>9.9564897760288863E-5</v>
      </c>
      <c r="R590" s="27">
        <v>1.0100247238230859</v>
      </c>
      <c r="S590" s="154"/>
      <c r="T590">
        <v>1.0165903214110319</v>
      </c>
      <c r="U590">
        <v>2.3204433010070242</v>
      </c>
      <c r="V590">
        <v>2.9032460094401276</v>
      </c>
      <c r="W590">
        <v>1</v>
      </c>
      <c r="Y590" s="2">
        <v>231.57924018372614</v>
      </c>
      <c r="Z590" s="2">
        <v>4928.243850089133</v>
      </c>
      <c r="AA590" s="2">
        <v>16.042681189803304</v>
      </c>
      <c r="AB590" s="2">
        <v>4186.9123212448712</v>
      </c>
      <c r="AC590" s="2">
        <v>367.81112960608056</v>
      </c>
      <c r="AD590" s="2">
        <v>803.39668256913751</v>
      </c>
      <c r="AE590" s="2">
        <v>505.52827494218076</v>
      </c>
      <c r="AF590" s="2">
        <v>1384.9685145624901</v>
      </c>
      <c r="AG590" s="2">
        <v>115.97199595839359</v>
      </c>
      <c r="AH590" s="2">
        <v>425.07515998504931</v>
      </c>
      <c r="AI590" s="2">
        <v>433002.16720928543</v>
      </c>
      <c r="AJ590" s="2">
        <v>389902.88169660198</v>
      </c>
      <c r="AL590" s="27">
        <v>0.91590572387952363</v>
      </c>
      <c r="AM590" s="27">
        <v>0.91569832617977887</v>
      </c>
      <c r="AN590" s="27">
        <v>0.91191777883142899</v>
      </c>
      <c r="AO590" s="27">
        <v>0.82387467187420238</v>
      </c>
      <c r="AP590" s="27">
        <v>0.63076095160569734</v>
      </c>
      <c r="AQ590" s="27">
        <v>0.91590572387952363</v>
      </c>
      <c r="AR590" s="27">
        <v>0.91569832617977887</v>
      </c>
      <c r="AS590" s="27">
        <v>0.91191777883142899</v>
      </c>
      <c r="AT590" s="27">
        <v>0.82387467187420238</v>
      </c>
      <c r="AU590" s="27">
        <v>0.63076095160569734</v>
      </c>
      <c r="AW590" s="1">
        <v>12.991742398314967</v>
      </c>
      <c r="AX590" s="1">
        <v>15.153499890663582</v>
      </c>
      <c r="AY590" s="2">
        <v>1478310.5903932042</v>
      </c>
      <c r="AZ590" s="1">
        <v>15.067022908199208</v>
      </c>
      <c r="BA590" s="1">
        <v>17.134652969910679</v>
      </c>
      <c r="BB590" s="2">
        <v>1075685.0620207333</v>
      </c>
      <c r="BC590" s="2">
        <f t="shared" si="70"/>
        <v>-402625.52837247099</v>
      </c>
      <c r="BD590" s="292">
        <f t="shared" si="71"/>
        <v>2.0752805098842408</v>
      </c>
      <c r="BF590" s="170">
        <f t="shared" si="66"/>
        <v>600368.19333719043</v>
      </c>
      <c r="BG590" s="2">
        <f t="shared" si="67"/>
        <v>1335038.6032911402</v>
      </c>
      <c r="BI590">
        <f t="shared" si="68"/>
        <v>0</v>
      </c>
      <c r="BJ590" s="95">
        <f t="shared" si="69"/>
        <v>1</v>
      </c>
      <c r="BP590" s="217">
        <f t="shared" si="72"/>
        <v>1335038.6032911402</v>
      </c>
    </row>
    <row r="591" spans="1:68">
      <c r="A591" s="11">
        <v>585</v>
      </c>
      <c r="C591" s="27">
        <v>0.92418640311164602</v>
      </c>
      <c r="D591" s="27">
        <v>7.5813596888354026E-2</v>
      </c>
      <c r="E591" s="27">
        <v>0</v>
      </c>
      <c r="F591" s="27">
        <v>0.85293686874983066</v>
      </c>
      <c r="G591" s="27">
        <v>0.14706313125016934</v>
      </c>
      <c r="H591" s="27">
        <v>0</v>
      </c>
      <c r="I591" s="27">
        <v>0.75569241252772112</v>
      </c>
      <c r="J591" s="27">
        <v>0.2443075874722789</v>
      </c>
      <c r="K591" s="27">
        <v>0</v>
      </c>
      <c r="L591" s="27">
        <v>0.19869133379143716</v>
      </c>
      <c r="M591" s="27">
        <v>0.46728428003317685</v>
      </c>
      <c r="N591" s="27">
        <v>0.33402438617538593</v>
      </c>
      <c r="O591" s="27">
        <v>-11.290261804649896</v>
      </c>
      <c r="P591" s="27">
        <v>3.7121019825187049E-2</v>
      </c>
      <c r="Q591" s="27">
        <v>5.9402219201909877E-5</v>
      </c>
      <c r="R591" s="27">
        <v>1.0704556791295581</v>
      </c>
      <c r="S591" s="154"/>
      <c r="T591">
        <v>1.0025106907497703</v>
      </c>
      <c r="U591">
        <v>2.2821506092142494</v>
      </c>
      <c r="V591">
        <v>3.1789755361573109</v>
      </c>
      <c r="W591">
        <v>1</v>
      </c>
      <c r="Y591" s="2">
        <v>231.61149837713043</v>
      </c>
      <c r="Z591" s="2">
        <v>3035.5222896744485</v>
      </c>
      <c r="AA591" s="2">
        <v>5001.3068817869589</v>
      </c>
      <c r="AB591" s="2">
        <v>4173.9644052816993</v>
      </c>
      <c r="AC591" s="2">
        <v>46.467581504609768</v>
      </c>
      <c r="AD591" s="2">
        <v>655.95907456444968</v>
      </c>
      <c r="AE591" s="2">
        <v>603.75037546350336</v>
      </c>
      <c r="AF591" s="2">
        <v>1117.4471205957705</v>
      </c>
      <c r="AG591" s="2">
        <v>137.36916373625027</v>
      </c>
      <c r="AH591" s="2">
        <v>363.98434369577734</v>
      </c>
      <c r="AI591" s="2">
        <v>499510.78269739705</v>
      </c>
      <c r="AJ591" s="2">
        <v>470409.48608550703</v>
      </c>
      <c r="AL591" s="27">
        <v>0.91488197309664987</v>
      </c>
      <c r="AM591" s="27">
        <v>0.91590056903642136</v>
      </c>
      <c r="AN591" s="27">
        <v>0.90379002840470501</v>
      </c>
      <c r="AO591" s="27">
        <v>0.87402088472044348</v>
      </c>
      <c r="AP591" s="27">
        <v>0.80662070502387762</v>
      </c>
      <c r="AQ591" s="27">
        <v>0.91488197309664987</v>
      </c>
      <c r="AR591" s="27">
        <v>0.91590056903642136</v>
      </c>
      <c r="AS591" s="27">
        <v>0.90379002840470501</v>
      </c>
      <c r="AT591" s="27">
        <v>0.87402088472044348</v>
      </c>
      <c r="AU591" s="27">
        <v>0.80662070502387762</v>
      </c>
      <c r="AW591" s="1">
        <v>13.9756986406876</v>
      </c>
      <c r="AX591" s="1">
        <v>15.708422077424292</v>
      </c>
      <c r="AY591" s="2">
        <v>1979965.0909009362</v>
      </c>
      <c r="AZ591" s="1">
        <v>15.700765028003616</v>
      </c>
      <c r="BA591" s="1">
        <v>17.480585256315305</v>
      </c>
      <c r="BB591" s="2">
        <v>1527458.3819089497</v>
      </c>
      <c r="BC591" s="2">
        <f t="shared" si="70"/>
        <v>-452506.70899198647</v>
      </c>
      <c r="BD591" s="292">
        <f t="shared" si="71"/>
        <v>1.7250663873160157</v>
      </c>
      <c r="BF591" s="170">
        <f t="shared" si="66"/>
        <v>256146.69160907995</v>
      </c>
      <c r="BG591" s="2">
        <f t="shared" si="67"/>
        <v>984664.02257162868</v>
      </c>
      <c r="BI591">
        <f t="shared" si="68"/>
        <v>0</v>
      </c>
      <c r="BJ591" s="95">
        <f t="shared" si="69"/>
        <v>1</v>
      </c>
      <c r="BP591" s="217">
        <f t="shared" si="72"/>
        <v>984664.02257162868</v>
      </c>
    </row>
    <row r="592" spans="1:68">
      <c r="A592" s="11">
        <v>586</v>
      </c>
      <c r="C592" s="27">
        <v>0.92180473817031627</v>
      </c>
      <c r="D592" s="27">
        <v>7.8195261829683727E-2</v>
      </c>
      <c r="E592" s="27">
        <v>0</v>
      </c>
      <c r="F592" s="27">
        <v>0.85438427401813322</v>
      </c>
      <c r="G592" s="27">
        <v>0.14561572598186678</v>
      </c>
      <c r="H592" s="27">
        <v>0</v>
      </c>
      <c r="I592" s="27">
        <v>0.75710425705902407</v>
      </c>
      <c r="J592" s="27">
        <v>0.24289574294097593</v>
      </c>
      <c r="K592" s="27">
        <v>0</v>
      </c>
      <c r="L592" s="27">
        <v>9.3441022719051747E-2</v>
      </c>
      <c r="M592" s="27">
        <v>0.51193416918210877</v>
      </c>
      <c r="N592" s="27">
        <v>0.39462480809883949</v>
      </c>
      <c r="O592" s="27">
        <v>-10.915761500424217</v>
      </c>
      <c r="P592" s="27">
        <v>3.4613941702811325E-2</v>
      </c>
      <c r="Q592" s="27">
        <v>7.7752803559950903E-5</v>
      </c>
      <c r="R592" s="27">
        <v>1.0416381338438372</v>
      </c>
      <c r="S592" s="154"/>
      <c r="T592">
        <v>0.84764919221113511</v>
      </c>
      <c r="U592">
        <v>2.2515643785667305</v>
      </c>
      <c r="V592">
        <v>3.2837091635216789</v>
      </c>
      <c r="W592">
        <v>1</v>
      </c>
      <c r="Y592" s="2">
        <v>617.90971370835484</v>
      </c>
      <c r="Z592" s="2">
        <v>4266.2612422885441</v>
      </c>
      <c r="AA592" s="2">
        <v>1870.1286447127882</v>
      </c>
      <c r="AB592" s="2">
        <v>3535.8104154602524</v>
      </c>
      <c r="AC592" s="2">
        <v>921.11219672589812</v>
      </c>
      <c r="AD592" s="2">
        <v>1897.716799556066</v>
      </c>
      <c r="AE592" s="2">
        <v>599.30843898601017</v>
      </c>
      <c r="AF592" s="2">
        <v>1068.8528582160777</v>
      </c>
      <c r="AG592" s="2">
        <v>148.33909839228227</v>
      </c>
      <c r="AH592" s="2">
        <v>310.9305714369072</v>
      </c>
      <c r="AI592" s="2">
        <v>408845.79020157468</v>
      </c>
      <c r="AJ592" s="2">
        <v>377818.62470303517</v>
      </c>
      <c r="AL592" s="27">
        <v>0.91627927017877564</v>
      </c>
      <c r="AM592" s="27">
        <v>0.91468870137135172</v>
      </c>
      <c r="AN592" s="27">
        <v>0.91227266847301625</v>
      </c>
      <c r="AO592" s="27">
        <v>0.89632994516538933</v>
      </c>
      <c r="AP592" s="27">
        <v>0.53809113135930109</v>
      </c>
      <c r="AQ592" s="27">
        <v>0.91627927017877564</v>
      </c>
      <c r="AR592" s="27">
        <v>0.91468870137135172</v>
      </c>
      <c r="AS592" s="27">
        <v>0.91227266847301625</v>
      </c>
      <c r="AT592" s="27">
        <v>0.89632994516538933</v>
      </c>
      <c r="AU592" s="27">
        <v>0.53809113135930109</v>
      </c>
      <c r="AW592" s="1">
        <v>13.459534169132152</v>
      </c>
      <c r="AX592" s="1">
        <v>15.962816314860754</v>
      </c>
      <c r="AY592" s="2">
        <v>1503905.3041280708</v>
      </c>
      <c r="AZ592" s="1">
        <v>14.983737323215189</v>
      </c>
      <c r="BA592" s="1">
        <v>17.33627319673958</v>
      </c>
      <c r="BB592" s="2">
        <v>1212822.8784341079</v>
      </c>
      <c r="BC592" s="2">
        <f t="shared" si="70"/>
        <v>-291082.42569396296</v>
      </c>
      <c r="BD592" s="292">
        <f t="shared" si="71"/>
        <v>1.5242031540830379</v>
      </c>
      <c r="BF592" s="170">
        <f t="shared" si="66"/>
        <v>649620.16293307347</v>
      </c>
      <c r="BG592" s="2">
        <f t="shared" si="67"/>
        <v>1184575.0932803226</v>
      </c>
      <c r="BI592">
        <f t="shared" si="68"/>
        <v>0</v>
      </c>
      <c r="BJ592" s="95">
        <f t="shared" si="69"/>
        <v>1</v>
      </c>
      <c r="BP592" s="217">
        <f t="shared" si="72"/>
        <v>1184575.0932803226</v>
      </c>
    </row>
    <row r="593" spans="1:68">
      <c r="A593" s="11">
        <v>587</v>
      </c>
      <c r="C593" s="27">
        <v>0.92233735090329894</v>
      </c>
      <c r="D593" s="27">
        <v>7.7662649096701064E-2</v>
      </c>
      <c r="E593" s="27">
        <v>0</v>
      </c>
      <c r="F593" s="27">
        <v>0.85657868645173585</v>
      </c>
      <c r="G593" s="27">
        <v>0.14342131354826415</v>
      </c>
      <c r="H593" s="27">
        <v>0</v>
      </c>
      <c r="I593" s="27">
        <v>0.74959303508446384</v>
      </c>
      <c r="J593" s="27">
        <v>0.25040696491553616</v>
      </c>
      <c r="K593" s="27">
        <v>0</v>
      </c>
      <c r="L593" s="27">
        <v>0.14203523829627662</v>
      </c>
      <c r="M593" s="27">
        <v>0.50694286407247535</v>
      </c>
      <c r="N593" s="27">
        <v>0.35102189763124803</v>
      </c>
      <c r="O593" s="27">
        <v>-11.183725794213707</v>
      </c>
      <c r="P593" s="27">
        <v>3.3884642409853241E-2</v>
      </c>
      <c r="Q593" s="27">
        <v>5.7681687279329075E-5</v>
      </c>
      <c r="R593" s="27">
        <v>1.0824566631097043</v>
      </c>
      <c r="S593" s="154"/>
      <c r="T593">
        <v>1.1010073193403631</v>
      </c>
      <c r="U593">
        <v>2.1630267080155252</v>
      </c>
      <c r="V593">
        <v>2.9636652682400872</v>
      </c>
      <c r="W593">
        <v>1</v>
      </c>
      <c r="Y593" s="2">
        <v>1118.7511710522483</v>
      </c>
      <c r="Z593" s="2">
        <v>2523.1517355802011</v>
      </c>
      <c r="AA593" s="2">
        <v>1463.510678257478</v>
      </c>
      <c r="AB593" s="2">
        <v>719.33282946456586</v>
      </c>
      <c r="AC593" s="2">
        <v>1714.644899672157</v>
      </c>
      <c r="AD593" s="2">
        <v>1098.6672635832219</v>
      </c>
      <c r="AE593" s="2">
        <v>570.66860428687244</v>
      </c>
      <c r="AF593" s="2">
        <v>1147.9161126568345</v>
      </c>
      <c r="AG593" s="2">
        <v>157.58612422308437</v>
      </c>
      <c r="AH593" s="2">
        <v>497.90616902803521</v>
      </c>
      <c r="AI593" s="2">
        <v>579526.81036867667</v>
      </c>
      <c r="AJ593" s="2">
        <v>555434.7448778213</v>
      </c>
      <c r="AL593" s="27">
        <v>0.91738052261771563</v>
      </c>
      <c r="AM593" s="27">
        <v>0.92110892979887327</v>
      </c>
      <c r="AN593" s="27">
        <v>0.91639085464892422</v>
      </c>
      <c r="AO593" s="27">
        <v>0.86522434923746883</v>
      </c>
      <c r="AP593" s="27">
        <v>0.78187962500983077</v>
      </c>
      <c r="AQ593" s="27">
        <v>0.91738052261771563</v>
      </c>
      <c r="AR593" s="27">
        <v>0.92110892979887327</v>
      </c>
      <c r="AS593" s="27">
        <v>0.91639085464892422</v>
      </c>
      <c r="AT593" s="27">
        <v>0.86522434923746883</v>
      </c>
      <c r="AU593" s="27">
        <v>0.78187962500983077</v>
      </c>
      <c r="AW593" s="1">
        <v>13.629895786459183</v>
      </c>
      <c r="AX593" s="1">
        <v>15.3931501230607</v>
      </c>
      <c r="AY593" s="2">
        <v>2404510.432996253</v>
      </c>
      <c r="AZ593" s="1">
        <v>15.618394841169939</v>
      </c>
      <c r="BA593" s="1">
        <v>17.385249035181907</v>
      </c>
      <c r="BB593" s="2">
        <v>1654169.9771675267</v>
      </c>
      <c r="BC593" s="2">
        <f t="shared" si="70"/>
        <v>-750340.45582872629</v>
      </c>
      <c r="BD593" s="292">
        <f t="shared" si="71"/>
        <v>1.9884990547107559</v>
      </c>
      <c r="BF593" s="170">
        <f t="shared" si="66"/>
        <v>-223727.10716278385</v>
      </c>
      <c r="BG593" s="2">
        <f t="shared" si="67"/>
        <v>844773.19741966343</v>
      </c>
      <c r="BI593">
        <f t="shared" si="68"/>
        <v>0</v>
      </c>
      <c r="BJ593" s="95">
        <f t="shared" si="69"/>
        <v>1</v>
      </c>
      <c r="BP593" s="217">
        <f t="shared" si="72"/>
        <v>844773.19741966343</v>
      </c>
    </row>
    <row r="594" spans="1:68">
      <c r="A594" s="11">
        <v>588</v>
      </c>
      <c r="C594" s="27">
        <v>0.92287222888127018</v>
      </c>
      <c r="D594" s="27">
        <v>7.7127771118729815E-2</v>
      </c>
      <c r="E594" s="27">
        <v>0</v>
      </c>
      <c r="F594" s="27">
        <v>0.85910219061483961</v>
      </c>
      <c r="G594" s="27">
        <v>0.14089780938516036</v>
      </c>
      <c r="H594" s="27">
        <v>0</v>
      </c>
      <c r="I594" s="27">
        <v>0.74053996877146155</v>
      </c>
      <c r="J594" s="27">
        <v>0.25946003122853845</v>
      </c>
      <c r="K594" s="27">
        <v>0</v>
      </c>
      <c r="L594" s="27">
        <v>9.2862759391223682E-2</v>
      </c>
      <c r="M594" s="27">
        <v>0.51558535095114488</v>
      </c>
      <c r="N594" s="27">
        <v>0.39155188965763144</v>
      </c>
      <c r="O594" s="27">
        <v>-10.600159337515295</v>
      </c>
      <c r="P594" s="27">
        <v>3.0943583656960861E-2</v>
      </c>
      <c r="Q594" s="27">
        <v>9.1375896938788174E-5</v>
      </c>
      <c r="R594" s="27">
        <v>1.0265041757025559</v>
      </c>
      <c r="S594" s="154"/>
      <c r="T594">
        <v>1.0269030737846125</v>
      </c>
      <c r="U594">
        <v>2.2803442260602478</v>
      </c>
      <c r="V594">
        <v>3.1401928271834003</v>
      </c>
      <c r="W594">
        <v>1</v>
      </c>
      <c r="Y594" s="2">
        <v>20.464270676293836</v>
      </c>
      <c r="Z594" s="2">
        <v>2723.8262423054061</v>
      </c>
      <c r="AA594" s="2">
        <v>9274.7771877730938</v>
      </c>
      <c r="AB594" s="2">
        <v>2869.6535425913476</v>
      </c>
      <c r="AC594" s="2">
        <v>8.7778907988913204</v>
      </c>
      <c r="AD594" s="2">
        <v>1088.1007920506638</v>
      </c>
      <c r="AE594" s="2">
        <v>611.74311617908052</v>
      </c>
      <c r="AF594" s="2">
        <v>1124.6120487581118</v>
      </c>
      <c r="AG594" s="2">
        <v>108.11134269790385</v>
      </c>
      <c r="AH594" s="2">
        <v>611.77412365203782</v>
      </c>
      <c r="AI594" s="2">
        <v>502114.98231319629</v>
      </c>
      <c r="AJ594" s="2">
        <v>466466.15401629254</v>
      </c>
      <c r="AL594" s="27">
        <v>0.91610001134656538</v>
      </c>
      <c r="AM594" s="27">
        <v>0.91057297320081043</v>
      </c>
      <c r="AN594" s="27">
        <v>0.9089133019847726</v>
      </c>
      <c r="AO594" s="27">
        <v>0.9043014267047812</v>
      </c>
      <c r="AP594" s="27">
        <v>0.73219265632738695</v>
      </c>
      <c r="AQ594" s="27">
        <v>0.91610001134656538</v>
      </c>
      <c r="AR594" s="27">
        <v>0.91057297320081043</v>
      </c>
      <c r="AS594" s="27">
        <v>0.9089133019847726</v>
      </c>
      <c r="AT594" s="27">
        <v>0.9043014267047812</v>
      </c>
      <c r="AU594" s="27">
        <v>0.73219265632738695</v>
      </c>
      <c r="AW594" s="1">
        <v>13.540161991907851</v>
      </c>
      <c r="AX594" s="1">
        <v>15.47241084107934</v>
      </c>
      <c r="AY594" s="2">
        <v>1950361.3942046822</v>
      </c>
      <c r="AZ594" s="1">
        <v>15.43264959846133</v>
      </c>
      <c r="BA594" s="1">
        <v>17.354442495163578</v>
      </c>
      <c r="BB594" s="2">
        <v>1565598.5217200723</v>
      </c>
      <c r="BC594" s="2">
        <f t="shared" si="70"/>
        <v>-384762.87248460995</v>
      </c>
      <c r="BD594" s="292">
        <f t="shared" si="71"/>
        <v>1.8924876065534786</v>
      </c>
      <c r="BF594" s="170">
        <f t="shared" si="66"/>
        <v>216064.52450057399</v>
      </c>
      <c r="BG594" s="2">
        <f t="shared" si="67"/>
        <v>903625.41403374076</v>
      </c>
      <c r="BI594">
        <f t="shared" si="68"/>
        <v>0</v>
      </c>
      <c r="BJ594" s="95">
        <f t="shared" si="69"/>
        <v>1</v>
      </c>
      <c r="BP594" s="217">
        <f t="shared" si="72"/>
        <v>903625.41403374076</v>
      </c>
    </row>
    <row r="595" spans="1:68">
      <c r="A595" s="11">
        <v>589</v>
      </c>
      <c r="C595" s="27">
        <v>0.92306062746798523</v>
      </c>
      <c r="D595" s="27">
        <v>7.6939372532014771E-2</v>
      </c>
      <c r="E595" s="27">
        <v>0</v>
      </c>
      <c r="F595" s="27">
        <v>0.8555119837214773</v>
      </c>
      <c r="G595" s="27">
        <v>0.1444880162785227</v>
      </c>
      <c r="H595" s="27">
        <v>0</v>
      </c>
      <c r="I595" s="27">
        <v>0.74208063698203175</v>
      </c>
      <c r="J595" s="27">
        <v>0.25791936301796825</v>
      </c>
      <c r="K595" s="27">
        <v>0</v>
      </c>
      <c r="L595" s="27">
        <v>0.17519565175894036</v>
      </c>
      <c r="M595" s="27">
        <v>0.50001351610650546</v>
      </c>
      <c r="N595" s="27">
        <v>0.32479083213455417</v>
      </c>
      <c r="O595" s="27">
        <v>-10.896024668461443</v>
      </c>
      <c r="P595" s="27">
        <v>3.3402985254192913E-2</v>
      </c>
      <c r="Q595" s="27">
        <v>7.5370147146769926E-5</v>
      </c>
      <c r="R595" s="27">
        <v>1.0428939174308953</v>
      </c>
      <c r="S595" s="154"/>
      <c r="T595">
        <v>1.0164295373206664</v>
      </c>
      <c r="U595">
        <v>2.2157180421472265</v>
      </c>
      <c r="V595">
        <v>3.0833285670067325</v>
      </c>
      <c r="W595">
        <v>1</v>
      </c>
      <c r="Y595" s="2">
        <v>523.6496397276245</v>
      </c>
      <c r="Z595" s="2">
        <v>3891.8765901881652</v>
      </c>
      <c r="AA595" s="2">
        <v>498.33101878728331</v>
      </c>
      <c r="AB595" s="2">
        <v>763.65361655791855</v>
      </c>
      <c r="AC595" s="2">
        <v>3286.1951410747429</v>
      </c>
      <c r="AD595" s="2">
        <v>498.22443570666394</v>
      </c>
      <c r="AE595" s="2">
        <v>590.13524504764223</v>
      </c>
      <c r="AF595" s="2">
        <v>1149.9112571974701</v>
      </c>
      <c r="AG595" s="2">
        <v>229.23948794694067</v>
      </c>
      <c r="AH595" s="2">
        <v>598.41211415300347</v>
      </c>
      <c r="AI595" s="2">
        <v>377767.20921150962</v>
      </c>
      <c r="AJ595" s="2">
        <v>351451.40117331041</v>
      </c>
      <c r="AL595" s="27">
        <v>0.92044890708796223</v>
      </c>
      <c r="AM595" s="27">
        <v>0.91710011742958453</v>
      </c>
      <c r="AN595" s="27">
        <v>0.90454814858101074</v>
      </c>
      <c r="AO595" s="27">
        <v>0.86220620324020092</v>
      </c>
      <c r="AP595" s="27">
        <v>0.64498639676345526</v>
      </c>
      <c r="AQ595" s="27">
        <v>0.92044890708796223</v>
      </c>
      <c r="AR595" s="27">
        <v>0.91710011742958453</v>
      </c>
      <c r="AS595" s="27">
        <v>0.90454814858101074</v>
      </c>
      <c r="AT595" s="27">
        <v>0.86220620324020092</v>
      </c>
      <c r="AU595" s="27">
        <v>0.64498639676345526</v>
      </c>
      <c r="AW595" s="1">
        <v>13.531538027498621</v>
      </c>
      <c r="AX595" s="1">
        <v>15.821433792551359</v>
      </c>
      <c r="AY595" s="2">
        <v>1642643.6911241102</v>
      </c>
      <c r="AZ595" s="1">
        <v>15.383500822903089</v>
      </c>
      <c r="BA595" s="1">
        <v>17.537668664415818</v>
      </c>
      <c r="BB595" s="2">
        <v>1127973.325998144</v>
      </c>
      <c r="BC595" s="2">
        <f t="shared" si="70"/>
        <v>-514670.36512596626</v>
      </c>
      <c r="BD595" s="292">
        <f t="shared" si="71"/>
        <v>1.851962795404468</v>
      </c>
      <c r="BF595" s="170">
        <f t="shared" si="66"/>
        <v>522402.39327566908</v>
      </c>
      <c r="BG595" s="2">
        <f t="shared" si="67"/>
        <v>1333386.8056663505</v>
      </c>
      <c r="BI595">
        <f t="shared" si="68"/>
        <v>0</v>
      </c>
      <c r="BJ595" s="95">
        <f t="shared" si="69"/>
        <v>1</v>
      </c>
      <c r="BP595" s="217">
        <f t="shared" si="72"/>
        <v>1333386.8056663505</v>
      </c>
    </row>
    <row r="596" spans="1:68">
      <c r="A596" s="11">
        <v>590</v>
      </c>
      <c r="C596" s="27">
        <v>0.92137348876261804</v>
      </c>
      <c r="D596" s="27">
        <v>7.8626511237381957E-2</v>
      </c>
      <c r="E596" s="27">
        <v>0</v>
      </c>
      <c r="F596" s="27">
        <v>0.85705012575059814</v>
      </c>
      <c r="G596" s="27">
        <v>0.14294987424940186</v>
      </c>
      <c r="H596" s="27">
        <v>0</v>
      </c>
      <c r="I596" s="27">
        <v>0.74665789374573455</v>
      </c>
      <c r="J596" s="27">
        <v>0.25334210625426545</v>
      </c>
      <c r="K596" s="27">
        <v>0</v>
      </c>
      <c r="L596" s="27">
        <v>7.8620909927252569E-2</v>
      </c>
      <c r="M596" s="27">
        <v>0.53511462949874122</v>
      </c>
      <c r="N596" s="27">
        <v>0.38626446057400621</v>
      </c>
      <c r="O596" s="27">
        <v>-11.065425485982926</v>
      </c>
      <c r="P596" s="27">
        <v>3.4605734244721131E-2</v>
      </c>
      <c r="Q596" s="27">
        <v>6.6921876071013482E-5</v>
      </c>
      <c r="R596" s="27">
        <v>1.06562783957455</v>
      </c>
      <c r="S596" s="154"/>
      <c r="T596">
        <v>0.88847094512887959</v>
      </c>
      <c r="U596">
        <v>2.3586836711310215</v>
      </c>
      <c r="V596">
        <v>2.8927443978774985</v>
      </c>
      <c r="W596">
        <v>1</v>
      </c>
      <c r="Y596" s="2">
        <v>292.09568808378128</v>
      </c>
      <c r="Z596" s="2">
        <v>2224.6877429040137</v>
      </c>
      <c r="AA596" s="2">
        <v>3527.3266738902566</v>
      </c>
      <c r="AB596" s="2">
        <v>2953.5178656904072</v>
      </c>
      <c r="AC596" s="2">
        <v>2482.700216587707</v>
      </c>
      <c r="AD596" s="2">
        <v>1454.5442065999587</v>
      </c>
      <c r="AE596" s="2">
        <v>571.820679597055</v>
      </c>
      <c r="AF596" s="2">
        <v>738.87072076188247</v>
      </c>
      <c r="AG596" s="2">
        <v>146.6356831678923</v>
      </c>
      <c r="AH596" s="2">
        <v>788.99693648531627</v>
      </c>
      <c r="AI596" s="2">
        <v>543308.46272281429</v>
      </c>
      <c r="AJ596" s="2">
        <v>521255.65471224097</v>
      </c>
      <c r="AL596" s="27">
        <v>0.91399612551973242</v>
      </c>
      <c r="AM596" s="27">
        <v>0.91487452055072815</v>
      </c>
      <c r="AN596" s="27">
        <v>0.90409101719673624</v>
      </c>
      <c r="AO596" s="27">
        <v>0.82891249946373102</v>
      </c>
      <c r="AP596" s="27">
        <v>0.73736222705674992</v>
      </c>
      <c r="AQ596" s="27">
        <v>0.91399612551973242</v>
      </c>
      <c r="AR596" s="27">
        <v>0.91487452055072815</v>
      </c>
      <c r="AS596" s="27">
        <v>0.90409101719673624</v>
      </c>
      <c r="AT596" s="27">
        <v>0.82891249946373102</v>
      </c>
      <c r="AU596" s="27">
        <v>0.73736222705674992</v>
      </c>
      <c r="AW596" s="1">
        <v>13.847834292374911</v>
      </c>
      <c r="AX596" s="1">
        <v>15.814678800659495</v>
      </c>
      <c r="AY596" s="2">
        <v>2068080.6457128827</v>
      </c>
      <c r="AZ596" s="1">
        <v>15.349743803995771</v>
      </c>
      <c r="BA596" s="1">
        <v>17.306119175308456</v>
      </c>
      <c r="BB596" s="2">
        <v>1634905.1786211405</v>
      </c>
      <c r="BC596" s="2">
        <f t="shared" si="70"/>
        <v>-433175.4670917422</v>
      </c>
      <c r="BD596" s="292">
        <f t="shared" si="71"/>
        <v>1.5019095116208607</v>
      </c>
      <c r="BF596" s="170">
        <f t="shared" si="66"/>
        <v>147572.84106710274</v>
      </c>
      <c r="BG596" s="2">
        <f t="shared" si="67"/>
        <v>821053.83001818298</v>
      </c>
      <c r="BI596">
        <f t="shared" si="68"/>
        <v>0</v>
      </c>
      <c r="BJ596" s="95">
        <f t="shared" si="69"/>
        <v>1</v>
      </c>
      <c r="BP596" s="217">
        <f t="shared" si="72"/>
        <v>821053.83001818298</v>
      </c>
    </row>
    <row r="597" spans="1:68">
      <c r="A597" s="11">
        <v>591</v>
      </c>
      <c r="C597" s="27">
        <v>0.9235297091483059</v>
      </c>
      <c r="D597" s="27">
        <v>7.64702908516941E-2</v>
      </c>
      <c r="E597" s="27">
        <v>0</v>
      </c>
      <c r="F597" s="27">
        <v>0.85864997788038</v>
      </c>
      <c r="G597" s="27">
        <v>0.14135002211961994</v>
      </c>
      <c r="H597" s="27">
        <v>0</v>
      </c>
      <c r="I597" s="27">
        <v>0.75433088475720422</v>
      </c>
      <c r="J597" s="27">
        <v>0.24566911524279575</v>
      </c>
      <c r="K597" s="27">
        <v>0</v>
      </c>
      <c r="L597" s="27">
        <v>0.16941358389042621</v>
      </c>
      <c r="M597" s="27">
        <v>0.51070237598546764</v>
      </c>
      <c r="N597" s="27">
        <v>0.31988404012410615</v>
      </c>
      <c r="O597" s="27">
        <v>-11.466375233980219</v>
      </c>
      <c r="P597" s="27">
        <v>3.7327726942549953E-2</v>
      </c>
      <c r="Q597" s="27">
        <v>5.0244438066591074E-5</v>
      </c>
      <c r="R597" s="27">
        <v>1.0915725665264346</v>
      </c>
      <c r="S597" s="154"/>
      <c r="T597">
        <v>1.03251671342767</v>
      </c>
      <c r="U597">
        <v>2.2149979743049673</v>
      </c>
      <c r="V597">
        <v>2.7555060929958364</v>
      </c>
      <c r="W597">
        <v>1</v>
      </c>
      <c r="Y597" s="2">
        <v>636.15125445701551</v>
      </c>
      <c r="Z597" s="2">
        <v>3566.7425410919991</v>
      </c>
      <c r="AA597" s="2">
        <v>7344.3092473023635</v>
      </c>
      <c r="AB597" s="2">
        <v>72.146672737704051</v>
      </c>
      <c r="AC597" s="2">
        <v>285.96415724190007</v>
      </c>
      <c r="AD597" s="2">
        <v>549.15087033455131</v>
      </c>
      <c r="AE597" s="2">
        <v>515.0853339838111</v>
      </c>
      <c r="AF597" s="2">
        <v>998.0573537371381</v>
      </c>
      <c r="AG597" s="2">
        <v>86.864662676659094</v>
      </c>
      <c r="AH597" s="2">
        <v>565.1820991868633</v>
      </c>
      <c r="AI597" s="2">
        <v>565606.56006328273</v>
      </c>
      <c r="AJ597" s="2">
        <v>533047.91112381616</v>
      </c>
      <c r="AL597" s="27">
        <v>0.92487100216486506</v>
      </c>
      <c r="AM597" s="27">
        <v>0.91588072032251144</v>
      </c>
      <c r="AN597" s="27">
        <v>0.90430442776108722</v>
      </c>
      <c r="AO597" s="27">
        <v>0.81854632527456883</v>
      </c>
      <c r="AP597" s="27">
        <v>0.69179227227852147</v>
      </c>
      <c r="AQ597" s="27">
        <v>0.92487100216486506</v>
      </c>
      <c r="AR597" s="27">
        <v>0.91588072032251144</v>
      </c>
      <c r="AS597" s="27">
        <v>0.90430442776108722</v>
      </c>
      <c r="AT597" s="27">
        <v>0.81854632527456883</v>
      </c>
      <c r="AU597" s="27">
        <v>0.69179227227852147</v>
      </c>
      <c r="AW597" s="1">
        <v>13.752171415662628</v>
      </c>
      <c r="AX597" s="1">
        <v>15.858388032699381</v>
      </c>
      <c r="AY597" s="2">
        <v>2334056.6031203824</v>
      </c>
      <c r="AZ597" s="1">
        <v>15.582861077014263</v>
      </c>
      <c r="BA597" s="1">
        <v>17.595411065775892</v>
      </c>
      <c r="BB597" s="2">
        <v>1727203.2838009556</v>
      </c>
      <c r="BC597" s="2">
        <f t="shared" si="70"/>
        <v>-606853.31931942678</v>
      </c>
      <c r="BD597" s="292">
        <f t="shared" si="71"/>
        <v>1.8306896613516344</v>
      </c>
      <c r="BF597" s="170">
        <f t="shared" si="66"/>
        <v>-133709.17661436182</v>
      </c>
      <c r="BG597" s="2">
        <f t="shared" si="67"/>
        <v>766054.48852132657</v>
      </c>
      <c r="BI597">
        <f t="shared" si="68"/>
        <v>0</v>
      </c>
      <c r="BJ597" s="95">
        <f t="shared" si="69"/>
        <v>1</v>
      </c>
      <c r="BP597" s="217">
        <f t="shared" si="72"/>
        <v>766054.48852132657</v>
      </c>
    </row>
    <row r="598" spans="1:68">
      <c r="A598" s="11">
        <v>592</v>
      </c>
      <c r="C598" s="27">
        <v>0.92324834875131889</v>
      </c>
      <c r="D598" s="27">
        <v>7.6751651248681121E-2</v>
      </c>
      <c r="E598" s="27">
        <v>0</v>
      </c>
      <c r="F598" s="27">
        <v>0.8606827140926413</v>
      </c>
      <c r="G598" s="27">
        <v>0.1393172859073587</v>
      </c>
      <c r="H598" s="27">
        <v>0</v>
      </c>
      <c r="I598" s="27">
        <v>0.75506643022984576</v>
      </c>
      <c r="J598" s="27">
        <v>0.24493356977015426</v>
      </c>
      <c r="K598" s="27">
        <v>0</v>
      </c>
      <c r="L598" s="27">
        <v>0.17835078130592441</v>
      </c>
      <c r="M598" s="27">
        <v>0.44584296819976776</v>
      </c>
      <c r="N598" s="27">
        <v>0.37580625049430783</v>
      </c>
      <c r="O598" s="27">
        <v>-11.078131169694998</v>
      </c>
      <c r="P598" s="27">
        <v>3.3047182256527273E-2</v>
      </c>
      <c r="Q598" s="27">
        <v>6.1890150225293568E-5</v>
      </c>
      <c r="R598" s="27">
        <v>1.0668206818299149</v>
      </c>
      <c r="S598" s="154"/>
      <c r="T598">
        <v>1.0093345695084672</v>
      </c>
      <c r="U598">
        <v>2.2429575789889427</v>
      </c>
      <c r="V598">
        <v>2.9940563440595716</v>
      </c>
      <c r="W598">
        <v>1</v>
      </c>
      <c r="Y598" s="2">
        <v>328.75794769187985</v>
      </c>
      <c r="Z598" s="2">
        <v>8234.2718205795682</v>
      </c>
      <c r="AA598" s="2">
        <v>657.34108907609982</v>
      </c>
      <c r="AB598" s="2">
        <v>3687.2460898830968</v>
      </c>
      <c r="AC598" s="2">
        <v>462.65321931677022</v>
      </c>
      <c r="AD598" s="2">
        <v>1218.06478544944</v>
      </c>
      <c r="AE598" s="2">
        <v>547.87597789015717</v>
      </c>
      <c r="AF598" s="2">
        <v>915.07069011107274</v>
      </c>
      <c r="AG598" s="2">
        <v>141.73955133978563</v>
      </c>
      <c r="AH598" s="2">
        <v>303.54824388923663</v>
      </c>
      <c r="AI598" s="2">
        <v>474905.48017000093</v>
      </c>
      <c r="AJ598" s="2">
        <v>434419.98243469186</v>
      </c>
      <c r="AL598" s="27">
        <v>0.9174832016513037</v>
      </c>
      <c r="AM598" s="27">
        <v>0.91481877625005126</v>
      </c>
      <c r="AN598" s="27">
        <v>0.91602208549476183</v>
      </c>
      <c r="AO598" s="27">
        <v>0.85995804040288015</v>
      </c>
      <c r="AP598" s="27">
        <v>0.71018851819894291</v>
      </c>
      <c r="AQ598" s="27">
        <v>0.9174832016513037</v>
      </c>
      <c r="AR598" s="27">
        <v>0.91481877625005126</v>
      </c>
      <c r="AS598" s="27">
        <v>0.91602208549476183</v>
      </c>
      <c r="AT598" s="27">
        <v>0.85995804040288015</v>
      </c>
      <c r="AU598" s="27">
        <v>0.71018851819894291</v>
      </c>
      <c r="AW598" s="1">
        <v>13.5422581163276</v>
      </c>
      <c r="AX598" s="1">
        <v>15.505457385216072</v>
      </c>
      <c r="AY598" s="2">
        <v>1776628.0768139809</v>
      </c>
      <c r="AZ598" s="1">
        <v>15.434420813680182</v>
      </c>
      <c r="BA598" s="1">
        <v>17.35496813972096</v>
      </c>
      <c r="BB598" s="2">
        <v>1251121.2756790463</v>
      </c>
      <c r="BC598" s="2">
        <f t="shared" si="70"/>
        <v>-525506.80113493465</v>
      </c>
      <c r="BD598" s="292">
        <f t="shared" si="71"/>
        <v>1.8921626973525818</v>
      </c>
      <c r="BF598" s="170">
        <f t="shared" si="66"/>
        <v>390133.22179843532</v>
      </c>
      <c r="BG598" s="2">
        <f t="shared" si="67"/>
        <v>1218386.0545097827</v>
      </c>
      <c r="BI598">
        <f t="shared" si="68"/>
        <v>0</v>
      </c>
      <c r="BJ598" s="95">
        <f t="shared" si="69"/>
        <v>1</v>
      </c>
      <c r="BP598" s="217">
        <f t="shared" si="72"/>
        <v>1218386.0545097827</v>
      </c>
    </row>
    <row r="599" spans="1:68">
      <c r="A599" s="11">
        <v>593</v>
      </c>
      <c r="C599" s="27">
        <v>0.92220600374107886</v>
      </c>
      <c r="D599" s="27">
        <v>7.7793996258921139E-2</v>
      </c>
      <c r="E599" s="27">
        <v>0</v>
      </c>
      <c r="F599" s="27">
        <v>0.85070073298414284</v>
      </c>
      <c r="G599" s="27">
        <v>0.14929926701585716</v>
      </c>
      <c r="H599" s="27">
        <v>0</v>
      </c>
      <c r="I599" s="27">
        <v>0.75079771345908197</v>
      </c>
      <c r="J599" s="27">
        <v>0.24920228654091806</v>
      </c>
      <c r="K599" s="27">
        <v>0</v>
      </c>
      <c r="L599" s="27">
        <v>3.7242506992769875E-2</v>
      </c>
      <c r="M599" s="27">
        <v>0.53782233890845066</v>
      </c>
      <c r="N599" s="27">
        <v>0.42493515409877947</v>
      </c>
      <c r="O599" s="27">
        <v>-11.285220491088927</v>
      </c>
      <c r="P599" s="27">
        <v>3.1982926413983141E-2</v>
      </c>
      <c r="Q599" s="27">
        <v>4.8113989473124351E-5</v>
      </c>
      <c r="R599" s="27">
        <v>1.1115451566051053</v>
      </c>
      <c r="S599" s="154"/>
      <c r="T599">
        <v>0.93399966055453065</v>
      </c>
      <c r="U599">
        <v>2.2735416755173428</v>
      </c>
      <c r="V599">
        <v>3.1735687590885884</v>
      </c>
      <c r="W599">
        <v>1</v>
      </c>
      <c r="Y599" s="2">
        <v>52.186617275390844</v>
      </c>
      <c r="Z599" s="2">
        <v>6897.3004639756255</v>
      </c>
      <c r="AA599" s="2">
        <v>4195.5202466775163</v>
      </c>
      <c r="AB599" s="2">
        <v>2690.7970505055605</v>
      </c>
      <c r="AC599" s="2">
        <v>1479.9764423878582</v>
      </c>
      <c r="AD599" s="2">
        <v>380.58676689412727</v>
      </c>
      <c r="AE599" s="2">
        <v>559.55584492403625</v>
      </c>
      <c r="AF599" s="2">
        <v>1215.5486852441538</v>
      </c>
      <c r="AG599" s="2">
        <v>72.123273115868315</v>
      </c>
      <c r="AH599" s="2">
        <v>718.29948973200248</v>
      </c>
      <c r="AI599" s="2">
        <v>450894.83876342158</v>
      </c>
      <c r="AJ599" s="2">
        <v>414286.04072851944</v>
      </c>
      <c r="AL599" s="27">
        <v>0.91454284370377659</v>
      </c>
      <c r="AM599" s="27">
        <v>0.91393329204401608</v>
      </c>
      <c r="AN599" s="27">
        <v>0.91134493708213937</v>
      </c>
      <c r="AO599" s="27">
        <v>0.85846674877102636</v>
      </c>
      <c r="AP599" s="27">
        <v>0.75372826081461763</v>
      </c>
      <c r="AQ599" s="27">
        <v>0.91454284370377659</v>
      </c>
      <c r="AR599" s="27">
        <v>0.91393329204401608</v>
      </c>
      <c r="AS599" s="27">
        <v>0.91134493708213937</v>
      </c>
      <c r="AT599" s="27">
        <v>0.85846674877102636</v>
      </c>
      <c r="AU599" s="27">
        <v>0.75372826081461763</v>
      </c>
      <c r="AW599" s="1">
        <v>13.565224539799061</v>
      </c>
      <c r="AX599" s="1">
        <v>15.391453111492805</v>
      </c>
      <c r="AY599" s="2">
        <v>1617655.4598584699</v>
      </c>
      <c r="AZ599" s="1">
        <v>15.241175302135845</v>
      </c>
      <c r="BA599" s="1">
        <v>17.084403892854297</v>
      </c>
      <c r="BB599" s="2">
        <v>1239839.7609012905</v>
      </c>
      <c r="BC599" s="2">
        <f t="shared" si="70"/>
        <v>-377815.69895717944</v>
      </c>
      <c r="BD599" s="292">
        <f t="shared" si="71"/>
        <v>1.6759507623367842</v>
      </c>
      <c r="BF599" s="170">
        <f t="shared" si="66"/>
        <v>552780.46650937968</v>
      </c>
      <c r="BG599" s="2">
        <f t="shared" si="67"/>
        <v>1198748.2874404448</v>
      </c>
      <c r="BI599">
        <f t="shared" si="68"/>
        <v>0</v>
      </c>
      <c r="BJ599" s="95">
        <f t="shared" si="69"/>
        <v>1</v>
      </c>
      <c r="BP599" s="217">
        <f t="shared" si="72"/>
        <v>1198748.2874404448</v>
      </c>
    </row>
    <row r="600" spans="1:68">
      <c r="A600" s="11">
        <v>594</v>
      </c>
      <c r="C600" s="27">
        <v>0.91956789328355892</v>
      </c>
      <c r="D600" s="27">
        <v>8.0432106716441076E-2</v>
      </c>
      <c r="E600" s="27">
        <v>0</v>
      </c>
      <c r="F600" s="27">
        <v>0.85410198083143729</v>
      </c>
      <c r="G600" s="27">
        <v>0.14589801916856271</v>
      </c>
      <c r="H600" s="27">
        <v>0</v>
      </c>
      <c r="I600" s="27">
        <v>0.75162817331070364</v>
      </c>
      <c r="J600" s="27">
        <v>0.24837182668929636</v>
      </c>
      <c r="K600" s="27">
        <v>0</v>
      </c>
      <c r="L600" s="27">
        <v>0.1506506757786894</v>
      </c>
      <c r="M600" s="27">
        <v>0.4398948941350338</v>
      </c>
      <c r="N600" s="27">
        <v>0.4094544300862768</v>
      </c>
      <c r="O600" s="27">
        <v>-11.024895654516506</v>
      </c>
      <c r="P600" s="27">
        <v>2.8867353395614935E-2</v>
      </c>
      <c r="Q600" s="27">
        <v>5.4764586103460103E-5</v>
      </c>
      <c r="R600" s="27">
        <v>1.1003042687518478</v>
      </c>
      <c r="S600" s="154"/>
      <c r="T600">
        <v>0.99765014354861636</v>
      </c>
      <c r="U600">
        <v>2.3075600440808715</v>
      </c>
      <c r="V600">
        <v>2.877375916075839</v>
      </c>
      <c r="W600">
        <v>1</v>
      </c>
      <c r="Y600" s="2">
        <v>906.51524524093247</v>
      </c>
      <c r="Z600" s="2">
        <v>12428.298858497337</v>
      </c>
      <c r="AA600" s="2">
        <v>304.74087915538053</v>
      </c>
      <c r="AB600" s="2">
        <v>4629.2697623645754</v>
      </c>
      <c r="AC600" s="2">
        <v>556.46210404645058</v>
      </c>
      <c r="AD600" s="2">
        <v>614.03906827341279</v>
      </c>
      <c r="AE600" s="2">
        <v>592.3073196886902</v>
      </c>
      <c r="AF600" s="2">
        <v>944.85365443582896</v>
      </c>
      <c r="AG600" s="2">
        <v>143.35450756941415</v>
      </c>
      <c r="AH600" s="2">
        <v>385.14532607791153</v>
      </c>
      <c r="AI600" s="2">
        <v>408401.16970318923</v>
      </c>
      <c r="AJ600" s="2">
        <v>377191.72429979377</v>
      </c>
      <c r="AL600" s="27">
        <v>0.91716045168615845</v>
      </c>
      <c r="AM600" s="27">
        <v>0.91073896138126131</v>
      </c>
      <c r="AN600" s="27">
        <v>0.90887677755022844</v>
      </c>
      <c r="AO600" s="27">
        <v>0.88562046102638381</v>
      </c>
      <c r="AP600" s="27">
        <v>0.64321755441036943</v>
      </c>
      <c r="AQ600" s="27">
        <v>0.91716045168615845</v>
      </c>
      <c r="AR600" s="27">
        <v>0.91073896138126131</v>
      </c>
      <c r="AS600" s="27">
        <v>0.90887677755022844</v>
      </c>
      <c r="AT600" s="27">
        <v>0.88562046102638381</v>
      </c>
      <c r="AU600" s="27">
        <v>0.64321755441036943</v>
      </c>
      <c r="AW600" s="1">
        <v>12.912840504967521</v>
      </c>
      <c r="AX600" s="1">
        <v>14.960349964185751</v>
      </c>
      <c r="AY600" s="2">
        <v>1485097.2122141211</v>
      </c>
      <c r="AZ600" s="1">
        <v>14.912743944661408</v>
      </c>
      <c r="BA600" s="1">
        <v>16.918093653436827</v>
      </c>
      <c r="BB600" s="2">
        <v>1024188.3880135774</v>
      </c>
      <c r="BC600" s="2">
        <f t="shared" si="70"/>
        <v>-460908.82420054369</v>
      </c>
      <c r="BD600" s="292">
        <f t="shared" si="71"/>
        <v>1.9999034396938864</v>
      </c>
      <c r="BF600" s="170">
        <f t="shared" si="66"/>
        <v>580957.26858068234</v>
      </c>
      <c r="BG600" s="2">
        <f t="shared" si="67"/>
        <v>1361850.6431322475</v>
      </c>
      <c r="BI600">
        <f t="shared" si="68"/>
        <v>0</v>
      </c>
      <c r="BJ600" s="95">
        <f t="shared" si="69"/>
        <v>1</v>
      </c>
      <c r="BP600" s="217">
        <f t="shared" si="72"/>
        <v>1361850.6431322475</v>
      </c>
    </row>
    <row r="601" spans="1:68">
      <c r="A601" s="11">
        <v>595</v>
      </c>
      <c r="C601" s="27">
        <v>0.92124894258224621</v>
      </c>
      <c r="D601" s="27">
        <v>7.8751057417753789E-2</v>
      </c>
      <c r="E601" s="27">
        <v>0</v>
      </c>
      <c r="F601" s="27">
        <v>0.85788559358703242</v>
      </c>
      <c r="G601" s="27">
        <v>0.1421144064129676</v>
      </c>
      <c r="H601" s="27">
        <v>0</v>
      </c>
      <c r="I601" s="27">
        <v>0.75097347919328072</v>
      </c>
      <c r="J601" s="27">
        <v>0.24902652080671928</v>
      </c>
      <c r="K601" s="27">
        <v>0</v>
      </c>
      <c r="L601" s="27">
        <v>0.17470815729874445</v>
      </c>
      <c r="M601" s="27">
        <v>0.46269402057577835</v>
      </c>
      <c r="N601" s="27">
        <v>0.3625978221254772</v>
      </c>
      <c r="O601" s="27">
        <v>-11.16531051118687</v>
      </c>
      <c r="P601" s="27">
        <v>3.3818111419409727E-2</v>
      </c>
      <c r="Q601" s="27">
        <v>5.8589806233576697E-5</v>
      </c>
      <c r="R601" s="27">
        <v>1.0784491171266428</v>
      </c>
      <c r="S601" s="154"/>
      <c r="T601">
        <v>1.0292427570331741</v>
      </c>
      <c r="U601">
        <v>2.1598901452115133</v>
      </c>
      <c r="V601">
        <v>3.3126688225694654</v>
      </c>
      <c r="W601">
        <v>1</v>
      </c>
      <c r="Y601" s="2">
        <v>1639.267060616389</v>
      </c>
      <c r="Z601" s="2">
        <v>3156.4375496334219</v>
      </c>
      <c r="AA601" s="2">
        <v>3144.029534234654</v>
      </c>
      <c r="AB601" s="2">
        <v>2038.102022136799</v>
      </c>
      <c r="AC601" s="2">
        <v>838.64394662429436</v>
      </c>
      <c r="AD601" s="2">
        <v>277.21685836063517</v>
      </c>
      <c r="AE601" s="2">
        <v>548.72746099218625</v>
      </c>
      <c r="AF601" s="2">
        <v>1066.2922470124988</v>
      </c>
      <c r="AG601" s="2">
        <v>173.63210734042863</v>
      </c>
      <c r="AH601" s="2">
        <v>285.61534116082697</v>
      </c>
      <c r="AI601" s="2">
        <v>402295.70707061706</v>
      </c>
      <c r="AJ601" s="2">
        <v>370843.60522784007</v>
      </c>
      <c r="AL601" s="27">
        <v>0.91872985521741846</v>
      </c>
      <c r="AM601" s="27">
        <v>0.91425315071703772</v>
      </c>
      <c r="AN601" s="27">
        <v>0.89830410616163181</v>
      </c>
      <c r="AO601" s="27">
        <v>0.86634413418211154</v>
      </c>
      <c r="AP601" s="27">
        <v>0.78614236904653534</v>
      </c>
      <c r="AQ601" s="27">
        <v>0.91872985521741846</v>
      </c>
      <c r="AR601" s="27">
        <v>0.91425315071703772</v>
      </c>
      <c r="AS601" s="27">
        <v>0.89830410616163181</v>
      </c>
      <c r="AT601" s="27">
        <v>0.86634413418211154</v>
      </c>
      <c r="AU601" s="27">
        <v>0.78614236904653534</v>
      </c>
      <c r="AW601" s="1">
        <v>13.642273138283576</v>
      </c>
      <c r="AX601" s="1">
        <v>15.376511211429619</v>
      </c>
      <c r="AY601" s="2">
        <v>1541428.8170169448</v>
      </c>
      <c r="AZ601" s="1">
        <v>15.503457530157741</v>
      </c>
      <c r="BA601" s="1">
        <v>17.286545553470326</v>
      </c>
      <c r="BB601" s="2">
        <v>1119050.2811904987</v>
      </c>
      <c r="BC601" s="2">
        <f t="shared" si="70"/>
        <v>-422378.53582644602</v>
      </c>
      <c r="BD601" s="292">
        <f t="shared" si="71"/>
        <v>1.8611843918741648</v>
      </c>
      <c r="BF601" s="170">
        <f t="shared" si="66"/>
        <v>641334.88510842761</v>
      </c>
      <c r="BG601" s="2">
        <f t="shared" si="67"/>
        <v>1361502.9236347396</v>
      </c>
      <c r="BI601">
        <f t="shared" si="68"/>
        <v>0</v>
      </c>
      <c r="BJ601" s="95">
        <f t="shared" si="69"/>
        <v>1</v>
      </c>
      <c r="BP601" s="217">
        <f t="shared" si="72"/>
        <v>1361502.9236347396</v>
      </c>
    </row>
    <row r="602" spans="1:68">
      <c r="A602" s="11">
        <v>596</v>
      </c>
      <c r="C602" s="27">
        <v>0.92098736321058672</v>
      </c>
      <c r="D602" s="27">
        <v>7.9012636789413282E-2</v>
      </c>
      <c r="E602" s="27">
        <v>0</v>
      </c>
      <c r="F602" s="27">
        <v>0.85389069253734728</v>
      </c>
      <c r="G602" s="27">
        <v>0.14610930746265272</v>
      </c>
      <c r="H602" s="27">
        <v>0</v>
      </c>
      <c r="I602" s="27">
        <v>0.75024184157079099</v>
      </c>
      <c r="J602" s="27">
        <v>0.24975815842920895</v>
      </c>
      <c r="K602" s="27">
        <v>0</v>
      </c>
      <c r="L602" s="27">
        <v>0.10075833712559235</v>
      </c>
      <c r="M602" s="27">
        <v>0.52512394350992375</v>
      </c>
      <c r="N602" s="27">
        <v>0.3741177193644839</v>
      </c>
      <c r="O602" s="27">
        <v>-11.153342819812211</v>
      </c>
      <c r="P602" s="27">
        <v>3.1412687646083216E-2</v>
      </c>
      <c r="Q602" s="27">
        <v>5.3597403207805159E-5</v>
      </c>
      <c r="R602" s="27">
        <v>1.0992898250005201</v>
      </c>
      <c r="S602" s="154"/>
      <c r="T602">
        <v>1.0673601181648011</v>
      </c>
      <c r="U602">
        <v>2.2337236028666254</v>
      </c>
      <c r="V602">
        <v>3.0887317462370887</v>
      </c>
      <c r="W602">
        <v>1</v>
      </c>
      <c r="Y602" s="2">
        <v>1963.9738657886132</v>
      </c>
      <c r="Z602" s="2">
        <v>16642.401874785177</v>
      </c>
      <c r="AA602" s="2">
        <v>869.79616292213609</v>
      </c>
      <c r="AB602" s="2">
        <v>3133.8400814158094</v>
      </c>
      <c r="AC602" s="2">
        <v>305.81116238191134</v>
      </c>
      <c r="AD602" s="2">
        <v>193.51866818644697</v>
      </c>
      <c r="AE602" s="2">
        <v>524.79223104270488</v>
      </c>
      <c r="AF602" s="2">
        <v>1251.116616034205</v>
      </c>
      <c r="AG602" s="2">
        <v>182.41206848293635</v>
      </c>
      <c r="AH602" s="2">
        <v>261.18844370347318</v>
      </c>
      <c r="AI602" s="2">
        <v>380542.15103185829</v>
      </c>
      <c r="AJ602" s="2">
        <v>338702.14070520911</v>
      </c>
      <c r="AL602" s="27">
        <v>0.92029375758682708</v>
      </c>
      <c r="AM602" s="27">
        <v>0.91550836471015362</v>
      </c>
      <c r="AN602" s="27">
        <v>0.90933635912199151</v>
      </c>
      <c r="AO602" s="27">
        <v>0.90637152545405608</v>
      </c>
      <c r="AP602" s="27">
        <v>0.78125832369056947</v>
      </c>
      <c r="AQ602" s="27">
        <v>0.92029375758682708</v>
      </c>
      <c r="AR602" s="27">
        <v>0.91550836471015362</v>
      </c>
      <c r="AS602" s="27">
        <v>0.90933635912199151</v>
      </c>
      <c r="AT602" s="27">
        <v>0.90637152545405608</v>
      </c>
      <c r="AU602" s="27">
        <v>0.78125832369056947</v>
      </c>
      <c r="AW602" s="1">
        <v>13.489585197534062</v>
      </c>
      <c r="AX602" s="1">
        <v>15.184171855637429</v>
      </c>
      <c r="AY602" s="2">
        <v>1619175.5814200449</v>
      </c>
      <c r="AZ602" s="1">
        <v>15.477374827492724</v>
      </c>
      <c r="BA602" s="1">
        <v>17.210230454418305</v>
      </c>
      <c r="BB602" s="2">
        <v>1026684.5386012582</v>
      </c>
      <c r="BC602" s="2">
        <f t="shared" si="70"/>
        <v>-592491.04281878669</v>
      </c>
      <c r="BD602" s="292">
        <f t="shared" si="71"/>
        <v>1.9877896299586624</v>
      </c>
      <c r="BF602" s="170">
        <f t="shared" si="66"/>
        <v>539158.05018540518</v>
      </c>
      <c r="BG602" s="2">
        <f t="shared" si="67"/>
        <v>1449695.4337975774</v>
      </c>
      <c r="BI602">
        <f t="shared" si="68"/>
        <v>0</v>
      </c>
      <c r="BJ602" s="95">
        <f t="shared" si="69"/>
        <v>1</v>
      </c>
      <c r="BP602" s="217">
        <f t="shared" si="72"/>
        <v>1449695.4337975774</v>
      </c>
    </row>
    <row r="603" spans="1:68">
      <c r="A603" s="11">
        <v>597</v>
      </c>
      <c r="C603" s="27">
        <v>0.92374817900237682</v>
      </c>
      <c r="D603" s="27">
        <v>7.625182099762319E-2</v>
      </c>
      <c r="E603" s="27">
        <v>0</v>
      </c>
      <c r="F603" s="27">
        <v>0.86064010789716316</v>
      </c>
      <c r="G603" s="27">
        <v>0.13935989210283681</v>
      </c>
      <c r="H603" s="27">
        <v>0</v>
      </c>
      <c r="I603" s="27">
        <v>0.75402938697933797</v>
      </c>
      <c r="J603" s="27">
        <v>0.24597061302066203</v>
      </c>
      <c r="K603" s="27">
        <v>0</v>
      </c>
      <c r="L603" s="27">
        <v>4.137068010842615E-2</v>
      </c>
      <c r="M603" s="27">
        <v>0.55923877512716591</v>
      </c>
      <c r="N603" s="27">
        <v>0.39939054476440794</v>
      </c>
      <c r="O603" s="27">
        <v>-11.785164148770596</v>
      </c>
      <c r="P603" s="27">
        <v>3.5367684238909694E-2</v>
      </c>
      <c r="Q603" s="27">
        <v>3.3642466310226476E-5</v>
      </c>
      <c r="R603" s="27">
        <v>1.1483342252561763</v>
      </c>
      <c r="S603" s="154"/>
      <c r="T603">
        <v>1.002642540881391</v>
      </c>
      <c r="U603">
        <v>2.27633692596264</v>
      </c>
      <c r="V603">
        <v>2.9908061966406962</v>
      </c>
      <c r="W603">
        <v>1</v>
      </c>
      <c r="Y603" s="2">
        <v>1023.2286947513516</v>
      </c>
      <c r="Z603" s="2">
        <v>11790.137889144708</v>
      </c>
      <c r="AA603" s="2">
        <v>241.33434876028653</v>
      </c>
      <c r="AB603" s="2">
        <v>6171.3716340408791</v>
      </c>
      <c r="AC603" s="2">
        <v>193.16403964374319</v>
      </c>
      <c r="AD603" s="2">
        <v>52.278905151856641</v>
      </c>
      <c r="AE603" s="2">
        <v>616.04431516107854</v>
      </c>
      <c r="AF603" s="2">
        <v>980.15891333498371</v>
      </c>
      <c r="AG603" s="2">
        <v>107.32155469411472</v>
      </c>
      <c r="AH603" s="2">
        <v>239.25399353333529</v>
      </c>
      <c r="AI603" s="2">
        <v>483897.30701385642</v>
      </c>
      <c r="AJ603" s="2">
        <v>434199.94248182984</v>
      </c>
      <c r="AL603" s="27">
        <v>0.91601483089943769</v>
      </c>
      <c r="AM603" s="27">
        <v>0.91395755267475842</v>
      </c>
      <c r="AN603" s="27">
        <v>0.91371773298507575</v>
      </c>
      <c r="AO603" s="27">
        <v>0.90090544341907386</v>
      </c>
      <c r="AP603" s="27">
        <v>0.66800776099276837</v>
      </c>
      <c r="AQ603" s="27">
        <v>0.91601483089943769</v>
      </c>
      <c r="AR603" s="27">
        <v>0.91395755267475842</v>
      </c>
      <c r="AS603" s="27">
        <v>0.91371773298507575</v>
      </c>
      <c r="AT603" s="27">
        <v>0.90090544341907386</v>
      </c>
      <c r="AU603" s="27">
        <v>0.66800776099276837</v>
      </c>
      <c r="AW603" s="1">
        <v>13.394635646561218</v>
      </c>
      <c r="AX603" s="1">
        <v>15.482724029385382</v>
      </c>
      <c r="AY603" s="2">
        <v>1839809.0373156061</v>
      </c>
      <c r="AZ603" s="1">
        <v>15.315853924602386</v>
      </c>
      <c r="BA603" s="1">
        <v>17.331993444658814</v>
      </c>
      <c r="BB603" s="2">
        <v>1275161.4324104234</v>
      </c>
      <c r="BC603" s="2">
        <f t="shared" si="70"/>
        <v>-564647.60490518273</v>
      </c>
      <c r="BD603" s="292">
        <f t="shared" si="71"/>
        <v>1.9212182780411684</v>
      </c>
      <c r="BF603" s="170">
        <f t="shared" si="66"/>
        <v>303332.66613418888</v>
      </c>
      <c r="BG603" s="2">
        <f t="shared" si="67"/>
        <v>1175375.1955259584</v>
      </c>
      <c r="BI603">
        <f t="shared" si="68"/>
        <v>0</v>
      </c>
      <c r="BJ603" s="95">
        <f t="shared" si="69"/>
        <v>1</v>
      </c>
      <c r="BP603" s="217">
        <f t="shared" si="72"/>
        <v>1175375.1955259584</v>
      </c>
    </row>
    <row r="604" spans="1:68">
      <c r="A604" s="11">
        <v>598</v>
      </c>
      <c r="C604" s="27">
        <v>0.92237462190050967</v>
      </c>
      <c r="D604" s="27">
        <v>7.7625378099490328E-2</v>
      </c>
      <c r="E604" s="27">
        <v>0</v>
      </c>
      <c r="F604" s="27">
        <v>0.8571764512497847</v>
      </c>
      <c r="G604" s="27">
        <v>0.14282354875021527</v>
      </c>
      <c r="H604" s="27">
        <v>0</v>
      </c>
      <c r="I604" s="27">
        <v>0.75199248058576584</v>
      </c>
      <c r="J604" s="27">
        <v>0.24800751941423413</v>
      </c>
      <c r="K604" s="27">
        <v>0</v>
      </c>
      <c r="L604" s="27">
        <v>0.13714805461712121</v>
      </c>
      <c r="M604" s="27">
        <v>0.43588774147021347</v>
      </c>
      <c r="N604" s="27">
        <v>0.42696420391266532</v>
      </c>
      <c r="O604" s="27">
        <v>-11.546535521253823</v>
      </c>
      <c r="P604" s="27">
        <v>3.6591649898570146E-2</v>
      </c>
      <c r="Q604" s="27">
        <v>4.496229872261144E-5</v>
      </c>
      <c r="R604" s="27">
        <v>1.1129182101775352</v>
      </c>
      <c r="S604" s="154"/>
      <c r="T604">
        <v>0.94330607950484724</v>
      </c>
      <c r="U604">
        <v>2.2906599211040533</v>
      </c>
      <c r="V604">
        <v>3.1199537540316484</v>
      </c>
      <c r="W604">
        <v>1</v>
      </c>
      <c r="Y604" s="2">
        <v>525.50347082350129</v>
      </c>
      <c r="Z604" s="2">
        <v>701.26764769244005</v>
      </c>
      <c r="AA604" s="2">
        <v>236.48026921317694</v>
      </c>
      <c r="AB604" s="2">
        <v>822.89753995128729</v>
      </c>
      <c r="AC604" s="2">
        <v>7.2696743357273128</v>
      </c>
      <c r="AD604" s="2">
        <v>1833.5808000216009</v>
      </c>
      <c r="AE604" s="2">
        <v>535.49396620775838</v>
      </c>
      <c r="AF604" s="2">
        <v>1218.0721691345013</v>
      </c>
      <c r="AG604" s="2">
        <v>90.228316552521463</v>
      </c>
      <c r="AH604" s="2">
        <v>346.29517310103847</v>
      </c>
      <c r="AI604" s="2">
        <v>429000.53098040773</v>
      </c>
      <c r="AJ604" s="2">
        <v>405356.1559817036</v>
      </c>
      <c r="AL604" s="27">
        <v>0.9171198107502484</v>
      </c>
      <c r="AM604" s="27">
        <v>0.91188815513536892</v>
      </c>
      <c r="AN604" s="27">
        <v>0.90865585975332808</v>
      </c>
      <c r="AO604" s="27">
        <v>0.87704583382713563</v>
      </c>
      <c r="AP604" s="27">
        <v>0.78058262628595276</v>
      </c>
      <c r="AQ604" s="27">
        <v>0.9171198107502484</v>
      </c>
      <c r="AR604" s="27">
        <v>0.91188815513536892</v>
      </c>
      <c r="AS604" s="27">
        <v>0.90865585975332808</v>
      </c>
      <c r="AT604" s="27">
        <v>0.87704583382713563</v>
      </c>
      <c r="AU604" s="27">
        <v>0.78058262628595276</v>
      </c>
      <c r="AW604" s="1">
        <v>13.56318769891994</v>
      </c>
      <c r="AX604" s="1">
        <v>15.236524830169124</v>
      </c>
      <c r="AY604" s="2">
        <v>1363599.6497642167</v>
      </c>
      <c r="AZ604" s="1">
        <v>15.293951245699732</v>
      </c>
      <c r="BA604" s="1">
        <v>17.027477136568276</v>
      </c>
      <c r="BB604" s="2">
        <v>1033299.5603084792</v>
      </c>
      <c r="BC604" s="2">
        <f t="shared" si="70"/>
        <v>-330300.0894557375</v>
      </c>
      <c r="BD604" s="292">
        <f t="shared" si="71"/>
        <v>1.7307635467797926</v>
      </c>
      <c r="BF604" s="170">
        <f t="shared" si="66"/>
        <v>806510.38206297369</v>
      </c>
      <c r="BG604" s="2">
        <f t="shared" si="67"/>
        <v>1413732.639003478</v>
      </c>
      <c r="BI604">
        <f t="shared" si="68"/>
        <v>0</v>
      </c>
      <c r="BJ604" s="95">
        <f t="shared" si="69"/>
        <v>1</v>
      </c>
      <c r="BP604" s="217">
        <f t="shared" si="72"/>
        <v>1413732.639003478</v>
      </c>
    </row>
    <row r="605" spans="1:68">
      <c r="A605" s="11">
        <v>599</v>
      </c>
      <c r="C605" s="27">
        <v>0.92087672919893393</v>
      </c>
      <c r="D605" s="27">
        <v>7.912327080106607E-2</v>
      </c>
      <c r="E605" s="27">
        <v>0</v>
      </c>
      <c r="F605" s="27">
        <v>0.86096052655932365</v>
      </c>
      <c r="G605" s="27">
        <v>0.1390394734406763</v>
      </c>
      <c r="H605" s="27">
        <v>0</v>
      </c>
      <c r="I605" s="27">
        <v>0.74590183582139125</v>
      </c>
      <c r="J605" s="27">
        <v>0.25409816417860875</v>
      </c>
      <c r="K605" s="27">
        <v>0</v>
      </c>
      <c r="L605" s="27">
        <v>0.12487790965390755</v>
      </c>
      <c r="M605" s="27">
        <v>0.45547867891903598</v>
      </c>
      <c r="N605" s="27">
        <v>0.41964341142705652</v>
      </c>
      <c r="O605" s="27">
        <v>-10.952507556569286</v>
      </c>
      <c r="P605" s="27">
        <v>3.1890370321656529E-2</v>
      </c>
      <c r="Q605" s="27">
        <v>6.6846473846190126E-5</v>
      </c>
      <c r="R605" s="27">
        <v>1.06721168631204</v>
      </c>
      <c r="S605" s="154"/>
      <c r="T605">
        <v>1.0375568889643829</v>
      </c>
      <c r="U605">
        <v>2.2103828537427659</v>
      </c>
      <c r="V605">
        <v>2.8822174002459167</v>
      </c>
      <c r="W605">
        <v>1</v>
      </c>
      <c r="Y605" s="2">
        <v>1573.8355610019544</v>
      </c>
      <c r="Z605" s="2">
        <v>6949.6220922425746</v>
      </c>
      <c r="AA605" s="2">
        <v>1074.1973517191311</v>
      </c>
      <c r="AB605" s="2">
        <v>2174.2004183835547</v>
      </c>
      <c r="AC605" s="2">
        <v>43.231932993370144</v>
      </c>
      <c r="AD605" s="2">
        <v>3251.8758232072278</v>
      </c>
      <c r="AE605" s="2">
        <v>610.72693687988669</v>
      </c>
      <c r="AF605" s="2">
        <v>905.04290826415684</v>
      </c>
      <c r="AG605" s="2">
        <v>111.28528999301122</v>
      </c>
      <c r="AH605" s="2">
        <v>319.95729891161096</v>
      </c>
      <c r="AI605" s="2">
        <v>385270.64630393207</v>
      </c>
      <c r="AJ605" s="2">
        <v>354745.88463833259</v>
      </c>
      <c r="AL605" s="27">
        <v>0.91363773577091278</v>
      </c>
      <c r="AM605" s="27">
        <v>0.9137544821554402</v>
      </c>
      <c r="AN605" s="27">
        <v>0.91249898590751077</v>
      </c>
      <c r="AO605" s="27">
        <v>0.83161136948302794</v>
      </c>
      <c r="AP605" s="27">
        <v>0.76087952500658607</v>
      </c>
      <c r="AQ605" s="27">
        <v>0.91363773577091278</v>
      </c>
      <c r="AR605" s="27">
        <v>0.9137544821554402</v>
      </c>
      <c r="AS605" s="27">
        <v>0.91249898590751077</v>
      </c>
      <c r="AT605" s="27">
        <v>0.83161136948302794</v>
      </c>
      <c r="AU605" s="27">
        <v>0.76087952500658607</v>
      </c>
      <c r="AW605" s="1">
        <v>13.304414847077338</v>
      </c>
      <c r="AX605" s="1">
        <v>15.114828606716738</v>
      </c>
      <c r="AY605" s="2">
        <v>1407519.0745040674</v>
      </c>
      <c r="AZ605" s="1">
        <v>15.261107589061362</v>
      </c>
      <c r="BA605" s="1">
        <v>17.095305901393743</v>
      </c>
      <c r="BB605" s="2">
        <v>1017369.1245659492</v>
      </c>
      <c r="BC605" s="2">
        <f t="shared" si="70"/>
        <v>-390149.94993811822</v>
      </c>
      <c r="BD605" s="292">
        <f t="shared" si="71"/>
        <v>1.9566927419840248</v>
      </c>
      <c r="BF605" s="170">
        <f t="shared" si="66"/>
        <v>721187.30102830636</v>
      </c>
      <c r="BG605" s="2">
        <f t="shared" si="67"/>
        <v>1424408.0896838689</v>
      </c>
      <c r="BI605">
        <f t="shared" si="68"/>
        <v>0</v>
      </c>
      <c r="BJ605" s="95">
        <f t="shared" si="69"/>
        <v>1</v>
      </c>
      <c r="BP605" s="217">
        <f t="shared" si="72"/>
        <v>1424408.0896838689</v>
      </c>
    </row>
    <row r="606" spans="1:68">
      <c r="A606" s="11">
        <v>600</v>
      </c>
      <c r="C606" s="27">
        <v>0.92154389558902461</v>
      </c>
      <c r="D606" s="27">
        <v>7.8456104410975391E-2</v>
      </c>
      <c r="E606" s="27">
        <v>0</v>
      </c>
      <c r="F606" s="27">
        <v>0.85230734782959172</v>
      </c>
      <c r="G606" s="27">
        <v>0.14769265217040828</v>
      </c>
      <c r="H606" s="27">
        <v>0</v>
      </c>
      <c r="I606" s="27">
        <v>0.75191186843015201</v>
      </c>
      <c r="J606" s="27">
        <v>0.24808813156984794</v>
      </c>
      <c r="K606" s="27">
        <v>0</v>
      </c>
      <c r="L606" s="27">
        <v>0.15673889904605115</v>
      </c>
      <c r="M606" s="27">
        <v>0.53013235993609054</v>
      </c>
      <c r="N606" s="27">
        <v>0.31312874101785831</v>
      </c>
      <c r="O606" s="27">
        <v>-11.137159000334107</v>
      </c>
      <c r="P606" s="27">
        <v>3.1930429113105681E-2</v>
      </c>
      <c r="Q606" s="27">
        <v>5.5669341883459624E-5</v>
      </c>
      <c r="R606" s="27">
        <v>1.0971214494559252</v>
      </c>
      <c r="S606" s="154"/>
      <c r="T606">
        <v>1.1017394271765246</v>
      </c>
      <c r="U606">
        <v>2.200556477863989</v>
      </c>
      <c r="V606">
        <v>3.0118201502806867</v>
      </c>
      <c r="W606">
        <v>1</v>
      </c>
      <c r="Y606" s="2">
        <v>612.91442920825523</v>
      </c>
      <c r="Z606" s="2">
        <v>557.50472138945429</v>
      </c>
      <c r="AA606" s="2">
        <v>2070.6440078782111</v>
      </c>
      <c r="AB606" s="2">
        <v>1021.842696908502</v>
      </c>
      <c r="AC606" s="2">
        <v>942.89383327356143</v>
      </c>
      <c r="AD606" s="2">
        <v>1206.2220270563403</v>
      </c>
      <c r="AE606" s="2">
        <v>567.63189446050842</v>
      </c>
      <c r="AF606" s="2">
        <v>858.06824423838145</v>
      </c>
      <c r="AG606" s="2">
        <v>191.24729296019348</v>
      </c>
      <c r="AH606" s="2">
        <v>270.43902230744555</v>
      </c>
      <c r="AI606" s="2">
        <v>461908.06074179569</v>
      </c>
      <c r="AJ606" s="2">
        <v>437934.90851217113</v>
      </c>
      <c r="AL606" s="27">
        <v>0.91859122306091323</v>
      </c>
      <c r="AM606" s="27">
        <v>0.90531085191441252</v>
      </c>
      <c r="AN606" s="27">
        <v>0.9009656399089373</v>
      </c>
      <c r="AO606" s="27">
        <v>0.80667250858838446</v>
      </c>
      <c r="AP606" s="27">
        <v>0.71979896210140315</v>
      </c>
      <c r="AQ606" s="27">
        <v>0.91859122306091323</v>
      </c>
      <c r="AR606" s="27">
        <v>0.90531085191441252</v>
      </c>
      <c r="AS606" s="27">
        <v>0.9009656399089373</v>
      </c>
      <c r="AT606" s="27">
        <v>0.80667250858838446</v>
      </c>
      <c r="AU606" s="27">
        <v>0.71979896210140315</v>
      </c>
      <c r="AW606" s="1">
        <v>13.317514703516741</v>
      </c>
      <c r="AX606" s="1">
        <v>15.390940169041713</v>
      </c>
      <c r="AY606" s="2">
        <v>1923589.2461312013</v>
      </c>
      <c r="AZ606" s="1">
        <v>15.357645843873707</v>
      </c>
      <c r="BA606" s="1">
        <v>17.394460269305693</v>
      </c>
      <c r="BB606" s="2">
        <v>1368657.394898745</v>
      </c>
      <c r="BC606" s="2">
        <f t="shared" si="70"/>
        <v>-554931.85123245628</v>
      </c>
      <c r="BD606" s="292">
        <f t="shared" si="71"/>
        <v>2.0401311403569657</v>
      </c>
      <c r="BF606" s="170">
        <f t="shared" si="66"/>
        <v>207213.10643147724</v>
      </c>
      <c r="BG606" s="2">
        <f t="shared" si="67"/>
        <v>1088565.9401210479</v>
      </c>
      <c r="BI606">
        <f t="shared" si="68"/>
        <v>0</v>
      </c>
      <c r="BJ606" s="95">
        <f t="shared" si="69"/>
        <v>1</v>
      </c>
      <c r="BP606" s="217">
        <f t="shared" si="72"/>
        <v>1088565.9401210479</v>
      </c>
    </row>
    <row r="607" spans="1:68">
      <c r="A607" s="11">
        <v>601</v>
      </c>
      <c r="C607" s="27">
        <v>0.92297038539023035</v>
      </c>
      <c r="D607" s="27">
        <v>7.7029614609769648E-2</v>
      </c>
      <c r="E607" s="27">
        <v>0</v>
      </c>
      <c r="F607" s="27">
        <v>0.86099238995740335</v>
      </c>
      <c r="G607" s="27">
        <v>0.13900761004259665</v>
      </c>
      <c r="H607" s="27">
        <v>0</v>
      </c>
      <c r="I607" s="27">
        <v>0.74306036529780084</v>
      </c>
      <c r="J607" s="27">
        <v>0.25693963470219916</v>
      </c>
      <c r="K607" s="27">
        <v>0</v>
      </c>
      <c r="L607" s="27">
        <v>6.13986169365901E-2</v>
      </c>
      <c r="M607" s="27">
        <v>0.52497534729800044</v>
      </c>
      <c r="N607" s="27">
        <v>0.41362603576540946</v>
      </c>
      <c r="O607" s="27">
        <v>-11.420086136206022</v>
      </c>
      <c r="P607" s="27">
        <v>3.1935470151389707E-2</v>
      </c>
      <c r="Q607" s="27">
        <v>4.1959890257477989E-5</v>
      </c>
      <c r="R607" s="27">
        <v>1.1350295023124155</v>
      </c>
      <c r="S607" s="154"/>
      <c r="T607">
        <v>1.0360091133031892</v>
      </c>
      <c r="U607">
        <v>2.23198921647707</v>
      </c>
      <c r="V607">
        <v>2.8160477542559397</v>
      </c>
      <c r="W607">
        <v>1</v>
      </c>
      <c r="Y607" s="2">
        <v>284.48350131628541</v>
      </c>
      <c r="Z607" s="2">
        <v>4825.8786806364433</v>
      </c>
      <c r="AA607" s="2">
        <v>1855.9179821459163</v>
      </c>
      <c r="AB607" s="2">
        <v>6038.0643978950557</v>
      </c>
      <c r="AC607" s="2">
        <v>155.03508940675096</v>
      </c>
      <c r="AD607" s="2">
        <v>1365.0974328040541</v>
      </c>
      <c r="AE607" s="2">
        <v>585.59477613403658</v>
      </c>
      <c r="AF607" s="2">
        <v>781.04290662507321</v>
      </c>
      <c r="AG607" s="2">
        <v>105.92685266788453</v>
      </c>
      <c r="AH607" s="2">
        <v>515.66666231405736</v>
      </c>
      <c r="AI607" s="2">
        <v>844722.80113408458</v>
      </c>
      <c r="AJ607" s="2">
        <v>791557.61017214623</v>
      </c>
      <c r="AL607" s="27">
        <v>0.92445127627073742</v>
      </c>
      <c r="AM607" s="27">
        <v>0.9122953412200151</v>
      </c>
      <c r="AN607" s="27">
        <v>0.91030884609910989</v>
      </c>
      <c r="AO607" s="27">
        <v>0.89469999528799771</v>
      </c>
      <c r="AP607" s="27">
        <v>0.64706298134368834</v>
      </c>
      <c r="AQ607" s="27">
        <v>0.92445127627073742</v>
      </c>
      <c r="AR607" s="27">
        <v>0.9122953412200151</v>
      </c>
      <c r="AS607" s="27">
        <v>0.91030884609910989</v>
      </c>
      <c r="AT607" s="27">
        <v>0.89469999528799771</v>
      </c>
      <c r="AU607" s="27">
        <v>0.64706298134368834</v>
      </c>
      <c r="AW607" s="1">
        <v>13.14787206093489</v>
      </c>
      <c r="AX607" s="1">
        <v>15.156714933098067</v>
      </c>
      <c r="AY607" s="2">
        <v>2886839.6723119053</v>
      </c>
      <c r="AZ607" s="1">
        <v>15.170303290680508</v>
      </c>
      <c r="BA607" s="1">
        <v>17.11713806494144</v>
      </c>
      <c r="BB607" s="2">
        <v>2126115.0741761127</v>
      </c>
      <c r="BC607" s="2">
        <f t="shared" si="70"/>
        <v>-760724.59813579265</v>
      </c>
      <c r="BD607" s="292">
        <f t="shared" si="71"/>
        <v>2.0224312297456173</v>
      </c>
      <c r="BF607" s="170">
        <f t="shared" si="66"/>
        <v>-783180.14256232278</v>
      </c>
      <c r="BG607" s="2">
        <f t="shared" si="67"/>
        <v>301133.45233276859</v>
      </c>
      <c r="BI607">
        <f t="shared" si="68"/>
        <v>0</v>
      </c>
      <c r="BJ607" s="95">
        <f t="shared" si="69"/>
        <v>1</v>
      </c>
      <c r="BP607" s="217">
        <f t="shared" si="72"/>
        <v>301133.45233276859</v>
      </c>
    </row>
    <row r="608" spans="1:68">
      <c r="A608" s="11">
        <v>602</v>
      </c>
      <c r="C608" s="27">
        <v>0.91948789730507319</v>
      </c>
      <c r="D608" s="27">
        <v>8.0512102694926813E-2</v>
      </c>
      <c r="E608" s="27">
        <v>0</v>
      </c>
      <c r="F608" s="27">
        <v>0.84940039317000482</v>
      </c>
      <c r="G608" s="27">
        <v>0.15059960682999518</v>
      </c>
      <c r="H608" s="27">
        <v>0</v>
      </c>
      <c r="I608" s="27">
        <v>0.75095010491335235</v>
      </c>
      <c r="J608" s="27">
        <v>0.24904989508664763</v>
      </c>
      <c r="K608" s="27">
        <v>0</v>
      </c>
      <c r="L608" s="27">
        <v>0.15068705869161225</v>
      </c>
      <c r="M608" s="27">
        <v>0.50124632707232597</v>
      </c>
      <c r="N608" s="27">
        <v>0.34806661423606178</v>
      </c>
      <c r="O608" s="27">
        <v>-11.03640884506952</v>
      </c>
      <c r="P608" s="27">
        <v>3.4698150285650625E-2</v>
      </c>
      <c r="Q608" s="27">
        <v>6.9160094339629081E-5</v>
      </c>
      <c r="R608" s="27">
        <v>1.057182670009051</v>
      </c>
      <c r="S608" s="154"/>
      <c r="T608">
        <v>0.95354078580586865</v>
      </c>
      <c r="U608">
        <v>2.2300042902561237</v>
      </c>
      <c r="V608">
        <v>3.0918876921301242</v>
      </c>
      <c r="W608">
        <v>1</v>
      </c>
      <c r="Y608" s="2">
        <v>2228.5121760886823</v>
      </c>
      <c r="Z608" s="2">
        <v>1590.4045756373398</v>
      </c>
      <c r="AA608" s="2">
        <v>84.553672339172351</v>
      </c>
      <c r="AB608" s="2">
        <v>8271.6419120153878</v>
      </c>
      <c r="AC608" s="2">
        <v>2826.4531300300537</v>
      </c>
      <c r="AD608" s="2">
        <v>168.65260740755741</v>
      </c>
      <c r="AE608" s="2">
        <v>546.18933097968579</v>
      </c>
      <c r="AF608" s="2">
        <v>1166.6011468080069</v>
      </c>
      <c r="AG608" s="2">
        <v>78.312288781936459</v>
      </c>
      <c r="AH608" s="2">
        <v>326.1858105597193</v>
      </c>
      <c r="AI608" s="2">
        <v>424019.92477736343</v>
      </c>
      <c r="AJ608" s="2">
        <v>400784.91254366573</v>
      </c>
      <c r="AL608" s="27">
        <v>0.91959941894021369</v>
      </c>
      <c r="AM608" s="27">
        <v>0.91470651168561079</v>
      </c>
      <c r="AN608" s="27">
        <v>0.89845235799819578</v>
      </c>
      <c r="AO608" s="27">
        <v>0.87268325865389396</v>
      </c>
      <c r="AP608" s="27">
        <v>0.6621920341576879</v>
      </c>
      <c r="AQ608" s="27">
        <v>0.91959941894021369</v>
      </c>
      <c r="AR608" s="27">
        <v>0.91470651168561079</v>
      </c>
      <c r="AS608" s="27">
        <v>0.89845235799819578</v>
      </c>
      <c r="AT608" s="27">
        <v>0.87268325865389396</v>
      </c>
      <c r="AU608" s="27">
        <v>0.6621920341576879</v>
      </c>
      <c r="AW608" s="1">
        <v>13.487379968540225</v>
      </c>
      <c r="AX608" s="1">
        <v>15.671426671208495</v>
      </c>
      <c r="AY608" s="2">
        <v>1756612.1769226964</v>
      </c>
      <c r="AZ608" s="1">
        <v>15.19776850233268</v>
      </c>
      <c r="BA608" s="1">
        <v>17.306090592736073</v>
      </c>
      <c r="BB608" s="2">
        <v>1366013.2282824849</v>
      </c>
      <c r="BC608" s="2">
        <f t="shared" si="70"/>
        <v>-390598.94864021149</v>
      </c>
      <c r="BD608" s="292">
        <f t="shared" si="71"/>
        <v>1.7103885337924556</v>
      </c>
      <c r="BF608" s="170">
        <f t="shared" si="66"/>
        <v>401368.61804373958</v>
      </c>
      <c r="BG608" s="2">
        <f t="shared" si="67"/>
        <v>1065629.732090744</v>
      </c>
      <c r="BI608">
        <f t="shared" si="68"/>
        <v>0</v>
      </c>
      <c r="BJ608" s="95">
        <f t="shared" si="69"/>
        <v>1</v>
      </c>
      <c r="BP608" s="217">
        <f t="shared" si="72"/>
        <v>1065629.732090744</v>
      </c>
    </row>
    <row r="609" spans="1:68">
      <c r="A609" s="11">
        <v>603</v>
      </c>
      <c r="C609" s="27">
        <v>0.92779079912704132</v>
      </c>
      <c r="D609" s="27">
        <v>7.220920087295872E-2</v>
      </c>
      <c r="E609" s="27">
        <v>0</v>
      </c>
      <c r="F609" s="27">
        <v>0.85792762989549487</v>
      </c>
      <c r="G609" s="27">
        <v>0.1420723701045051</v>
      </c>
      <c r="H609" s="27">
        <v>0</v>
      </c>
      <c r="I609" s="27">
        <v>0.75471275678986505</v>
      </c>
      <c r="J609" s="27">
        <v>0.24528724321013495</v>
      </c>
      <c r="K609" s="27">
        <v>0</v>
      </c>
      <c r="L609" s="27">
        <v>0.19319686620969667</v>
      </c>
      <c r="M609" s="27">
        <v>0.44621235331341658</v>
      </c>
      <c r="N609" s="27">
        <v>0.36059078047688675</v>
      </c>
      <c r="O609" s="27">
        <v>-11.289296243038351</v>
      </c>
      <c r="P609" s="27">
        <v>3.6723626337896949E-2</v>
      </c>
      <c r="Q609" s="27">
        <v>5.8475427374715748E-5</v>
      </c>
      <c r="R609" s="27">
        <v>1.0764669809138234</v>
      </c>
      <c r="S609" s="154"/>
      <c r="T609">
        <v>1.0058871964353275</v>
      </c>
      <c r="U609">
        <v>2.2235494365604085</v>
      </c>
      <c r="V609">
        <v>3.0823549595504565</v>
      </c>
      <c r="W609">
        <v>1</v>
      </c>
      <c r="Y609" s="2">
        <v>75.807702541110601</v>
      </c>
      <c r="Z609" s="2">
        <v>2742.3407406731535</v>
      </c>
      <c r="AA609" s="2">
        <v>347.29478628743288</v>
      </c>
      <c r="AB609" s="2">
        <v>4421.8421145860921</v>
      </c>
      <c r="AC609" s="2">
        <v>482.29716190476438</v>
      </c>
      <c r="AD609" s="2">
        <v>299.9357465191037</v>
      </c>
      <c r="AE609" s="2">
        <v>525.80833898938079</v>
      </c>
      <c r="AF609" s="2">
        <v>1003.9865117972553</v>
      </c>
      <c r="AG609" s="2">
        <v>94.118963573448312</v>
      </c>
      <c r="AH609" s="2">
        <v>502.12680659723821</v>
      </c>
      <c r="AI609" s="2">
        <v>540513.96643471438</v>
      </c>
      <c r="AJ609" s="2">
        <v>497075.00134550233</v>
      </c>
      <c r="AL609" s="27">
        <v>0.91148602081247343</v>
      </c>
      <c r="AM609" s="27">
        <v>0.91656391177714547</v>
      </c>
      <c r="AN609" s="27">
        <v>0.90745882908407138</v>
      </c>
      <c r="AO609" s="27">
        <v>0.8807574354090133</v>
      </c>
      <c r="AP609" s="27">
        <v>0.80310608416133578</v>
      </c>
      <c r="AQ609" s="27">
        <v>0.91148602081247343</v>
      </c>
      <c r="AR609" s="27">
        <v>0.91656391177714547</v>
      </c>
      <c r="AS609" s="27">
        <v>0.90745882908407138</v>
      </c>
      <c r="AT609" s="27">
        <v>0.8807574354090133</v>
      </c>
      <c r="AU609" s="27">
        <v>0.80310608416133578</v>
      </c>
      <c r="AW609" s="1">
        <v>13.960916991251432</v>
      </c>
      <c r="AX609" s="1">
        <v>15.690008916692916</v>
      </c>
      <c r="AY609" s="2">
        <v>1889688.2242540189</v>
      </c>
      <c r="AZ609" s="1">
        <v>15.689174796472955</v>
      </c>
      <c r="BA609" s="1">
        <v>17.468314930981077</v>
      </c>
      <c r="BB609" s="2">
        <v>1384926.0431279801</v>
      </c>
      <c r="BC609" s="2">
        <f t="shared" si="70"/>
        <v>-504762.18112603878</v>
      </c>
      <c r="BD609" s="292">
        <f t="shared" si="71"/>
        <v>1.7282578052215225</v>
      </c>
      <c r="BF609" s="170">
        <f t="shared" si="66"/>
        <v>344058.4943462105</v>
      </c>
      <c r="BG609" s="2">
        <f t="shared" si="67"/>
        <v>1125341.9243076928</v>
      </c>
      <c r="BI609">
        <f t="shared" si="68"/>
        <v>0</v>
      </c>
      <c r="BJ609" s="95">
        <f t="shared" si="69"/>
        <v>1</v>
      </c>
      <c r="BP609" s="217">
        <f t="shared" si="72"/>
        <v>1125341.9243076928</v>
      </c>
    </row>
    <row r="610" spans="1:68">
      <c r="A610" s="11">
        <v>604</v>
      </c>
      <c r="C610" s="27">
        <v>0.92292202161642789</v>
      </c>
      <c r="D610" s="27">
        <v>7.707797838357211E-2</v>
      </c>
      <c r="E610" s="27">
        <v>0</v>
      </c>
      <c r="F610" s="27">
        <v>0.85435932902555001</v>
      </c>
      <c r="G610" s="27">
        <v>0.14564067097444999</v>
      </c>
      <c r="H610" s="27">
        <v>0</v>
      </c>
      <c r="I610" s="27">
        <v>0.75703214873773006</v>
      </c>
      <c r="J610" s="27">
        <v>0.24296785126226994</v>
      </c>
      <c r="K610" s="27">
        <v>0</v>
      </c>
      <c r="L610" s="27">
        <v>9.253400891907404E-2</v>
      </c>
      <c r="M610" s="27">
        <v>0.45504860391400043</v>
      </c>
      <c r="N610" s="27">
        <v>0.45241738716692548</v>
      </c>
      <c r="O610" s="27">
        <v>-10.863968030394449</v>
      </c>
      <c r="P610" s="27">
        <v>3.3067614848949524E-2</v>
      </c>
      <c r="Q610" s="27">
        <v>7.6736874167729026E-5</v>
      </c>
      <c r="R610" s="27">
        <v>1.0595383091105706</v>
      </c>
      <c r="S610" s="154"/>
      <c r="T610">
        <v>0.93388171198662373</v>
      </c>
      <c r="U610">
        <v>2.2845786234996717</v>
      </c>
      <c r="V610">
        <v>3.1379990725984857</v>
      </c>
      <c r="W610">
        <v>1</v>
      </c>
      <c r="Y610" s="2">
        <v>1335.8344535140393</v>
      </c>
      <c r="Z610" s="2">
        <v>1097.6509319514444</v>
      </c>
      <c r="AA610" s="2">
        <v>3387.0259203012411</v>
      </c>
      <c r="AB610" s="2">
        <v>10748.55769488011</v>
      </c>
      <c r="AC610" s="2">
        <v>1664.0923889427988</v>
      </c>
      <c r="AD610" s="2">
        <v>1660.4025768778379</v>
      </c>
      <c r="AE610" s="2">
        <v>526.85731859739838</v>
      </c>
      <c r="AF610" s="2">
        <v>809.98230908305652</v>
      </c>
      <c r="AG610" s="2">
        <v>161.88475874720081</v>
      </c>
      <c r="AH610" s="2">
        <v>295.16847483949869</v>
      </c>
      <c r="AI610" s="2">
        <v>401415.1055053646</v>
      </c>
      <c r="AJ610" s="2">
        <v>377248.95168639277</v>
      </c>
      <c r="AL610" s="27">
        <v>0.9210063658354799</v>
      </c>
      <c r="AM610" s="27">
        <v>0.91589556044607334</v>
      </c>
      <c r="AN610" s="27">
        <v>0.89724949610526394</v>
      </c>
      <c r="AO610" s="27">
        <v>0.87910732562047533</v>
      </c>
      <c r="AP610" s="27">
        <v>0.76162466602488621</v>
      </c>
      <c r="AQ610" s="27">
        <v>0.9210063658354799</v>
      </c>
      <c r="AR610" s="27">
        <v>0.91589556044607334</v>
      </c>
      <c r="AS610" s="27">
        <v>0.89724949610526394</v>
      </c>
      <c r="AT610" s="27">
        <v>0.87910732562047533</v>
      </c>
      <c r="AU610" s="27">
        <v>0.76162466602488621</v>
      </c>
      <c r="AW610" s="1">
        <v>13.5410029324738</v>
      </c>
      <c r="AX610" s="1">
        <v>15.218528479447006</v>
      </c>
      <c r="AY610" s="2">
        <v>1288087.8682238932</v>
      </c>
      <c r="AZ610" s="1">
        <v>15.261396183499226</v>
      </c>
      <c r="BA610" s="1">
        <v>16.996194124107195</v>
      </c>
      <c r="BB610" s="2">
        <v>1164795.095390379</v>
      </c>
      <c r="BC610" s="2">
        <f t="shared" si="70"/>
        <v>-123292.77283351426</v>
      </c>
      <c r="BD610" s="292">
        <f t="shared" si="71"/>
        <v>1.7203932510254258</v>
      </c>
      <c r="BF610" s="170">
        <f t="shared" si="66"/>
        <v>878472.60097191459</v>
      </c>
      <c r="BG610" s="2">
        <f t="shared" si="67"/>
        <v>1277028.2939694971</v>
      </c>
      <c r="BI610">
        <f t="shared" si="68"/>
        <v>0</v>
      </c>
      <c r="BJ610" s="95">
        <f t="shared" si="69"/>
        <v>1</v>
      </c>
      <c r="BP610" s="217">
        <f t="shared" si="72"/>
        <v>1277028.2939694971</v>
      </c>
    </row>
    <row r="611" spans="1:68">
      <c r="A611" s="11">
        <v>605</v>
      </c>
      <c r="C611" s="27">
        <v>0.92184120987588936</v>
      </c>
      <c r="D611" s="27">
        <v>7.8158790124110644E-2</v>
      </c>
      <c r="E611" s="27">
        <v>0</v>
      </c>
      <c r="F611" s="27">
        <v>0.84863710125879444</v>
      </c>
      <c r="G611" s="27">
        <v>0.15136289874120556</v>
      </c>
      <c r="H611" s="27">
        <v>0</v>
      </c>
      <c r="I611" s="27">
        <v>0.75254724817232554</v>
      </c>
      <c r="J611" s="27">
        <v>0.24745275182767446</v>
      </c>
      <c r="K611" s="27">
        <v>0</v>
      </c>
      <c r="L611" s="27">
        <v>8.475655164145357E-2</v>
      </c>
      <c r="M611" s="27">
        <v>0.51093231333535472</v>
      </c>
      <c r="N611" s="27">
        <v>0.40431113502319171</v>
      </c>
      <c r="O611" s="27">
        <v>-11.129861849793494</v>
      </c>
      <c r="P611" s="27">
        <v>3.3960268728625259E-2</v>
      </c>
      <c r="Q611" s="27">
        <v>6.106751129785623E-5</v>
      </c>
      <c r="R611" s="27">
        <v>1.0706355306287796</v>
      </c>
      <c r="S611" s="154"/>
      <c r="T611">
        <v>0.95941831690074075</v>
      </c>
      <c r="U611">
        <v>2.1646588531221531</v>
      </c>
      <c r="V611">
        <v>2.9101408240249178</v>
      </c>
      <c r="W611">
        <v>1</v>
      </c>
      <c r="Y611" s="2">
        <v>162.04101771650943</v>
      </c>
      <c r="Z611" s="2">
        <v>3963.0725805454617</v>
      </c>
      <c r="AA611" s="2">
        <v>1917.9957304787038</v>
      </c>
      <c r="AB611" s="2">
        <v>4876.231999509976</v>
      </c>
      <c r="AC611" s="2">
        <v>69.563962667525843</v>
      </c>
      <c r="AD611" s="2">
        <v>941.7495001182748</v>
      </c>
      <c r="AE611" s="2">
        <v>524.60677599626183</v>
      </c>
      <c r="AF611" s="2">
        <v>906.2481896121102</v>
      </c>
      <c r="AG611" s="2">
        <v>51.686877375322275</v>
      </c>
      <c r="AH611" s="2">
        <v>624.8936578324616</v>
      </c>
      <c r="AI611" s="2">
        <v>478865.31018813996</v>
      </c>
      <c r="AJ611" s="2">
        <v>450587.73343853478</v>
      </c>
      <c r="AL611" s="27">
        <v>0.92095917757776902</v>
      </c>
      <c r="AM611" s="27">
        <v>0.91703590240874511</v>
      </c>
      <c r="AN611" s="27">
        <v>0.91563594357628397</v>
      </c>
      <c r="AO611" s="27">
        <v>0.8411544549274671</v>
      </c>
      <c r="AP611" s="27">
        <v>0.69722526568962073</v>
      </c>
      <c r="AQ611" s="27">
        <v>0.92095917757776902</v>
      </c>
      <c r="AR611" s="27">
        <v>0.91703590240874511</v>
      </c>
      <c r="AS611" s="27">
        <v>0.91563594357628397</v>
      </c>
      <c r="AT611" s="27">
        <v>0.8411544549274671</v>
      </c>
      <c r="AU611" s="27">
        <v>0.69722526568962073</v>
      </c>
      <c r="AW611" s="1">
        <v>13.583887999978323</v>
      </c>
      <c r="AX611" s="1">
        <v>15.576101691101281</v>
      </c>
      <c r="AY611" s="2">
        <v>1797338.1285961573</v>
      </c>
      <c r="AZ611" s="1">
        <v>15.265343236853735</v>
      </c>
      <c r="BA611" s="1">
        <v>17.203111764252718</v>
      </c>
      <c r="BB611" s="2">
        <v>1414888.765491283</v>
      </c>
      <c r="BC611" s="2">
        <f t="shared" si="70"/>
        <v>-382449.36310487427</v>
      </c>
      <c r="BD611" s="292">
        <f t="shared" si="71"/>
        <v>1.6814552368754114</v>
      </c>
      <c r="BF611" s="170">
        <f t="shared" si="66"/>
        <v>376083.95140037453</v>
      </c>
      <c r="BG611" s="2">
        <f t="shared" si="67"/>
        <v>1027566.1524053146</v>
      </c>
      <c r="BI611">
        <f t="shared" si="68"/>
        <v>0</v>
      </c>
      <c r="BJ611" s="95">
        <f t="shared" si="69"/>
        <v>1</v>
      </c>
      <c r="BP611" s="217">
        <f t="shared" si="72"/>
        <v>1027566.1524053146</v>
      </c>
    </row>
    <row r="612" spans="1:68">
      <c r="A612" s="11">
        <v>606</v>
      </c>
      <c r="C612" s="27">
        <v>0.92126885646177681</v>
      </c>
      <c r="D612" s="27">
        <v>7.8731143538223192E-2</v>
      </c>
      <c r="E612" s="27">
        <v>0</v>
      </c>
      <c r="F612" s="27">
        <v>0.85557139179100639</v>
      </c>
      <c r="G612" s="27">
        <v>0.14442860820899361</v>
      </c>
      <c r="H612" s="27">
        <v>0</v>
      </c>
      <c r="I612" s="27">
        <v>0.75076776866167916</v>
      </c>
      <c r="J612" s="27">
        <v>0.24923223133832079</v>
      </c>
      <c r="K612" s="27">
        <v>0</v>
      </c>
      <c r="L612" s="27">
        <v>-5.1204586788915485E-3</v>
      </c>
      <c r="M612" s="27">
        <v>0.52124400404784743</v>
      </c>
      <c r="N612" s="27">
        <v>0.48387645463104412</v>
      </c>
      <c r="O612" s="27">
        <v>-11.608518826950258</v>
      </c>
      <c r="P612" s="27">
        <v>3.7873193807070514E-2</v>
      </c>
      <c r="Q612" s="27">
        <v>4.4596967833146015E-5</v>
      </c>
      <c r="R612" s="27">
        <v>1.1042990657134721</v>
      </c>
      <c r="S612" s="154"/>
      <c r="T612">
        <v>0.9811106794047878</v>
      </c>
      <c r="U612">
        <v>2.2805493965218986</v>
      </c>
      <c r="V612">
        <v>3.1595102188872035</v>
      </c>
      <c r="W612">
        <v>1</v>
      </c>
      <c r="Y612" s="2">
        <v>99.109764433725658</v>
      </c>
      <c r="Z612" s="2">
        <v>2302.6635270290685</v>
      </c>
      <c r="AA612" s="2">
        <v>699.06321053761803</v>
      </c>
      <c r="AB612" s="2">
        <v>886.25909848655851</v>
      </c>
      <c r="AC612" s="2">
        <v>267.58039337592442</v>
      </c>
      <c r="AD612" s="2">
        <v>3693.5180823891737</v>
      </c>
      <c r="AE612" s="2">
        <v>575.31040953336799</v>
      </c>
      <c r="AF612" s="2">
        <v>890.76044143030617</v>
      </c>
      <c r="AG612" s="2">
        <v>89.922734860753295</v>
      </c>
      <c r="AH612" s="2">
        <v>459.96946639043762</v>
      </c>
      <c r="AI612" s="2">
        <v>425518.72859212587</v>
      </c>
      <c r="AJ612" s="2">
        <v>408028.08477301552</v>
      </c>
      <c r="AL612" s="27">
        <v>0.90901156692754392</v>
      </c>
      <c r="AM612" s="27">
        <v>0.912173231735525</v>
      </c>
      <c r="AN612" s="27">
        <v>0.91056880980103705</v>
      </c>
      <c r="AO612" s="27">
        <v>0.87000442057682592</v>
      </c>
      <c r="AP612" s="27">
        <v>0.71898620666160296</v>
      </c>
      <c r="AQ612" s="27">
        <v>0.90901156692754392</v>
      </c>
      <c r="AR612" s="27">
        <v>0.912173231735525</v>
      </c>
      <c r="AS612" s="27">
        <v>0.91056880980103705</v>
      </c>
      <c r="AT612" s="27">
        <v>0.87000442057682592</v>
      </c>
      <c r="AU612" s="27">
        <v>0.71898620666160296</v>
      </c>
      <c r="AW612" s="1">
        <v>13.205972921992442</v>
      </c>
      <c r="AX612" s="1">
        <v>15.166875022831658</v>
      </c>
      <c r="AY612" s="2">
        <v>1535127.6639881332</v>
      </c>
      <c r="AZ612" s="1">
        <v>15.090285133002594</v>
      </c>
      <c r="BA612" s="1">
        <v>17.046215272305542</v>
      </c>
      <c r="BB612" s="2">
        <v>1159583.9833978729</v>
      </c>
      <c r="BC612" s="2">
        <f t="shared" si="70"/>
        <v>-375543.68059026031</v>
      </c>
      <c r="BD612" s="292">
        <f t="shared" si="71"/>
        <v>1.8843122110101511</v>
      </c>
      <c r="BF612" s="170">
        <f t="shared" si="66"/>
        <v>577828.00353065762</v>
      </c>
      <c r="BG612" s="2">
        <f t="shared" si="67"/>
        <v>1254861.6378825421</v>
      </c>
      <c r="BI612">
        <f t="shared" si="68"/>
        <v>0</v>
      </c>
      <c r="BJ612" s="95">
        <f t="shared" si="69"/>
        <v>1</v>
      </c>
      <c r="BP612" s="217">
        <f t="shared" si="72"/>
        <v>1254861.6378825421</v>
      </c>
    </row>
    <row r="613" spans="1:68">
      <c r="A613" s="11">
        <v>607</v>
      </c>
      <c r="C613" s="27">
        <v>0.92279486724825299</v>
      </c>
      <c r="D613" s="27">
        <v>7.7205132751747008E-2</v>
      </c>
      <c r="E613" s="27">
        <v>0</v>
      </c>
      <c r="F613" s="27">
        <v>0.86274083621886299</v>
      </c>
      <c r="G613" s="27">
        <v>0.13725916378113701</v>
      </c>
      <c r="H613" s="27">
        <v>0</v>
      </c>
      <c r="I613" s="27">
        <v>0.75347070959131168</v>
      </c>
      <c r="J613" s="27">
        <v>0.24652929040868832</v>
      </c>
      <c r="K613" s="27">
        <v>0</v>
      </c>
      <c r="L613" s="27">
        <v>0.13530821734928544</v>
      </c>
      <c r="M613" s="27">
        <v>0.51816462273820196</v>
      </c>
      <c r="N613" s="27">
        <v>0.34652715991251259</v>
      </c>
      <c r="O613" s="27">
        <v>-11.170169084400214</v>
      </c>
      <c r="P613" s="27">
        <v>3.2936843096250688E-2</v>
      </c>
      <c r="Q613" s="27">
        <v>5.618719497994664E-5</v>
      </c>
      <c r="R613" s="27">
        <v>1.0831810857349433</v>
      </c>
      <c r="S613" s="154"/>
      <c r="T613">
        <v>0.9787332148849297</v>
      </c>
      <c r="U613">
        <v>2.2420795981788002</v>
      </c>
      <c r="V613">
        <v>3.2498881563124971</v>
      </c>
      <c r="W613">
        <v>1</v>
      </c>
      <c r="Y613" s="2">
        <v>421.17111804090013</v>
      </c>
      <c r="Z613" s="2">
        <v>3403.0183037939591</v>
      </c>
      <c r="AA613" s="2">
        <v>2610.2557735448172</v>
      </c>
      <c r="AB613" s="2">
        <v>6904.3643915867324</v>
      </c>
      <c r="AC613" s="2">
        <v>1518.4813615543092</v>
      </c>
      <c r="AD613" s="2">
        <v>280.67559439487172</v>
      </c>
      <c r="AE613" s="2">
        <v>595.55247026875008</v>
      </c>
      <c r="AF613" s="2">
        <v>979.17632407701149</v>
      </c>
      <c r="AG613" s="2">
        <v>66.567285992718283</v>
      </c>
      <c r="AH613" s="2">
        <v>593.84079906766624</v>
      </c>
      <c r="AI613" s="2">
        <v>394814.76190939732</v>
      </c>
      <c r="AJ613" s="2">
        <v>352319.62924458139</v>
      </c>
      <c r="AL613" s="27">
        <v>0.91206595579302241</v>
      </c>
      <c r="AM613" s="27">
        <v>0.9185576869572547</v>
      </c>
      <c r="AN613" s="27">
        <v>0.90453323709253075</v>
      </c>
      <c r="AO613" s="27">
        <v>0.8108199079723486</v>
      </c>
      <c r="AP613" s="27">
        <v>0.72842790839874461</v>
      </c>
      <c r="AQ613" s="27">
        <v>0.91206595579302241</v>
      </c>
      <c r="AR613" s="27">
        <v>0.9185576869572547</v>
      </c>
      <c r="AS613" s="27">
        <v>0.90453323709253075</v>
      </c>
      <c r="AT613" s="27">
        <v>0.8108199079723486</v>
      </c>
      <c r="AU613" s="27">
        <v>0.72842790839874461</v>
      </c>
      <c r="AW613" s="1">
        <v>13.723039299259263</v>
      </c>
      <c r="AX613" s="1">
        <v>15.775618269794505</v>
      </c>
      <c r="AY613" s="2">
        <v>1513187.0392390359</v>
      </c>
      <c r="AZ613" s="1">
        <v>15.510241939835895</v>
      </c>
      <c r="BA613" s="1">
        <v>17.517442082682265</v>
      </c>
      <c r="BB613" s="2">
        <v>1189055.2598291438</v>
      </c>
      <c r="BC613" s="2">
        <f t="shared" si="70"/>
        <v>-324131.77940989216</v>
      </c>
      <c r="BD613" s="292">
        <f t="shared" si="71"/>
        <v>1.7872026405766324</v>
      </c>
      <c r="BF613" s="170">
        <f t="shared" si="66"/>
        <v>682499.24864244601</v>
      </c>
      <c r="BG613" s="2">
        <f t="shared" si="67"/>
        <v>1292583.4505445997</v>
      </c>
      <c r="BI613">
        <f t="shared" si="68"/>
        <v>0</v>
      </c>
      <c r="BJ613" s="95">
        <f t="shared" si="69"/>
        <v>1</v>
      </c>
      <c r="BP613" s="217">
        <f t="shared" si="72"/>
        <v>1292583.4505445997</v>
      </c>
    </row>
    <row r="614" spans="1:68">
      <c r="A614" s="11">
        <v>608</v>
      </c>
      <c r="C614" s="27">
        <v>0.9251360736092844</v>
      </c>
      <c r="D614" s="27">
        <v>7.4863926390715596E-2</v>
      </c>
      <c r="E614" s="27">
        <v>0</v>
      </c>
      <c r="F614" s="27">
        <v>0.8524231893138029</v>
      </c>
      <c r="G614" s="27">
        <v>0.1475768106861971</v>
      </c>
      <c r="H614" s="27">
        <v>0</v>
      </c>
      <c r="I614" s="27">
        <v>0.74225768761939459</v>
      </c>
      <c r="J614" s="27">
        <v>0.25774231238060541</v>
      </c>
      <c r="K614" s="27">
        <v>0</v>
      </c>
      <c r="L614" s="27">
        <v>7.1196351563474702E-2</v>
      </c>
      <c r="M614" s="27">
        <v>0.51621389228320236</v>
      </c>
      <c r="N614" s="27">
        <v>0.41258975615332294</v>
      </c>
      <c r="O614" s="27">
        <v>-11.365827570128879</v>
      </c>
      <c r="P614" s="27">
        <v>3.4819076356846765E-2</v>
      </c>
      <c r="Q614" s="27">
        <v>5.0003059563346167E-5</v>
      </c>
      <c r="R614" s="27">
        <v>1.1025591421906538</v>
      </c>
      <c r="S614" s="154"/>
      <c r="T614">
        <v>1.0331178898370468</v>
      </c>
      <c r="U614">
        <v>2.2492819129304085</v>
      </c>
      <c r="V614">
        <v>3.1885511451084154</v>
      </c>
      <c r="W614">
        <v>1</v>
      </c>
      <c r="Y614" s="2">
        <v>365.80567268922192</v>
      </c>
      <c r="Z614" s="2">
        <v>1438.4228890175996</v>
      </c>
      <c r="AA614" s="2">
        <v>1941.966045640469</v>
      </c>
      <c r="AB614" s="2">
        <v>2143.4568606591911</v>
      </c>
      <c r="AC614" s="2">
        <v>282.14032243685216</v>
      </c>
      <c r="AD614" s="2">
        <v>116.88122586929673</v>
      </c>
      <c r="AE614" s="2">
        <v>553.60385647706062</v>
      </c>
      <c r="AF614" s="2">
        <v>1242.173586947916</v>
      </c>
      <c r="AG614" s="2">
        <v>122.92779303885412</v>
      </c>
      <c r="AH614" s="2">
        <v>153.64381500261385</v>
      </c>
      <c r="AI614" s="2">
        <v>610319.47063642042</v>
      </c>
      <c r="AJ614" s="2">
        <v>578307.93004355847</v>
      </c>
      <c r="AL614" s="27">
        <v>0.91959093633880895</v>
      </c>
      <c r="AM614" s="27">
        <v>0.91830209752096248</v>
      </c>
      <c r="AN614" s="27">
        <v>0.90136509079871296</v>
      </c>
      <c r="AO614" s="27">
        <v>0.89072055895373636</v>
      </c>
      <c r="AP614" s="27">
        <v>0.65571312698023121</v>
      </c>
      <c r="AQ614" s="27">
        <v>0.91959093633880895</v>
      </c>
      <c r="AR614" s="27">
        <v>0.91830209752096248</v>
      </c>
      <c r="AS614" s="27">
        <v>0.90136509079871296</v>
      </c>
      <c r="AT614" s="27">
        <v>0.89072055895373636</v>
      </c>
      <c r="AU614" s="27">
        <v>0.65571312698023121</v>
      </c>
      <c r="AW614" s="1">
        <v>13.192480826451787</v>
      </c>
      <c r="AX614" s="1">
        <v>15.265630407989399</v>
      </c>
      <c r="AY614" s="2">
        <v>2212928.2787899072</v>
      </c>
      <c r="AZ614" s="1">
        <v>15.186033966090038</v>
      </c>
      <c r="BA614" s="1">
        <v>17.188557905625395</v>
      </c>
      <c r="BB614" s="2">
        <v>1605148.9213328715</v>
      </c>
      <c r="BC614" s="2">
        <f t="shared" si="70"/>
        <v>-607779.35745703569</v>
      </c>
      <c r="BD614" s="292">
        <f t="shared" si="71"/>
        <v>1.9935531396382515</v>
      </c>
      <c r="BF614" s="170">
        <f t="shared" si="66"/>
        <v>-102131.34655762138</v>
      </c>
      <c r="BG614" s="2">
        <f t="shared" si="67"/>
        <v>824616.51324153459</v>
      </c>
      <c r="BI614">
        <f t="shared" si="68"/>
        <v>0</v>
      </c>
      <c r="BJ614" s="95">
        <f t="shared" si="69"/>
        <v>1</v>
      </c>
      <c r="BP614" s="217">
        <f t="shared" si="72"/>
        <v>824616.51324153459</v>
      </c>
    </row>
    <row r="615" spans="1:68">
      <c r="A615" s="11">
        <v>609</v>
      </c>
      <c r="C615" s="27">
        <v>0.92607859635440448</v>
      </c>
      <c r="D615" s="27">
        <v>7.3921403645595518E-2</v>
      </c>
      <c r="E615" s="27">
        <v>0</v>
      </c>
      <c r="F615" s="27">
        <v>0.86121827873461498</v>
      </c>
      <c r="G615" s="27">
        <v>0.13878172126538496</v>
      </c>
      <c r="H615" s="27">
        <v>0</v>
      </c>
      <c r="I615" s="27">
        <v>0.75312430881376646</v>
      </c>
      <c r="J615" s="27">
        <v>0.24687569118623359</v>
      </c>
      <c r="K615" s="27">
        <v>0</v>
      </c>
      <c r="L615" s="27">
        <v>0.17966234910626233</v>
      </c>
      <c r="M615" s="27">
        <v>0.41034706607658999</v>
      </c>
      <c r="N615" s="27">
        <v>0.40999058481714767</v>
      </c>
      <c r="O615" s="27">
        <v>-11.173188413537639</v>
      </c>
      <c r="P615" s="27">
        <v>3.5539332707657134E-2</v>
      </c>
      <c r="Q615" s="27">
        <v>6.2487973745062325E-5</v>
      </c>
      <c r="R615" s="27">
        <v>1.0667559275116574</v>
      </c>
      <c r="S615" s="154"/>
      <c r="T615">
        <v>1.0271840771905167</v>
      </c>
      <c r="U615">
        <v>2.1736157141820738</v>
      </c>
      <c r="V615">
        <v>2.9948766489955565</v>
      </c>
      <c r="W615">
        <v>1</v>
      </c>
      <c r="Y615" s="2">
        <v>257.28809402586074</v>
      </c>
      <c r="Z615" s="2">
        <v>931.48708003571664</v>
      </c>
      <c r="AA615" s="2">
        <v>412.02920214672963</v>
      </c>
      <c r="AB615" s="2">
        <v>97.503599440202976</v>
      </c>
      <c r="AC615" s="2">
        <v>164.73129709610214</v>
      </c>
      <c r="AD615" s="2">
        <v>283.75080672746282</v>
      </c>
      <c r="AE615" s="2">
        <v>544.22213496472989</v>
      </c>
      <c r="AF615" s="2">
        <v>1128.7071365478798</v>
      </c>
      <c r="AG615" s="2">
        <v>222.25951990716663</v>
      </c>
      <c r="AH615" s="2">
        <v>258.40879533554897</v>
      </c>
      <c r="AI615" s="2">
        <v>485101.03189088806</v>
      </c>
      <c r="AJ615" s="2">
        <v>452206.33468893933</v>
      </c>
      <c r="AL615" s="27">
        <v>0.9216480672087165</v>
      </c>
      <c r="AM615" s="27">
        <v>0.91520852876765668</v>
      </c>
      <c r="AN615" s="27">
        <v>0.90765632779516559</v>
      </c>
      <c r="AO615" s="27">
        <v>0.82794427478832799</v>
      </c>
      <c r="AP615" s="27">
        <v>0.69095354480506099</v>
      </c>
      <c r="AQ615" s="27">
        <v>0.9216480672087165</v>
      </c>
      <c r="AR615" s="27">
        <v>0.91520852876765668</v>
      </c>
      <c r="AS615" s="27">
        <v>0.90765632779516559</v>
      </c>
      <c r="AT615" s="27">
        <v>0.82794427478832799</v>
      </c>
      <c r="AU615" s="27">
        <v>0.69095354480506099</v>
      </c>
      <c r="AW615" s="1">
        <v>13.418442445258869</v>
      </c>
      <c r="AX615" s="1">
        <v>15.351085474271377</v>
      </c>
      <c r="AY615" s="2">
        <v>1576241.2360623884</v>
      </c>
      <c r="AZ615" s="1">
        <v>15.361530105219911</v>
      </c>
      <c r="BA615" s="1">
        <v>17.258221520814207</v>
      </c>
      <c r="BB615" s="2">
        <v>1103033.08514487</v>
      </c>
      <c r="BC615" s="2">
        <f t="shared" si="70"/>
        <v>-473208.15091751842</v>
      </c>
      <c r="BD615" s="292">
        <f t="shared" si="71"/>
        <v>1.9430876599610425</v>
      </c>
      <c r="BF615" s="170">
        <f t="shared" si="66"/>
        <v>570709.55517903063</v>
      </c>
      <c r="BG615" s="2">
        <f t="shared" si="67"/>
        <v>1354811.731690316</v>
      </c>
      <c r="BI615">
        <f t="shared" si="68"/>
        <v>0</v>
      </c>
      <c r="BJ615" s="95">
        <f t="shared" si="69"/>
        <v>1</v>
      </c>
      <c r="BP615" s="217">
        <f t="shared" si="72"/>
        <v>1354811.731690316</v>
      </c>
    </row>
    <row r="616" spans="1:68">
      <c r="A616" s="11">
        <v>610</v>
      </c>
      <c r="C616" s="27">
        <v>0.92222415612338371</v>
      </c>
      <c r="D616" s="27">
        <v>7.7775843876616291E-2</v>
      </c>
      <c r="E616" s="27">
        <v>0</v>
      </c>
      <c r="F616" s="27">
        <v>0.85567999035871534</v>
      </c>
      <c r="G616" s="27">
        <v>0.14432000964128466</v>
      </c>
      <c r="H616" s="27">
        <v>0</v>
      </c>
      <c r="I616" s="27">
        <v>0.7495782994847916</v>
      </c>
      <c r="J616" s="27">
        <v>0.2504217005152084</v>
      </c>
      <c r="K616" s="27">
        <v>0</v>
      </c>
      <c r="L616" s="27">
        <v>0.18753966130295141</v>
      </c>
      <c r="M616" s="27">
        <v>0.43788397939737744</v>
      </c>
      <c r="N616" s="27">
        <v>0.37457635929967115</v>
      </c>
      <c r="O616" s="27">
        <v>-11.549767111631827</v>
      </c>
      <c r="P616" s="27">
        <v>3.8307450410586932E-2</v>
      </c>
      <c r="Q616" s="27">
        <v>4.8166143805537369E-5</v>
      </c>
      <c r="R616" s="27">
        <v>1.1006544829886897</v>
      </c>
      <c r="S616" s="154"/>
      <c r="T616">
        <v>1.0173694863406952</v>
      </c>
      <c r="U616">
        <v>2.3182797932091157</v>
      </c>
      <c r="V616">
        <v>2.8035290631162026</v>
      </c>
      <c r="W616">
        <v>1</v>
      </c>
      <c r="Y616" s="2">
        <v>157.74317649319946</v>
      </c>
      <c r="Z616" s="2">
        <v>4539.8963133455973</v>
      </c>
      <c r="AA616" s="2">
        <v>1629.5164375905929</v>
      </c>
      <c r="AB616" s="2">
        <v>3978.0094770561273</v>
      </c>
      <c r="AC616" s="2">
        <v>834.3137870087071</v>
      </c>
      <c r="AD616" s="2">
        <v>882.62104086887962</v>
      </c>
      <c r="AE616" s="2">
        <v>560.8105270775327</v>
      </c>
      <c r="AF616" s="2">
        <v>944.76370319229113</v>
      </c>
      <c r="AG616" s="2">
        <v>63.054926815952733</v>
      </c>
      <c r="AH616" s="2">
        <v>279.49521099022655</v>
      </c>
      <c r="AI616" s="2">
        <v>521119.60242769046</v>
      </c>
      <c r="AJ616" s="2">
        <v>493918.91294754687</v>
      </c>
      <c r="AL616" s="27">
        <v>0.91257071035736415</v>
      </c>
      <c r="AM616" s="27">
        <v>0.91473506750393385</v>
      </c>
      <c r="AN616" s="27">
        <v>0.90285810484304896</v>
      </c>
      <c r="AO616" s="27">
        <v>0.87300016419413973</v>
      </c>
      <c r="AP616" s="27">
        <v>0.64646888613764342</v>
      </c>
      <c r="AQ616" s="27">
        <v>0.91257071035736415</v>
      </c>
      <c r="AR616" s="27">
        <v>0.91473506750393385</v>
      </c>
      <c r="AS616" s="27">
        <v>0.90285810484304896</v>
      </c>
      <c r="AT616" s="27">
        <v>0.87300016419413973</v>
      </c>
      <c r="AU616" s="27">
        <v>0.64646888613764342</v>
      </c>
      <c r="AW616" s="1">
        <v>13.12117901953798</v>
      </c>
      <c r="AX616" s="1">
        <v>15.295319254646035</v>
      </c>
      <c r="AY616" s="2">
        <v>1913049.3217797922</v>
      </c>
      <c r="AZ616" s="1">
        <v>15.087546527996757</v>
      </c>
      <c r="BA616" s="1">
        <v>17.187322451652541</v>
      </c>
      <c r="BB616" s="2">
        <v>1403100.355579186</v>
      </c>
      <c r="BC616" s="2">
        <f t="shared" si="70"/>
        <v>-509948.9662006062</v>
      </c>
      <c r="BD616" s="292">
        <f t="shared" si="71"/>
        <v>1.9663675084587773</v>
      </c>
      <c r="BF616" s="170">
        <f t="shared" si="66"/>
        <v>186339.32134628436</v>
      </c>
      <c r="BG616" s="2">
        <f t="shared" si="67"/>
        <v>1010907.0889002953</v>
      </c>
      <c r="BI616">
        <f t="shared" si="68"/>
        <v>0</v>
      </c>
      <c r="BJ616" s="95">
        <f t="shared" si="69"/>
        <v>1</v>
      </c>
      <c r="BP616" s="217">
        <f t="shared" si="72"/>
        <v>1010907.0889002953</v>
      </c>
    </row>
    <row r="617" spans="1:68">
      <c r="A617" s="11">
        <v>611</v>
      </c>
      <c r="C617" s="27">
        <v>0.92216762289816623</v>
      </c>
      <c r="D617" s="27">
        <v>7.7832377101833772E-2</v>
      </c>
      <c r="E617" s="27">
        <v>0</v>
      </c>
      <c r="F617" s="27">
        <v>0.85884752300923384</v>
      </c>
      <c r="G617" s="27">
        <v>0.14115247699076616</v>
      </c>
      <c r="H617" s="27">
        <v>0</v>
      </c>
      <c r="I617" s="27">
        <v>0.7482097685145277</v>
      </c>
      <c r="J617" s="27">
        <v>0.2517902314854723</v>
      </c>
      <c r="K617" s="27">
        <v>0</v>
      </c>
      <c r="L617" s="27">
        <v>7.1151509311510819E-2</v>
      </c>
      <c r="M617" s="27">
        <v>0.51737505864960065</v>
      </c>
      <c r="N617" s="27">
        <v>0.41147343203888853</v>
      </c>
      <c r="O617" s="27">
        <v>-11.199807796851466</v>
      </c>
      <c r="P617" s="27">
        <v>3.3862850692307031E-2</v>
      </c>
      <c r="Q617" s="27">
        <v>5.670954224801468E-5</v>
      </c>
      <c r="R617" s="27">
        <v>1.0849336918490373</v>
      </c>
      <c r="S617" s="154"/>
      <c r="T617">
        <v>0.99884643685851382</v>
      </c>
      <c r="U617">
        <v>2.2609180442689789</v>
      </c>
      <c r="V617">
        <v>3.024034226492371</v>
      </c>
      <c r="W617">
        <v>1</v>
      </c>
      <c r="Y617" s="2">
        <v>329.28924239588429</v>
      </c>
      <c r="Z617" s="2">
        <v>10253.400359787836</v>
      </c>
      <c r="AA617" s="2">
        <v>352.91068250964315</v>
      </c>
      <c r="AB617" s="2">
        <v>5170.4424174869318</v>
      </c>
      <c r="AC617" s="2">
        <v>742.49797540394911</v>
      </c>
      <c r="AD617" s="2">
        <v>3366.0597900609264</v>
      </c>
      <c r="AE617" s="2">
        <v>653.00269155874605</v>
      </c>
      <c r="AF617" s="2">
        <v>1047.8375175424342</v>
      </c>
      <c r="AG617" s="2">
        <v>90.921480115264984</v>
      </c>
      <c r="AH617" s="2">
        <v>447.98096980318218</v>
      </c>
      <c r="AI617" s="2">
        <v>423964.82841670222</v>
      </c>
      <c r="AJ617" s="2">
        <v>395156.68967018556</v>
      </c>
      <c r="AL617" s="27">
        <v>0.91585194994549912</v>
      </c>
      <c r="AM617" s="27">
        <v>0.91917198830983515</v>
      </c>
      <c r="AN617" s="27">
        <v>0.90907901865277729</v>
      </c>
      <c r="AO617" s="27">
        <v>0.85390068191487301</v>
      </c>
      <c r="AP617" s="27">
        <v>0.69559567685114532</v>
      </c>
      <c r="AQ617" s="27">
        <v>0.91585194994549912</v>
      </c>
      <c r="AR617" s="27">
        <v>0.91917198830983515</v>
      </c>
      <c r="AS617" s="27">
        <v>0.90907901865277729</v>
      </c>
      <c r="AT617" s="27">
        <v>0.85390068191487301</v>
      </c>
      <c r="AU617" s="27">
        <v>0.69559567685114532</v>
      </c>
      <c r="AW617" s="1">
        <v>13.370080810534091</v>
      </c>
      <c r="AX617" s="1">
        <v>15.386188273560863</v>
      </c>
      <c r="AY617" s="2">
        <v>1667946.5995270971</v>
      </c>
      <c r="AZ617" s="1">
        <v>15.271235924843344</v>
      </c>
      <c r="BA617" s="1">
        <v>17.234728355061907</v>
      </c>
      <c r="BB617" s="2">
        <v>1226980.4421529714</v>
      </c>
      <c r="BC617" s="2">
        <f t="shared" si="70"/>
        <v>-440966.15737412567</v>
      </c>
      <c r="BD617" s="292">
        <f t="shared" si="71"/>
        <v>1.9011551143092529</v>
      </c>
      <c r="BF617" s="170">
        <f t="shared" si="66"/>
        <v>471266.33015835774</v>
      </c>
      <c r="BG617" s="2">
        <f t="shared" si="67"/>
        <v>1216417.3058219636</v>
      </c>
      <c r="BI617">
        <f t="shared" si="68"/>
        <v>0</v>
      </c>
      <c r="BJ617" s="95">
        <f t="shared" si="69"/>
        <v>1</v>
      </c>
      <c r="BP617" s="217">
        <f t="shared" si="72"/>
        <v>1216417.3058219636</v>
      </c>
    </row>
    <row r="618" spans="1:68">
      <c r="A618" s="11">
        <v>612</v>
      </c>
      <c r="C618" s="27">
        <v>0.92357176912145078</v>
      </c>
      <c r="D618" s="27">
        <v>7.6428230878549233E-2</v>
      </c>
      <c r="E618" s="27">
        <v>0</v>
      </c>
      <c r="F618" s="27">
        <v>0.85028511413171626</v>
      </c>
      <c r="G618" s="27">
        <v>0.14971488586828374</v>
      </c>
      <c r="H618" s="27">
        <v>0</v>
      </c>
      <c r="I618" s="27">
        <v>0.75045592209381073</v>
      </c>
      <c r="J618" s="27">
        <v>0.24954407790618929</v>
      </c>
      <c r="K618" s="27">
        <v>0</v>
      </c>
      <c r="L618" s="27">
        <v>0.12192188239003471</v>
      </c>
      <c r="M618" s="27">
        <v>0.52358378654522097</v>
      </c>
      <c r="N618" s="27">
        <v>0.35449433106474432</v>
      </c>
      <c r="O618" s="27">
        <v>-10.931318744822374</v>
      </c>
      <c r="P618" s="27">
        <v>3.317963887308497E-2</v>
      </c>
      <c r="Q618" s="27">
        <v>7.2077119200990327E-5</v>
      </c>
      <c r="R618" s="27">
        <v>1.0628470274780992</v>
      </c>
      <c r="S618" s="154"/>
      <c r="T618">
        <v>0.99268859185100322</v>
      </c>
      <c r="U618">
        <v>2.2722850611163112</v>
      </c>
      <c r="V618">
        <v>2.9867271698112932</v>
      </c>
      <c r="W618">
        <v>1</v>
      </c>
      <c r="Y618" s="2">
        <v>576.90630456035387</v>
      </c>
      <c r="Z618" s="2">
        <v>419.55664785919993</v>
      </c>
      <c r="AA618" s="2">
        <v>13.264337840219547</v>
      </c>
      <c r="AB618" s="2">
        <v>5771.3958730712111</v>
      </c>
      <c r="AC618" s="2">
        <v>2179.7365467110312</v>
      </c>
      <c r="AD618" s="2">
        <v>401.55842820136149</v>
      </c>
      <c r="AE618" s="2">
        <v>549.61403928861989</v>
      </c>
      <c r="AF618" s="2">
        <v>1262.9276540077242</v>
      </c>
      <c r="AG618" s="2">
        <v>166.38576982117755</v>
      </c>
      <c r="AH618" s="2">
        <v>520.08284100557819</v>
      </c>
      <c r="AI618" s="2">
        <v>485647.11274540273</v>
      </c>
      <c r="AJ618" s="2">
        <v>435055.99396293674</v>
      </c>
      <c r="AL618" s="27">
        <v>0.91060968991647062</v>
      </c>
      <c r="AM618" s="27">
        <v>0.91394537980392287</v>
      </c>
      <c r="AN618" s="27">
        <v>0.91006589560224405</v>
      </c>
      <c r="AO618" s="27">
        <v>0.89495281989478837</v>
      </c>
      <c r="AP618" s="27">
        <v>0.78328770642902268</v>
      </c>
      <c r="AQ618" s="27">
        <v>0.91060968991647062</v>
      </c>
      <c r="AR618" s="27">
        <v>0.91394537980392287</v>
      </c>
      <c r="AS618" s="27">
        <v>0.91006589560224405</v>
      </c>
      <c r="AT618" s="27">
        <v>0.89495281989478837</v>
      </c>
      <c r="AU618" s="27">
        <v>0.78328770642902268</v>
      </c>
      <c r="AW618" s="1">
        <v>13.793651986448198</v>
      </c>
      <c r="AX618" s="1">
        <v>15.610371041973304</v>
      </c>
      <c r="AY618" s="2">
        <v>1797536.2531501879</v>
      </c>
      <c r="AZ618" s="1">
        <v>15.504394008626997</v>
      </c>
      <c r="BA618" s="1">
        <v>17.351153449643494</v>
      </c>
      <c r="BB618" s="2">
        <v>1372061.1836428803</v>
      </c>
      <c r="BC618" s="2">
        <f t="shared" si="70"/>
        <v>-425475.06950730761</v>
      </c>
      <c r="BD618" s="292">
        <f t="shared" si="71"/>
        <v>1.710742022178799</v>
      </c>
      <c r="BF618" s="170">
        <f t="shared" si="66"/>
        <v>409448.06468152395</v>
      </c>
      <c r="BG618" s="2">
        <f t="shared" si="67"/>
        <v>1108641.8577374395</v>
      </c>
      <c r="BI618">
        <f t="shared" si="68"/>
        <v>0</v>
      </c>
      <c r="BJ618" s="95">
        <f t="shared" si="69"/>
        <v>1</v>
      </c>
      <c r="BP618" s="217">
        <f t="shared" si="72"/>
        <v>1108641.8577374395</v>
      </c>
    </row>
    <row r="619" spans="1:68">
      <c r="A619" s="11">
        <v>613</v>
      </c>
      <c r="C619" s="27">
        <v>0.92367799561753883</v>
      </c>
      <c r="D619" s="27">
        <v>7.6322004382461159E-2</v>
      </c>
      <c r="E619" s="27">
        <v>0</v>
      </c>
      <c r="F619" s="27">
        <v>0.8565211548814563</v>
      </c>
      <c r="G619" s="27">
        <v>0.1434788451185437</v>
      </c>
      <c r="H619" s="27">
        <v>0</v>
      </c>
      <c r="I619" s="27">
        <v>0.75889247982279628</v>
      </c>
      <c r="J619" s="27">
        <v>0.24110752017720369</v>
      </c>
      <c r="K619" s="27">
        <v>0</v>
      </c>
      <c r="L619" s="27">
        <v>0.12885502142498928</v>
      </c>
      <c r="M619" s="27">
        <v>0.49458060197017739</v>
      </c>
      <c r="N619" s="27">
        <v>0.37656437660483333</v>
      </c>
      <c r="O619" s="27">
        <v>-11.537298162251098</v>
      </c>
      <c r="P619" s="27">
        <v>3.6740288987249389E-2</v>
      </c>
      <c r="Q619" s="27">
        <v>4.5663739345299535E-5</v>
      </c>
      <c r="R619" s="27">
        <v>1.1173824326869179</v>
      </c>
      <c r="S619" s="154"/>
      <c r="T619">
        <v>0.89501916996741548</v>
      </c>
      <c r="U619">
        <v>2.2610451770470972</v>
      </c>
      <c r="V619">
        <v>2.6771107242670555</v>
      </c>
      <c r="W619">
        <v>1</v>
      </c>
      <c r="Y619" s="2">
        <v>1503.367008445495</v>
      </c>
      <c r="Z619" s="2">
        <v>1763.3844206067349</v>
      </c>
      <c r="AA619" s="2">
        <v>1177.4441337819078</v>
      </c>
      <c r="AB619" s="2">
        <v>6565.174904897206</v>
      </c>
      <c r="AC619" s="2">
        <v>928.18773966943047</v>
      </c>
      <c r="AD619" s="2">
        <v>572.67522407593594</v>
      </c>
      <c r="AE619" s="2">
        <v>625.71543901359291</v>
      </c>
      <c r="AF619" s="2">
        <v>845.81761274300334</v>
      </c>
      <c r="AG619" s="2">
        <v>81.448381042687132</v>
      </c>
      <c r="AH619" s="2">
        <v>427.04198759878904</v>
      </c>
      <c r="AI619" s="2">
        <v>449962.68842022662</v>
      </c>
      <c r="AJ619" s="2">
        <v>410090.83990356553</v>
      </c>
      <c r="AL619" s="27">
        <v>0.9153358382995147</v>
      </c>
      <c r="AM619" s="27">
        <v>0.91310661610139932</v>
      </c>
      <c r="AN619" s="27">
        <v>0.91149908826230641</v>
      </c>
      <c r="AO619" s="27">
        <v>0.87581012007362213</v>
      </c>
      <c r="AP619" s="27">
        <v>0.83655661911639212</v>
      </c>
      <c r="AQ619" s="27">
        <v>0.9153358382995147</v>
      </c>
      <c r="AR619" s="27">
        <v>0.91310661610139932</v>
      </c>
      <c r="AS619" s="27">
        <v>0.91149908826230641</v>
      </c>
      <c r="AT619" s="27">
        <v>0.87581012007362213</v>
      </c>
      <c r="AU619" s="27">
        <v>0.83655661911639212</v>
      </c>
      <c r="AW619" s="1">
        <v>14.208463587551943</v>
      </c>
      <c r="AX619" s="1">
        <v>15.799955449541466</v>
      </c>
      <c r="AY619" s="2">
        <v>1481182.4022218117</v>
      </c>
      <c r="AZ619" s="1">
        <v>15.610856620081575</v>
      </c>
      <c r="BA619" s="1">
        <v>17.275651188917319</v>
      </c>
      <c r="BB619" s="2">
        <v>1212097.519636258</v>
      </c>
      <c r="BC619" s="2">
        <f t="shared" si="70"/>
        <v>-269084.88258555369</v>
      </c>
      <c r="BD619" s="292">
        <f t="shared" si="71"/>
        <v>1.4023930325296323</v>
      </c>
      <c r="BF619" s="170">
        <f t="shared" si="66"/>
        <v>792171.77178649907</v>
      </c>
      <c r="BG619" s="2">
        <f t="shared" si="67"/>
        <v>1285639.539576794</v>
      </c>
      <c r="BI619">
        <f t="shared" si="68"/>
        <v>0</v>
      </c>
      <c r="BJ619" s="95">
        <f t="shared" si="69"/>
        <v>1</v>
      </c>
      <c r="BP619" s="217">
        <f t="shared" si="72"/>
        <v>1285639.539576794</v>
      </c>
    </row>
    <row r="620" spans="1:68">
      <c r="A620" s="11">
        <v>614</v>
      </c>
      <c r="C620" s="27">
        <v>0.92128274376301811</v>
      </c>
      <c r="D620" s="27">
        <v>7.8717256236981892E-2</v>
      </c>
      <c r="E620" s="27">
        <v>0</v>
      </c>
      <c r="F620" s="27">
        <v>0.85282519777809196</v>
      </c>
      <c r="G620" s="27">
        <v>0.14717480222190804</v>
      </c>
      <c r="H620" s="27">
        <v>0</v>
      </c>
      <c r="I620" s="27">
        <v>0.74956532797831188</v>
      </c>
      <c r="J620" s="27">
        <v>0.25043467202168812</v>
      </c>
      <c r="K620" s="27">
        <v>0</v>
      </c>
      <c r="L620" s="27">
        <v>0.14177787615723808</v>
      </c>
      <c r="M620" s="27">
        <v>0.49819301467833782</v>
      </c>
      <c r="N620" s="27">
        <v>0.36002910916442415</v>
      </c>
      <c r="O620" s="27">
        <v>-10.980477900675982</v>
      </c>
      <c r="P620" s="27">
        <v>3.560179075306711E-2</v>
      </c>
      <c r="Q620" s="27">
        <v>7.5967671053947422E-5</v>
      </c>
      <c r="R620" s="27">
        <v>1.0393053595961748</v>
      </c>
      <c r="S620" s="154"/>
      <c r="T620">
        <v>0.9699004972204176</v>
      </c>
      <c r="U620">
        <v>2.202381901339507</v>
      </c>
      <c r="V620">
        <v>2.9737023252350219</v>
      </c>
      <c r="W620">
        <v>1</v>
      </c>
      <c r="Y620" s="2">
        <v>447.80467841564393</v>
      </c>
      <c r="Z620" s="2">
        <v>392.78608862463716</v>
      </c>
      <c r="AA620" s="2">
        <v>1749.0325484150121</v>
      </c>
      <c r="AB620" s="2">
        <v>3456.0131210743425</v>
      </c>
      <c r="AC620" s="2">
        <v>2063.6304663730034</v>
      </c>
      <c r="AD620" s="2">
        <v>975.4504350976332</v>
      </c>
      <c r="AE620" s="2">
        <v>655.23619438586127</v>
      </c>
      <c r="AF620" s="2">
        <v>1058.9043230522909</v>
      </c>
      <c r="AG620" s="2">
        <v>97.08939927232484</v>
      </c>
      <c r="AH620" s="2">
        <v>464.00294739381388</v>
      </c>
      <c r="AI620" s="2">
        <v>416639.4582486857</v>
      </c>
      <c r="AJ620" s="2">
        <v>388007.89673026593</v>
      </c>
      <c r="AL620" s="27">
        <v>0.90952373316958002</v>
      </c>
      <c r="AM620" s="27">
        <v>0.91606235115115742</v>
      </c>
      <c r="AN620" s="27">
        <v>0.91419738705195708</v>
      </c>
      <c r="AO620" s="27">
        <v>0.85929883769590854</v>
      </c>
      <c r="AP620" s="27">
        <v>0.74308448396521765</v>
      </c>
      <c r="AQ620" s="27">
        <v>0.90952373316958002</v>
      </c>
      <c r="AR620" s="27">
        <v>0.91606235115115742</v>
      </c>
      <c r="AS620" s="27">
        <v>0.91419738705195708</v>
      </c>
      <c r="AT620" s="27">
        <v>0.85929883769590854</v>
      </c>
      <c r="AU620" s="27">
        <v>0.74308448396521765</v>
      </c>
      <c r="AW620" s="1">
        <v>13.764240609399799</v>
      </c>
      <c r="AX620" s="1">
        <v>15.769175488338703</v>
      </c>
      <c r="AY620" s="2">
        <v>1661663.9934242042</v>
      </c>
      <c r="AZ620" s="1">
        <v>15.422878144119599</v>
      </c>
      <c r="BA620" s="1">
        <v>17.396844710453315</v>
      </c>
      <c r="BB620" s="2">
        <v>1285552.7663074189</v>
      </c>
      <c r="BC620" s="2">
        <f t="shared" si="70"/>
        <v>-376111.22711678525</v>
      </c>
      <c r="BD620" s="292">
        <f t="shared" si="71"/>
        <v>1.6586375347197997</v>
      </c>
      <c r="BF620" s="170">
        <f t="shared" si="66"/>
        <v>540614.50407976378</v>
      </c>
      <c r="BG620" s="2">
        <f t="shared" si="67"/>
        <v>1182107.7367517168</v>
      </c>
      <c r="BI620">
        <f t="shared" si="68"/>
        <v>0</v>
      </c>
      <c r="BJ620" s="95">
        <f t="shared" si="69"/>
        <v>1</v>
      </c>
      <c r="BP620" s="217">
        <f t="shared" si="72"/>
        <v>1182107.7367517168</v>
      </c>
    </row>
    <row r="621" spans="1:68">
      <c r="A621" s="11">
        <v>615</v>
      </c>
      <c r="C621" s="27">
        <v>0.92692378209717641</v>
      </c>
      <c r="D621" s="27">
        <v>7.3076217902823593E-2</v>
      </c>
      <c r="E621" s="27">
        <v>0</v>
      </c>
      <c r="F621" s="27">
        <v>0.85739439811201412</v>
      </c>
      <c r="G621" s="27">
        <v>0.14260560188798588</v>
      </c>
      <c r="H621" s="27">
        <v>0</v>
      </c>
      <c r="I621" s="27">
        <v>0.75924476295124133</v>
      </c>
      <c r="J621" s="27">
        <v>0.2407552370487587</v>
      </c>
      <c r="K621" s="27">
        <v>0</v>
      </c>
      <c r="L621" s="27">
        <v>0.15721884375967116</v>
      </c>
      <c r="M621" s="27">
        <v>0.47729707052833925</v>
      </c>
      <c r="N621" s="27">
        <v>0.36548408571198959</v>
      </c>
      <c r="O621" s="27">
        <v>-11.033324591661396</v>
      </c>
      <c r="P621" s="27">
        <v>3.2709977487776196E-2</v>
      </c>
      <c r="Q621" s="27">
        <v>6.3816068805213521E-5</v>
      </c>
      <c r="R621" s="27">
        <v>1.0720351841311564</v>
      </c>
      <c r="S621" s="154"/>
      <c r="T621">
        <v>1.1049961252182958</v>
      </c>
      <c r="U621">
        <v>2.2571640156678892</v>
      </c>
      <c r="V621">
        <v>3.1580374533467412</v>
      </c>
      <c r="W621">
        <v>1</v>
      </c>
      <c r="Y621" s="2">
        <v>1052.4564812635035</v>
      </c>
      <c r="Z621" s="2">
        <v>2012.3931268295094</v>
      </c>
      <c r="AA621" s="2">
        <v>552.24282942775721</v>
      </c>
      <c r="AB621" s="2">
        <v>11893.764673227666</v>
      </c>
      <c r="AC621" s="2">
        <v>4730.2734624428558</v>
      </c>
      <c r="AD621" s="2">
        <v>1894.5235417401886</v>
      </c>
      <c r="AE621" s="2">
        <v>577.01458854532166</v>
      </c>
      <c r="AF621" s="2">
        <v>1310.4294485880348</v>
      </c>
      <c r="AG621" s="2">
        <v>85.699258890286615</v>
      </c>
      <c r="AH621" s="2">
        <v>444.05909721717677</v>
      </c>
      <c r="AI621" s="2">
        <v>433582.50115629309</v>
      </c>
      <c r="AJ621" s="2">
        <v>397710.18727430713</v>
      </c>
      <c r="AL621" s="27">
        <v>0.91560668745215057</v>
      </c>
      <c r="AM621" s="27">
        <v>0.90732189527655449</v>
      </c>
      <c r="AN621" s="27">
        <v>0.91386623704244774</v>
      </c>
      <c r="AO621" s="27">
        <v>0.87578707005916889</v>
      </c>
      <c r="AP621" s="27">
        <v>0.80332788260779731</v>
      </c>
      <c r="AQ621" s="27">
        <v>0.91560668745215057</v>
      </c>
      <c r="AR621" s="27">
        <v>0.90732189527655449</v>
      </c>
      <c r="AS621" s="27">
        <v>0.91386623704244774</v>
      </c>
      <c r="AT621" s="27">
        <v>0.87578707005916889</v>
      </c>
      <c r="AU621" s="27">
        <v>0.80332788260779731</v>
      </c>
      <c r="AW621" s="1">
        <v>13.667323911546918</v>
      </c>
      <c r="AX621" s="1">
        <v>15.36954519836225</v>
      </c>
      <c r="AY621" s="2">
        <v>1678828.4496568143</v>
      </c>
      <c r="AZ621" s="1">
        <v>15.694440410608648</v>
      </c>
      <c r="BA621" s="1">
        <v>17.46211566314776</v>
      </c>
      <c r="BB621" s="2">
        <v>1305233.5363206973</v>
      </c>
      <c r="BC621" s="2">
        <f t="shared" si="70"/>
        <v>-373594.91333611705</v>
      </c>
      <c r="BD621" s="292">
        <f t="shared" si="71"/>
        <v>2.0271164990617301</v>
      </c>
      <c r="BF621" s="170">
        <f t="shared" si="66"/>
        <v>507943.37619069265</v>
      </c>
      <c r="BG621" s="2">
        <f t="shared" si="67"/>
        <v>1205876.9293766862</v>
      </c>
      <c r="BI621">
        <f t="shared" si="68"/>
        <v>0</v>
      </c>
      <c r="BJ621" s="95">
        <f t="shared" si="69"/>
        <v>1</v>
      </c>
      <c r="BP621" s="217">
        <f t="shared" si="72"/>
        <v>1205876.9293766862</v>
      </c>
    </row>
    <row r="622" spans="1:68">
      <c r="A622" s="11">
        <v>616</v>
      </c>
      <c r="C622" s="27">
        <v>0.9252459156804953</v>
      </c>
      <c r="D622" s="27">
        <v>7.4754084319504713E-2</v>
      </c>
      <c r="E622" s="27">
        <v>0</v>
      </c>
      <c r="F622" s="27">
        <v>0.8597320811359237</v>
      </c>
      <c r="G622" s="27">
        <v>0.14026791886407633</v>
      </c>
      <c r="H622" s="27">
        <v>0</v>
      </c>
      <c r="I622" s="27">
        <v>0.74100532973637301</v>
      </c>
      <c r="J622" s="27">
        <v>0.25899467026362699</v>
      </c>
      <c r="K622" s="27">
        <v>0</v>
      </c>
      <c r="L622" s="27">
        <v>0.21284660000789413</v>
      </c>
      <c r="M622" s="27">
        <v>0.45862102022772061</v>
      </c>
      <c r="N622" s="27">
        <v>0.32853237976438532</v>
      </c>
      <c r="O622" s="27">
        <v>-11.196732631047073</v>
      </c>
      <c r="P622" s="27">
        <v>3.5661961131113973E-2</v>
      </c>
      <c r="Q622" s="27">
        <v>6.1349087319223397E-5</v>
      </c>
      <c r="R622" s="27">
        <v>1.0737755029458111</v>
      </c>
      <c r="S622" s="154"/>
      <c r="T622">
        <v>1.058920225502465</v>
      </c>
      <c r="U622">
        <v>2.2778492249597471</v>
      </c>
      <c r="V622">
        <v>2.8701897885289314</v>
      </c>
      <c r="W622">
        <v>1</v>
      </c>
      <c r="Y622" s="2">
        <v>66.154288680544965</v>
      </c>
      <c r="Z622" s="2">
        <v>1429.0671102156953</v>
      </c>
      <c r="AA622" s="2">
        <v>9170.0376002815883</v>
      </c>
      <c r="AB622" s="2">
        <v>4492.6059042101497</v>
      </c>
      <c r="AC622" s="2">
        <v>1884.1542543841404</v>
      </c>
      <c r="AD622" s="2">
        <v>124.46460597538568</v>
      </c>
      <c r="AE622" s="2">
        <v>692.30761250139119</v>
      </c>
      <c r="AF622" s="2">
        <v>726.87990342865203</v>
      </c>
      <c r="AG622" s="2">
        <v>208.46988059335544</v>
      </c>
      <c r="AH622" s="2">
        <v>491.29905771231284</v>
      </c>
      <c r="AI622" s="2">
        <v>554235.86758424831</v>
      </c>
      <c r="AJ622" s="2">
        <v>526870.85042175418</v>
      </c>
      <c r="AL622" s="27">
        <v>0.91561014873358293</v>
      </c>
      <c r="AM622" s="27">
        <v>0.90597315530637756</v>
      </c>
      <c r="AN622" s="27">
        <v>0.896237358327582</v>
      </c>
      <c r="AO622" s="27">
        <v>0.85887341259781036</v>
      </c>
      <c r="AP622" s="27">
        <v>0.74233596940812507</v>
      </c>
      <c r="AQ622" s="27">
        <v>0.91561014873358293</v>
      </c>
      <c r="AR622" s="27">
        <v>0.90597315530637756</v>
      </c>
      <c r="AS622" s="27">
        <v>0.896237358327582</v>
      </c>
      <c r="AT622" s="27">
        <v>0.85887341259781036</v>
      </c>
      <c r="AU622" s="27">
        <v>0.74233596940812507</v>
      </c>
      <c r="AW622" s="1">
        <v>13.635060442369781</v>
      </c>
      <c r="AX622" s="1">
        <v>15.593607508057582</v>
      </c>
      <c r="AY622" s="2">
        <v>2172845.7324204948</v>
      </c>
      <c r="AZ622" s="1">
        <v>15.50797095044733</v>
      </c>
      <c r="BA622" s="1">
        <v>17.47463093486672</v>
      </c>
      <c r="BB622" s="2">
        <v>1696013.9862554108</v>
      </c>
      <c r="BC622" s="2">
        <f t="shared" si="70"/>
        <v>-476831.74616508395</v>
      </c>
      <c r="BD622" s="292">
        <f t="shared" si="71"/>
        <v>1.872910508077549</v>
      </c>
      <c r="BF622" s="170">
        <f t="shared" si="66"/>
        <v>8763.9383586701006</v>
      </c>
      <c r="BG622" s="2">
        <f t="shared" si="67"/>
        <v>785261.3658161622</v>
      </c>
      <c r="BI622">
        <f t="shared" si="68"/>
        <v>0</v>
      </c>
      <c r="BJ622" s="95">
        <f t="shared" si="69"/>
        <v>1</v>
      </c>
      <c r="BP622" s="217">
        <f t="shared" si="72"/>
        <v>785261.3658161622</v>
      </c>
    </row>
    <row r="623" spans="1:68">
      <c r="A623" s="11">
        <v>617</v>
      </c>
      <c r="C623" s="27">
        <v>0.92490441977371551</v>
      </c>
      <c r="D623" s="27">
        <v>7.5095580226284445E-2</v>
      </c>
      <c r="E623" s="27">
        <v>0</v>
      </c>
      <c r="F623" s="27">
        <v>0.8552813697175784</v>
      </c>
      <c r="G623" s="27">
        <v>0.1447186302824216</v>
      </c>
      <c r="H623" s="27">
        <v>0</v>
      </c>
      <c r="I623" s="27">
        <v>0.75847554667066808</v>
      </c>
      <c r="J623" s="27">
        <v>0.24152445332933192</v>
      </c>
      <c r="K623" s="27">
        <v>0</v>
      </c>
      <c r="L623" s="27">
        <v>7.3533559849587427E-2</v>
      </c>
      <c r="M623" s="27">
        <v>0.52347878570007134</v>
      </c>
      <c r="N623" s="27">
        <v>0.40298765445034124</v>
      </c>
      <c r="O623" s="27">
        <v>-11.351052964461251</v>
      </c>
      <c r="P623" s="27">
        <v>3.6309924571534771E-2</v>
      </c>
      <c r="Q623" s="27">
        <v>5.4026486956725432E-5</v>
      </c>
      <c r="R623" s="27">
        <v>1.0831769868096832</v>
      </c>
      <c r="S623" s="154"/>
      <c r="T623">
        <v>0.97947852024029358</v>
      </c>
      <c r="U623">
        <v>2.287283532796458</v>
      </c>
      <c r="V623">
        <v>3.0225647383729339</v>
      </c>
      <c r="W623">
        <v>1</v>
      </c>
      <c r="Y623" s="2">
        <v>3.7895359171365608</v>
      </c>
      <c r="Z623" s="2">
        <v>3387.8658360978839</v>
      </c>
      <c r="AA623" s="2">
        <v>1248.287784271562</v>
      </c>
      <c r="AB623" s="2">
        <v>4505.1067420319878</v>
      </c>
      <c r="AC623" s="2">
        <v>3058.4283129559049</v>
      </c>
      <c r="AD623" s="2">
        <v>645.93617872500067</v>
      </c>
      <c r="AE623" s="2">
        <v>589.38136992393652</v>
      </c>
      <c r="AF623" s="2">
        <v>955.38651203300458</v>
      </c>
      <c r="AG623" s="2">
        <v>76.101808954125005</v>
      </c>
      <c r="AH623" s="2">
        <v>460.22661208337462</v>
      </c>
      <c r="AI623" s="2">
        <v>1284512.7850377436</v>
      </c>
      <c r="AJ623" s="2">
        <v>1242741.3391653181</v>
      </c>
      <c r="AL623" s="27">
        <v>0.91779398937560108</v>
      </c>
      <c r="AM623" s="27">
        <v>0.91476303168515949</v>
      </c>
      <c r="AN623" s="27">
        <v>0.90876279005180094</v>
      </c>
      <c r="AO623" s="27">
        <v>0.90200361878349733</v>
      </c>
      <c r="AP623" s="27">
        <v>0.62358603537691004</v>
      </c>
      <c r="AQ623" s="27">
        <v>0.91779398937560108</v>
      </c>
      <c r="AR623" s="27">
        <v>0.91476303168515949</v>
      </c>
      <c r="AS623" s="27">
        <v>0.90876279005180094</v>
      </c>
      <c r="AT623" s="27">
        <v>0.90200361878349733</v>
      </c>
      <c r="AU623" s="27">
        <v>0.62358603537691004</v>
      </c>
      <c r="AW623" s="1">
        <v>13.412660261411759</v>
      </c>
      <c r="AX623" s="1">
        <v>15.648896687549113</v>
      </c>
      <c r="AY623" s="2">
        <v>4901066.5944108795</v>
      </c>
      <c r="AZ623" s="1">
        <v>15.269393060358235</v>
      </c>
      <c r="BA623" s="1">
        <v>17.392810211025118</v>
      </c>
      <c r="BB623" s="2">
        <v>3508881.5014423467</v>
      </c>
      <c r="BC623" s="2">
        <f t="shared" si="70"/>
        <v>-1392185.0929685328</v>
      </c>
      <c r="BD623" s="292">
        <f t="shared" si="71"/>
        <v>1.8567327989464761</v>
      </c>
      <c r="BF623" s="170">
        <f t="shared" si="66"/>
        <v>-2755040.9525849982</v>
      </c>
      <c r="BG623" s="2">
        <f t="shared" si="67"/>
        <v>-1065778.6117850291</v>
      </c>
      <c r="BI623">
        <f t="shared" si="68"/>
        <v>0</v>
      </c>
      <c r="BJ623" s="95">
        <f t="shared" si="69"/>
        <v>1</v>
      </c>
      <c r="BP623" s="217">
        <f t="shared" si="72"/>
        <v>-1065778.6117850291</v>
      </c>
    </row>
    <row r="624" spans="1:68">
      <c r="A624" s="11">
        <v>618</v>
      </c>
      <c r="C624" s="27">
        <v>0.92433269844351929</v>
      </c>
      <c r="D624" s="27">
        <v>7.5667301556480687E-2</v>
      </c>
      <c r="E624" s="27">
        <v>0</v>
      </c>
      <c r="F624" s="27">
        <v>0.86318006294534722</v>
      </c>
      <c r="G624" s="27">
        <v>0.13681993705465273</v>
      </c>
      <c r="H624" s="27">
        <v>0</v>
      </c>
      <c r="I624" s="27">
        <v>0.74897041706294254</v>
      </c>
      <c r="J624" s="27">
        <v>0.25102958293705746</v>
      </c>
      <c r="K624" s="27">
        <v>0</v>
      </c>
      <c r="L624" s="27">
        <v>0.11551892891619892</v>
      </c>
      <c r="M624" s="27">
        <v>0.51032845120802039</v>
      </c>
      <c r="N624" s="27">
        <v>0.37415261987578069</v>
      </c>
      <c r="O624" s="27">
        <v>-10.755927418151352</v>
      </c>
      <c r="P624" s="27">
        <v>3.3698881420216716E-2</v>
      </c>
      <c r="Q624" s="27">
        <v>8.7788995734137918E-5</v>
      </c>
      <c r="R624" s="27">
        <v>1.0269008335576535</v>
      </c>
      <c r="S624" s="154"/>
      <c r="T624">
        <v>1.0861459035798606</v>
      </c>
      <c r="U624">
        <v>2.2536071214062559</v>
      </c>
      <c r="V624">
        <v>3.0493137714107861</v>
      </c>
      <c r="W624">
        <v>1</v>
      </c>
      <c r="Y624" s="2">
        <v>118.52969960193455</v>
      </c>
      <c r="Z624" s="2">
        <v>1541.7156911827788</v>
      </c>
      <c r="AA624" s="2">
        <v>6.7229543621452326</v>
      </c>
      <c r="AB624" s="2">
        <v>4664.2720407574479</v>
      </c>
      <c r="AC624" s="2">
        <v>265.69174359221927</v>
      </c>
      <c r="AD624" s="2">
        <v>37.834278020120898</v>
      </c>
      <c r="AE624" s="2">
        <v>621.99543174164785</v>
      </c>
      <c r="AF624" s="2">
        <v>1065.2506773289665</v>
      </c>
      <c r="AG624" s="2">
        <v>118.08641794496596</v>
      </c>
      <c r="AH624" s="2">
        <v>629.76669046530662</v>
      </c>
      <c r="AI624" s="2">
        <v>414154.94289669103</v>
      </c>
      <c r="AJ624" s="2">
        <v>375534.63118446298</v>
      </c>
      <c r="AL624" s="27">
        <v>0.91797418196195579</v>
      </c>
      <c r="AM624" s="27">
        <v>0.91164909679749828</v>
      </c>
      <c r="AN624" s="27">
        <v>0.91240440622650187</v>
      </c>
      <c r="AO624" s="27">
        <v>0.85740554415132275</v>
      </c>
      <c r="AP624" s="27">
        <v>0.76367156794803415</v>
      </c>
      <c r="AQ624" s="27">
        <v>0.91797418196195579</v>
      </c>
      <c r="AR624" s="27">
        <v>0.91164909679749828</v>
      </c>
      <c r="AS624" s="27">
        <v>0.91240440622650187</v>
      </c>
      <c r="AT624" s="27">
        <v>0.85740554415132275</v>
      </c>
      <c r="AU624" s="27">
        <v>0.76367156794803415</v>
      </c>
      <c r="AW624" s="1">
        <v>13.683762818727438</v>
      </c>
      <c r="AX624" s="1">
        <v>15.544600027114059</v>
      </c>
      <c r="AY624" s="2">
        <v>1621994.5820696035</v>
      </c>
      <c r="AZ624" s="1">
        <v>15.672979734321375</v>
      </c>
      <c r="BA624" s="1">
        <v>17.531067248863732</v>
      </c>
      <c r="BB624" s="2">
        <v>1166567.3977321603</v>
      </c>
      <c r="BC624" s="2">
        <f t="shared" si="70"/>
        <v>-455427.18433744321</v>
      </c>
      <c r="BD624" s="292">
        <f t="shared" si="71"/>
        <v>1.9892169155939374</v>
      </c>
      <c r="BF624" s="170">
        <f t="shared" si="66"/>
        <v>567407.46892678668</v>
      </c>
      <c r="BG624" s="2">
        <f t="shared" si="67"/>
        <v>1341109.3597592597</v>
      </c>
      <c r="BI624">
        <f t="shared" si="68"/>
        <v>0</v>
      </c>
      <c r="BJ624" s="95">
        <f t="shared" si="69"/>
        <v>1</v>
      </c>
      <c r="BP624" s="217">
        <f t="shared" si="72"/>
        <v>1341109.3597592597</v>
      </c>
    </row>
    <row r="625" spans="1:68">
      <c r="A625" s="11">
        <v>619</v>
      </c>
      <c r="C625" s="27">
        <v>0.92567673993611777</v>
      </c>
      <c r="D625" s="27">
        <v>7.4323260063882249E-2</v>
      </c>
      <c r="E625" s="27">
        <v>0</v>
      </c>
      <c r="F625" s="27">
        <v>0.85756181962676314</v>
      </c>
      <c r="G625" s="27">
        <v>0.1424381803732368</v>
      </c>
      <c r="H625" s="27">
        <v>0</v>
      </c>
      <c r="I625" s="27">
        <v>0.75201366136253012</v>
      </c>
      <c r="J625" s="27">
        <v>0.24798633863746983</v>
      </c>
      <c r="K625" s="27">
        <v>0</v>
      </c>
      <c r="L625" s="27">
        <v>0.18006468088858207</v>
      </c>
      <c r="M625" s="27">
        <v>0.50045861568905292</v>
      </c>
      <c r="N625" s="27">
        <v>0.319476703422365</v>
      </c>
      <c r="O625" s="27">
        <v>-11.189589473439078</v>
      </c>
      <c r="P625" s="27">
        <v>3.0479055043640513E-2</v>
      </c>
      <c r="Q625" s="27">
        <v>4.970181225683924E-5</v>
      </c>
      <c r="R625" s="27">
        <v>1.112395421011211</v>
      </c>
      <c r="S625" s="154"/>
      <c r="T625">
        <v>0.96786014459737935</v>
      </c>
      <c r="U625">
        <v>2.2703636163115575</v>
      </c>
      <c r="V625">
        <v>3.1609273909476348</v>
      </c>
      <c r="W625">
        <v>1</v>
      </c>
      <c r="Y625" s="2">
        <v>33.456556101273407</v>
      </c>
      <c r="Z625" s="2">
        <v>6980.0787876224131</v>
      </c>
      <c r="AA625" s="2">
        <v>125.47923428377382</v>
      </c>
      <c r="AB625" s="2">
        <v>6015.0165696330141</v>
      </c>
      <c r="AC625" s="2">
        <v>704.03902116074141</v>
      </c>
      <c r="AD625" s="2">
        <v>383.95853425502889</v>
      </c>
      <c r="AE625" s="2">
        <v>546.05549411369554</v>
      </c>
      <c r="AF625" s="2">
        <v>1562.6278731278053</v>
      </c>
      <c r="AG625" s="2">
        <v>60.077384437501479</v>
      </c>
      <c r="AH625" s="2">
        <v>453.05064795564908</v>
      </c>
      <c r="AI625" s="2">
        <v>634335.02829464769</v>
      </c>
      <c r="AJ625" s="2">
        <v>606538.24367943802</v>
      </c>
      <c r="AL625" s="27">
        <v>0.92073730346936589</v>
      </c>
      <c r="AM625" s="27">
        <v>0.91343943991900356</v>
      </c>
      <c r="AN625" s="27">
        <v>0.90587894066722996</v>
      </c>
      <c r="AO625" s="27">
        <v>0.85348652947425907</v>
      </c>
      <c r="AP625" s="27">
        <v>0.68396571893661484</v>
      </c>
      <c r="AQ625" s="27">
        <v>0.92073730346936589</v>
      </c>
      <c r="AR625" s="27">
        <v>0.91343943991900356</v>
      </c>
      <c r="AS625" s="27">
        <v>0.90587894066722996</v>
      </c>
      <c r="AT625" s="27">
        <v>0.85348652947425907</v>
      </c>
      <c r="AU625" s="27">
        <v>0.68396571893661484</v>
      </c>
      <c r="AW625" s="1">
        <v>13.703879861868389</v>
      </c>
      <c r="AX625" s="1">
        <v>15.756899548704197</v>
      </c>
      <c r="AY625" s="2">
        <v>2404716.9385040873</v>
      </c>
      <c r="AZ625" s="1">
        <v>15.462080322113202</v>
      </c>
      <c r="BA625" s="1">
        <v>17.460178115892941</v>
      </c>
      <c r="BB625" s="2">
        <v>1765005.2992224994</v>
      </c>
      <c r="BC625" s="2">
        <f t="shared" si="70"/>
        <v>-639711.63928158791</v>
      </c>
      <c r="BD625" s="292">
        <f t="shared" si="71"/>
        <v>1.7582004602448134</v>
      </c>
      <c r="BF625" s="170">
        <f t="shared" si="66"/>
        <v>-212096.16060514515</v>
      </c>
      <c r="BG625" s="2">
        <f t="shared" si="67"/>
        <v>708927.55231561302</v>
      </c>
      <c r="BI625">
        <f t="shared" si="68"/>
        <v>0</v>
      </c>
      <c r="BJ625" s="95">
        <f t="shared" si="69"/>
        <v>1</v>
      </c>
      <c r="BP625" s="217">
        <f t="shared" si="72"/>
        <v>708927.55231561302</v>
      </c>
    </row>
    <row r="626" spans="1:68">
      <c r="A626" s="11">
        <v>620</v>
      </c>
      <c r="C626" s="27">
        <v>0.92306436731290731</v>
      </c>
      <c r="D626" s="27">
        <v>7.6935632687092692E-2</v>
      </c>
      <c r="E626" s="27">
        <v>0</v>
      </c>
      <c r="F626" s="27">
        <v>0.85614711058430149</v>
      </c>
      <c r="G626" s="27">
        <v>0.14385288941569851</v>
      </c>
      <c r="H626" s="27">
        <v>0</v>
      </c>
      <c r="I626" s="27">
        <v>0.75008795913918247</v>
      </c>
      <c r="J626" s="27">
        <v>0.24991204086081756</v>
      </c>
      <c r="K626" s="27">
        <v>0</v>
      </c>
      <c r="L626" s="27">
        <v>0.13939601268844792</v>
      </c>
      <c r="M626" s="27">
        <v>0.54624528594769095</v>
      </c>
      <c r="N626" s="27">
        <v>0.31435870136386113</v>
      </c>
      <c r="O626" s="27">
        <v>-10.921076349398714</v>
      </c>
      <c r="P626" s="27">
        <v>3.2750722791009594E-2</v>
      </c>
      <c r="Q626" s="27">
        <v>7.1519101351317588E-5</v>
      </c>
      <c r="R626" s="27">
        <v>1.0610638439354498</v>
      </c>
      <c r="S626" s="154"/>
      <c r="T626">
        <v>1.09374490374893</v>
      </c>
      <c r="U626">
        <v>2.2829250123787208</v>
      </c>
      <c r="V626">
        <v>2.8521000784843182</v>
      </c>
      <c r="W626">
        <v>1</v>
      </c>
      <c r="Y626" s="2">
        <v>637.36962167868705</v>
      </c>
      <c r="Z626" s="2">
        <v>2367.6459858634234</v>
      </c>
      <c r="AA626" s="2">
        <v>379.9870245981308</v>
      </c>
      <c r="AB626" s="2">
        <v>12115.194082583066</v>
      </c>
      <c r="AC626" s="2">
        <v>305.5651891848043</v>
      </c>
      <c r="AD626" s="2">
        <v>302.59378726385</v>
      </c>
      <c r="AE626" s="2">
        <v>561.61905814571469</v>
      </c>
      <c r="AF626" s="2">
        <v>1181.5215439531107</v>
      </c>
      <c r="AG626" s="2">
        <v>160.72430176630422</v>
      </c>
      <c r="AH626" s="2">
        <v>415.09596704016815</v>
      </c>
      <c r="AI626" s="2">
        <v>418140.961971201</v>
      </c>
      <c r="AJ626" s="2">
        <v>379634.47097643407</v>
      </c>
      <c r="AL626" s="27">
        <v>0.91752196057986213</v>
      </c>
      <c r="AM626" s="27">
        <v>0.91241077501013246</v>
      </c>
      <c r="AN626" s="27">
        <v>0.90954495337695507</v>
      </c>
      <c r="AO626" s="27">
        <v>0.8463666060373487</v>
      </c>
      <c r="AP626" s="27">
        <v>0.70051941763769721</v>
      </c>
      <c r="AQ626" s="27">
        <v>0.91752196057986213</v>
      </c>
      <c r="AR626" s="27">
        <v>0.91241077501013246</v>
      </c>
      <c r="AS626" s="27">
        <v>0.90954495337695507</v>
      </c>
      <c r="AT626" s="27">
        <v>0.8463666060373487</v>
      </c>
      <c r="AU626" s="27">
        <v>0.70051941763769721</v>
      </c>
      <c r="AW626" s="1">
        <v>13.490532433549356</v>
      </c>
      <c r="AX626" s="1">
        <v>15.638552268349502</v>
      </c>
      <c r="AY626" s="2">
        <v>1755260.8773123366</v>
      </c>
      <c r="AZ626" s="1">
        <v>15.509533992796715</v>
      </c>
      <c r="BA626" s="1">
        <v>17.569144050682588</v>
      </c>
      <c r="BB626" s="2">
        <v>1388636.4498235756</v>
      </c>
      <c r="BC626" s="2">
        <f t="shared" si="70"/>
        <v>-366624.42748876102</v>
      </c>
      <c r="BD626" s="292">
        <f t="shared" si="71"/>
        <v>2.0190015592473589</v>
      </c>
      <c r="BF626" s="170">
        <f t="shared" si="66"/>
        <v>403224.31205556029</v>
      </c>
      <c r="BG626" s="2">
        <f t="shared" si="67"/>
        <v>1092888.9890238987</v>
      </c>
      <c r="BI626">
        <f t="shared" si="68"/>
        <v>0</v>
      </c>
      <c r="BJ626" s="95">
        <f t="shared" si="69"/>
        <v>1</v>
      </c>
      <c r="BP626" s="217">
        <f t="shared" si="72"/>
        <v>1092888.9890238987</v>
      </c>
    </row>
    <row r="627" spans="1:68">
      <c r="A627" s="11">
        <v>621</v>
      </c>
      <c r="C627" s="27">
        <v>0.92359856153320663</v>
      </c>
      <c r="D627" s="27">
        <v>7.6401438466793356E-2</v>
      </c>
      <c r="E627" s="27">
        <v>0</v>
      </c>
      <c r="F627" s="27">
        <v>0.85964452722673068</v>
      </c>
      <c r="G627" s="27">
        <v>0.14035547277326935</v>
      </c>
      <c r="H627" s="27">
        <v>0</v>
      </c>
      <c r="I627" s="27">
        <v>0.74808996686777818</v>
      </c>
      <c r="J627" s="27">
        <v>0.25191003313222182</v>
      </c>
      <c r="K627" s="27">
        <v>0</v>
      </c>
      <c r="L627" s="27">
        <v>9.5824016880839635E-2</v>
      </c>
      <c r="M627" s="27">
        <v>0.51745074256941836</v>
      </c>
      <c r="N627" s="27">
        <v>0.386725240549742</v>
      </c>
      <c r="O627" s="27">
        <v>-10.885996298569378</v>
      </c>
      <c r="P627" s="27">
        <v>3.3296694821756213E-2</v>
      </c>
      <c r="Q627" s="27">
        <v>7.5790688485908073E-5</v>
      </c>
      <c r="R627" s="27">
        <v>1.0460784301786776</v>
      </c>
      <c r="S627" s="154"/>
      <c r="T627">
        <v>0.86451201533829769</v>
      </c>
      <c r="U627">
        <v>2.2177495771651681</v>
      </c>
      <c r="V627">
        <v>3.1059577658755044</v>
      </c>
      <c r="W627">
        <v>1</v>
      </c>
      <c r="Y627" s="2">
        <v>222.57179859608306</v>
      </c>
      <c r="Z627" s="2">
        <v>1286.4478729704906</v>
      </c>
      <c r="AA627" s="2">
        <v>4.2795889406644134</v>
      </c>
      <c r="AB627" s="2">
        <v>6050.3378868203818</v>
      </c>
      <c r="AC627" s="2">
        <v>2723.7488210838078</v>
      </c>
      <c r="AD627" s="2">
        <v>4526.3223094146933</v>
      </c>
      <c r="AE627" s="2">
        <v>521.46947372742181</v>
      </c>
      <c r="AF627" s="2">
        <v>1085.3964152803815</v>
      </c>
      <c r="AG627" s="2">
        <v>136.4274029534763</v>
      </c>
      <c r="AH627" s="2">
        <v>437.86195603793851</v>
      </c>
      <c r="AI627" s="2">
        <v>456439.68405260122</v>
      </c>
      <c r="AJ627" s="2">
        <v>423159.85786273668</v>
      </c>
      <c r="AL627" s="27">
        <v>0.91582547710856488</v>
      </c>
      <c r="AM627" s="27">
        <v>0.9217368709046847</v>
      </c>
      <c r="AN627" s="27">
        <v>0.91346727164304697</v>
      </c>
      <c r="AO627" s="27">
        <v>0.85713208013541786</v>
      </c>
      <c r="AP627" s="27">
        <v>0.72478260862422972</v>
      </c>
      <c r="AQ627" s="27">
        <v>0.91582547710856488</v>
      </c>
      <c r="AR627" s="27">
        <v>0.9217368709046847</v>
      </c>
      <c r="AS627" s="27">
        <v>0.91346727164304697</v>
      </c>
      <c r="AT627" s="27">
        <v>0.85713208013541786</v>
      </c>
      <c r="AU627" s="27">
        <v>0.72478260862422972</v>
      </c>
      <c r="AW627" s="1">
        <v>14.099306128766498</v>
      </c>
      <c r="AX627" s="1">
        <v>16.053443138814977</v>
      </c>
      <c r="AY627" s="2">
        <v>1641366.5996680683</v>
      </c>
      <c r="AZ627" s="1">
        <v>15.502378511407656</v>
      </c>
      <c r="BA627" s="1">
        <v>17.417677519503322</v>
      </c>
      <c r="BB627" s="2">
        <v>1386844.3524219464</v>
      </c>
      <c r="BC627" s="2">
        <f t="shared" si="70"/>
        <v>-254522.24724612199</v>
      </c>
      <c r="BD627" s="292">
        <f t="shared" si="71"/>
        <v>1.4030723826411577</v>
      </c>
      <c r="BF627" s="170">
        <f t="shared" si="66"/>
        <v>614522.38093457138</v>
      </c>
      <c r="BG627" s="2">
        <f t="shared" si="67"/>
        <v>1093536.2094032788</v>
      </c>
      <c r="BI627">
        <f t="shared" si="68"/>
        <v>0</v>
      </c>
      <c r="BJ627" s="95">
        <f t="shared" si="69"/>
        <v>1</v>
      </c>
      <c r="BP627" s="217">
        <f t="shared" si="72"/>
        <v>1093536.2094032788</v>
      </c>
    </row>
    <row r="628" spans="1:68">
      <c r="A628" s="11">
        <v>622</v>
      </c>
      <c r="C628" s="27">
        <v>0.92362370307937136</v>
      </c>
      <c r="D628" s="27">
        <v>7.6376296920628597E-2</v>
      </c>
      <c r="E628" s="27">
        <v>0</v>
      </c>
      <c r="F628" s="27">
        <v>0.85486161802900373</v>
      </c>
      <c r="G628" s="27">
        <v>0.14513838197099627</v>
      </c>
      <c r="H628" s="27">
        <v>0</v>
      </c>
      <c r="I628" s="27">
        <v>0.75054962636087308</v>
      </c>
      <c r="J628" s="27">
        <v>0.24945037363912687</v>
      </c>
      <c r="K628" s="27">
        <v>0</v>
      </c>
      <c r="L628" s="27">
        <v>0.15243575996782865</v>
      </c>
      <c r="M628" s="27">
        <v>0.51339059464649783</v>
      </c>
      <c r="N628" s="27">
        <v>0.33417364538567351</v>
      </c>
      <c r="O628" s="27">
        <v>-10.749348175595193</v>
      </c>
      <c r="P628" s="27">
        <v>3.3942636412504279E-2</v>
      </c>
      <c r="Q628" s="27">
        <v>8.9277822760657489E-5</v>
      </c>
      <c r="R628" s="27">
        <v>1.0228191577124559</v>
      </c>
      <c r="S628" s="154"/>
      <c r="T628">
        <v>0.97436061184302458</v>
      </c>
      <c r="U628">
        <v>2.2947030936257473</v>
      </c>
      <c r="V628">
        <v>3.3315184176491424</v>
      </c>
      <c r="W628">
        <v>1</v>
      </c>
      <c r="Y628" s="2">
        <v>270.8712727221619</v>
      </c>
      <c r="Z628" s="2">
        <v>279.96676528911871</v>
      </c>
      <c r="AA628" s="2">
        <v>6361.8097635641307</v>
      </c>
      <c r="AB628" s="2">
        <v>7348.3649718468478</v>
      </c>
      <c r="AC628" s="2">
        <v>132.42042514338615</v>
      </c>
      <c r="AD628" s="2">
        <v>1058.7980562140956</v>
      </c>
      <c r="AE628" s="2">
        <v>531.8261399020638</v>
      </c>
      <c r="AF628" s="2">
        <v>977.77867487624337</v>
      </c>
      <c r="AG628" s="2">
        <v>161.99445061904271</v>
      </c>
      <c r="AH628" s="2">
        <v>527.87917293576788</v>
      </c>
      <c r="AI628" s="2">
        <v>407990.46331477026</v>
      </c>
      <c r="AJ628" s="2">
        <v>378280.14470515412</v>
      </c>
      <c r="AL628" s="27">
        <v>0.91776154764571427</v>
      </c>
      <c r="AM628" s="27">
        <v>0.91108214694316192</v>
      </c>
      <c r="AN628" s="27">
        <v>0.91713435105504737</v>
      </c>
      <c r="AO628" s="27">
        <v>0.87938237928839158</v>
      </c>
      <c r="AP628" s="27">
        <v>0.66109896732030937</v>
      </c>
      <c r="AQ628" s="27">
        <v>0.91776154764571427</v>
      </c>
      <c r="AR628" s="27">
        <v>0.91108214694316192</v>
      </c>
      <c r="AS628" s="27">
        <v>0.91713435105504737</v>
      </c>
      <c r="AT628" s="27">
        <v>0.87938237928839158</v>
      </c>
      <c r="AU628" s="27">
        <v>0.66109896732030937</v>
      </c>
      <c r="AW628" s="1">
        <v>13.666467837903825</v>
      </c>
      <c r="AX628" s="1">
        <v>15.9153303433574</v>
      </c>
      <c r="AY628" s="2">
        <v>1655725.3928064702</v>
      </c>
      <c r="AZ628" s="1">
        <v>15.453951052530629</v>
      </c>
      <c r="BA628" s="1">
        <v>17.586667006949046</v>
      </c>
      <c r="BB628" s="2">
        <v>1423549.4789334601</v>
      </c>
      <c r="BC628" s="2">
        <f t="shared" si="70"/>
        <v>-232175.91387301008</v>
      </c>
      <c r="BD628" s="292">
        <f t="shared" si="71"/>
        <v>1.7874832146268034</v>
      </c>
      <c r="BF628" s="170">
        <f t="shared" si="66"/>
        <v>530909.46125814202</v>
      </c>
      <c r="BG628" s="2">
        <f t="shared" si="67"/>
        <v>1049082.6894714404</v>
      </c>
      <c r="BI628">
        <f t="shared" si="68"/>
        <v>0</v>
      </c>
      <c r="BJ628" s="95">
        <f t="shared" si="69"/>
        <v>1</v>
      </c>
      <c r="BP628" s="217">
        <f t="shared" si="72"/>
        <v>1049082.6894714404</v>
      </c>
    </row>
    <row r="629" spans="1:68">
      <c r="A629" s="11">
        <v>623</v>
      </c>
      <c r="C629" s="27">
        <v>0.92500373493750754</v>
      </c>
      <c r="D629" s="27">
        <v>7.499626506249249E-2</v>
      </c>
      <c r="E629" s="27">
        <v>0</v>
      </c>
      <c r="F629" s="27">
        <v>0.85436824486979446</v>
      </c>
      <c r="G629" s="27">
        <v>0.14563175513020554</v>
      </c>
      <c r="H629" s="27">
        <v>0</v>
      </c>
      <c r="I629" s="27">
        <v>0.75272612014252704</v>
      </c>
      <c r="J629" s="27">
        <v>0.2472738798574729</v>
      </c>
      <c r="K629" s="27">
        <v>0</v>
      </c>
      <c r="L629" s="27">
        <v>0.16744516977138113</v>
      </c>
      <c r="M629" s="27">
        <v>0.47558187098357924</v>
      </c>
      <c r="N629" s="27">
        <v>0.35697295924503958</v>
      </c>
      <c r="O629" s="27">
        <v>-11.086021803285005</v>
      </c>
      <c r="P629" s="27">
        <v>3.6313082745581177E-2</v>
      </c>
      <c r="Q629" s="27">
        <v>7.043133263528427E-5</v>
      </c>
      <c r="R629" s="27">
        <v>1.0514211614066062</v>
      </c>
      <c r="S629" s="154"/>
      <c r="T629">
        <v>0.95756734485598294</v>
      </c>
      <c r="U629">
        <v>2.1479870640671859</v>
      </c>
      <c r="V629">
        <v>2.930330031618817</v>
      </c>
      <c r="W629">
        <v>1</v>
      </c>
      <c r="Y629" s="2">
        <v>245.73046042641496</v>
      </c>
      <c r="Z629" s="2">
        <v>3825.1711902417028</v>
      </c>
      <c r="AA629" s="2">
        <v>6732.3797526455155</v>
      </c>
      <c r="AB629" s="2">
        <v>2774.2521600584014</v>
      </c>
      <c r="AC629" s="2">
        <v>478.54604494014467</v>
      </c>
      <c r="AD629" s="2">
        <v>1089.4299752321028</v>
      </c>
      <c r="AE629" s="2">
        <v>518.26700892583392</v>
      </c>
      <c r="AF629" s="2">
        <v>1400.1891720112953</v>
      </c>
      <c r="AG629" s="2">
        <v>164.53973404622838</v>
      </c>
      <c r="AH629" s="2">
        <v>372.78139987935327</v>
      </c>
      <c r="AI629" s="2">
        <v>463925.17512494302</v>
      </c>
      <c r="AJ629" s="2">
        <v>435497.18729985633</v>
      </c>
      <c r="AL629" s="27">
        <v>0.92178022681390637</v>
      </c>
      <c r="AM629" s="27">
        <v>0.91623169527488924</v>
      </c>
      <c r="AN629" s="27">
        <v>0.9099626935193843</v>
      </c>
      <c r="AO629" s="27">
        <v>0.87727933100901634</v>
      </c>
      <c r="AP629" s="27">
        <v>0.69164951567582333</v>
      </c>
      <c r="AQ629" s="27">
        <v>0.92178022681390637</v>
      </c>
      <c r="AR629" s="27">
        <v>0.91623169527488924</v>
      </c>
      <c r="AS629" s="27">
        <v>0.9099626935193843</v>
      </c>
      <c r="AT629" s="27">
        <v>0.87727933100901634</v>
      </c>
      <c r="AU629" s="27">
        <v>0.69164951567582333</v>
      </c>
      <c r="AW629" s="1">
        <v>13.882947870504747</v>
      </c>
      <c r="AX629" s="1">
        <v>15.8991299688245</v>
      </c>
      <c r="AY629" s="2">
        <v>1755471.7293507324</v>
      </c>
      <c r="AZ629" s="1">
        <v>15.498041285497468</v>
      </c>
      <c r="BA629" s="1">
        <v>17.456485054800346</v>
      </c>
      <c r="BB629" s="2">
        <v>1424039.2647443372</v>
      </c>
      <c r="BC629" s="2">
        <f t="shared" si="70"/>
        <v>-331432.46460639522</v>
      </c>
      <c r="BD629" s="292">
        <f t="shared" si="71"/>
        <v>1.615093414992721</v>
      </c>
      <c r="BF629" s="170">
        <f t="shared" si="66"/>
        <v>465799.92993002734</v>
      </c>
      <c r="BG629" s="2">
        <f t="shared" si="67"/>
        <v>1055647.3409352577</v>
      </c>
      <c r="BI629">
        <f t="shared" si="68"/>
        <v>0</v>
      </c>
      <c r="BJ629" s="95">
        <f t="shared" si="69"/>
        <v>1</v>
      </c>
      <c r="BP629" s="217">
        <f t="shared" si="72"/>
        <v>1055647.3409352577</v>
      </c>
    </row>
    <row r="630" spans="1:68">
      <c r="A630" s="11">
        <v>624</v>
      </c>
      <c r="C630" s="27">
        <v>0.92303677849874666</v>
      </c>
      <c r="D630" s="27">
        <v>7.6963221501253343E-2</v>
      </c>
      <c r="E630" s="27">
        <v>0</v>
      </c>
      <c r="F630" s="27">
        <v>0.85758864360916509</v>
      </c>
      <c r="G630" s="27">
        <v>0.14241135639083491</v>
      </c>
      <c r="H630" s="27">
        <v>0</v>
      </c>
      <c r="I630" s="27">
        <v>0.75469539236813188</v>
      </c>
      <c r="J630" s="27">
        <v>0.24530460763186815</v>
      </c>
      <c r="K630" s="27">
        <v>0</v>
      </c>
      <c r="L630" s="27">
        <v>0.12462036370039975</v>
      </c>
      <c r="M630" s="27">
        <v>0.50370967094565233</v>
      </c>
      <c r="N630" s="27">
        <v>0.37166996535394792</v>
      </c>
      <c r="O630" s="27">
        <v>-11.326571959324232</v>
      </c>
      <c r="P630" s="27">
        <v>3.5348454659060786E-2</v>
      </c>
      <c r="Q630" s="27">
        <v>5.3174220100452874E-5</v>
      </c>
      <c r="R630" s="27">
        <v>1.0885074965072299</v>
      </c>
      <c r="S630" s="154"/>
      <c r="T630">
        <v>1.0790396092146861</v>
      </c>
      <c r="U630">
        <v>2.2508061476174412</v>
      </c>
      <c r="V630">
        <v>3.3352204696955012</v>
      </c>
      <c r="W630">
        <v>1</v>
      </c>
      <c r="Y630" s="2">
        <v>284.68268677914307</v>
      </c>
      <c r="Z630" s="2">
        <v>9360.9807444361431</v>
      </c>
      <c r="AA630" s="2">
        <v>3657.5255415866764</v>
      </c>
      <c r="AB630" s="2">
        <v>5839.5873736795329</v>
      </c>
      <c r="AC630" s="2">
        <v>641.94674453382254</v>
      </c>
      <c r="AD630" s="2">
        <v>161.61433530269883</v>
      </c>
      <c r="AE630" s="2">
        <v>578.63933702650934</v>
      </c>
      <c r="AF630" s="2">
        <v>1300.9279792428399</v>
      </c>
      <c r="AG630" s="2">
        <v>70.263637198050461</v>
      </c>
      <c r="AH630" s="2">
        <v>549.46428830134255</v>
      </c>
      <c r="AI630" s="2">
        <v>527153.65101069666</v>
      </c>
      <c r="AJ630" s="2">
        <v>488514.0560970119</v>
      </c>
      <c r="AL630" s="27">
        <v>0.91396052926769633</v>
      </c>
      <c r="AM630" s="27">
        <v>0.91218604850639762</v>
      </c>
      <c r="AN630" s="27">
        <v>0.91245488381955275</v>
      </c>
      <c r="AO630" s="27">
        <v>0.84181114644771737</v>
      </c>
      <c r="AP630" s="27">
        <v>0.64396097887365089</v>
      </c>
      <c r="AQ630" s="27">
        <v>0.91396052926769633</v>
      </c>
      <c r="AR630" s="27">
        <v>0.91218604850639762</v>
      </c>
      <c r="AS630" s="27">
        <v>0.91245488381955275</v>
      </c>
      <c r="AT630" s="27">
        <v>0.84181114644771737</v>
      </c>
      <c r="AU630" s="27">
        <v>0.64396097887365089</v>
      </c>
      <c r="AW630" s="1">
        <v>13.046754955846223</v>
      </c>
      <c r="AX630" s="1">
        <v>15.32394906103522</v>
      </c>
      <c r="AY630" s="2">
        <v>2156012.7172655705</v>
      </c>
      <c r="AZ630" s="1">
        <v>15.229553438764185</v>
      </c>
      <c r="BA630" s="1">
        <v>17.382096976056722</v>
      </c>
      <c r="BB630" s="2">
        <v>1536792.9123227813</v>
      </c>
      <c r="BC630" s="2">
        <f t="shared" si="70"/>
        <v>-619219.80494278925</v>
      </c>
      <c r="BD630" s="292">
        <f t="shared" si="71"/>
        <v>2.1827984829179616</v>
      </c>
      <c r="BF630" s="170">
        <f t="shared" si="66"/>
        <v>-68531.92433017469</v>
      </c>
      <c r="BG630" s="2">
        <f t="shared" si="67"/>
        <v>899935.63787948829</v>
      </c>
      <c r="BI630">
        <f t="shared" si="68"/>
        <v>0</v>
      </c>
      <c r="BJ630" s="95">
        <f t="shared" si="69"/>
        <v>1</v>
      </c>
      <c r="BP630" s="217">
        <f t="shared" si="72"/>
        <v>899935.63787948829</v>
      </c>
    </row>
    <row r="631" spans="1:68">
      <c r="A631" s="11">
        <v>625</v>
      </c>
      <c r="C631" s="27">
        <v>0.9263175709310153</v>
      </c>
      <c r="D631" s="27">
        <v>7.3682429068984687E-2</v>
      </c>
      <c r="E631" s="27">
        <v>0</v>
      </c>
      <c r="F631" s="27">
        <v>0.86147385902823381</v>
      </c>
      <c r="G631" s="27">
        <v>0.13852614097176624</v>
      </c>
      <c r="H631" s="27">
        <v>0</v>
      </c>
      <c r="I631" s="27">
        <v>0.74334942675738169</v>
      </c>
      <c r="J631" s="27">
        <v>0.25665057324261831</v>
      </c>
      <c r="K631" s="27">
        <v>0</v>
      </c>
      <c r="L631" s="27">
        <v>6.6654033309170857E-2</v>
      </c>
      <c r="M631" s="27">
        <v>0.54326462105771856</v>
      </c>
      <c r="N631" s="27">
        <v>0.39008134563311059</v>
      </c>
      <c r="O631" s="27">
        <v>-11.13836731636912</v>
      </c>
      <c r="P631" s="27">
        <v>3.2641529306300862E-2</v>
      </c>
      <c r="Q631" s="27">
        <v>5.7287787734326345E-5</v>
      </c>
      <c r="R631" s="27">
        <v>1.085765099319268</v>
      </c>
      <c r="S631" s="154"/>
      <c r="T631">
        <v>1.1495739317590796</v>
      </c>
      <c r="U631">
        <v>2.1729959243446104</v>
      </c>
      <c r="V631">
        <v>2.9491462874800343</v>
      </c>
      <c r="W631">
        <v>1</v>
      </c>
      <c r="Y631" s="2">
        <v>1707.5395374247898</v>
      </c>
      <c r="Z631" s="2">
        <v>317.77717919452215</v>
      </c>
      <c r="AA631" s="2">
        <v>1179.2423587049411</v>
      </c>
      <c r="AB631" s="2">
        <v>21389.433760436361</v>
      </c>
      <c r="AC631" s="2">
        <v>942.929567860666</v>
      </c>
      <c r="AD631" s="2">
        <v>1643.38251579251</v>
      </c>
      <c r="AE631" s="2">
        <v>569.8461408144434</v>
      </c>
      <c r="AF631" s="2">
        <v>1107.8414856339407</v>
      </c>
      <c r="AG631" s="2">
        <v>108.582660648445</v>
      </c>
      <c r="AH631" s="2">
        <v>337.21548216512548</v>
      </c>
      <c r="AI631" s="2">
        <v>407585.97649692564</v>
      </c>
      <c r="AJ631" s="2">
        <v>382531.93159626424</v>
      </c>
      <c r="AL631" s="27">
        <v>0.91952576924381957</v>
      </c>
      <c r="AM631" s="27">
        <v>0.9141993656700943</v>
      </c>
      <c r="AN631" s="27">
        <v>0.90543571107358745</v>
      </c>
      <c r="AO631" s="27">
        <v>0.87472687011908823</v>
      </c>
      <c r="AP631" s="27">
        <v>0.7609155203709872</v>
      </c>
      <c r="AQ631" s="27">
        <v>0.91952576924381957</v>
      </c>
      <c r="AR631" s="27">
        <v>0.9141993656700943</v>
      </c>
      <c r="AS631" s="27">
        <v>0.90543571107358745</v>
      </c>
      <c r="AT631" s="27">
        <v>0.87472687011908823</v>
      </c>
      <c r="AU631" s="27">
        <v>0.7609155203709872</v>
      </c>
      <c r="AW631" s="1">
        <v>13.514565950539195</v>
      </c>
      <c r="AX631" s="1">
        <v>15.325696859454577</v>
      </c>
      <c r="AY631" s="2">
        <v>1605403.573815393</v>
      </c>
      <c r="AZ631" s="1">
        <v>15.617067233774577</v>
      </c>
      <c r="BA631" s="1">
        <v>17.436544162563571</v>
      </c>
      <c r="BB631" s="2">
        <v>1457057.1179408003</v>
      </c>
      <c r="BC631" s="2">
        <f t="shared" si="70"/>
        <v>-148346.45587459276</v>
      </c>
      <c r="BD631" s="292">
        <f t="shared" si="71"/>
        <v>2.102501283235382</v>
      </c>
      <c r="BF631" s="170">
        <f t="shared" si="66"/>
        <v>556926.97827087832</v>
      </c>
      <c r="BG631" s="2">
        <f t="shared" si="67"/>
        <v>1041673.6394631322</v>
      </c>
      <c r="BI631">
        <f t="shared" si="68"/>
        <v>0</v>
      </c>
      <c r="BJ631" s="95">
        <f t="shared" si="69"/>
        <v>1</v>
      </c>
      <c r="BP631" s="217">
        <f t="shared" si="72"/>
        <v>1041673.6394631322</v>
      </c>
    </row>
    <row r="632" spans="1:68">
      <c r="A632" s="11">
        <v>626</v>
      </c>
      <c r="C632" s="27">
        <v>0.92487774020666769</v>
      </c>
      <c r="D632" s="27">
        <v>7.5122259793332355E-2</v>
      </c>
      <c r="E632" s="27">
        <v>0</v>
      </c>
      <c r="F632" s="27">
        <v>0.85093654340948965</v>
      </c>
      <c r="G632" s="27">
        <v>0.14906345659051035</v>
      </c>
      <c r="H632" s="27">
        <v>0</v>
      </c>
      <c r="I632" s="27">
        <v>0.74603109133893086</v>
      </c>
      <c r="J632" s="27">
        <v>0.25396890866106914</v>
      </c>
      <c r="K632" s="27">
        <v>0</v>
      </c>
      <c r="L632" s="27">
        <v>5.001307537396471E-2</v>
      </c>
      <c r="M632" s="27">
        <v>0.53143244138764922</v>
      </c>
      <c r="N632" s="27">
        <v>0.41855448323838607</v>
      </c>
      <c r="O632" s="27">
        <v>-10.954435608379681</v>
      </c>
      <c r="P632" s="27">
        <v>3.5643238340468099E-2</v>
      </c>
      <c r="Q632" s="27">
        <v>7.8107880924913625E-5</v>
      </c>
      <c r="R632" s="27">
        <v>1.042971055412995</v>
      </c>
      <c r="S632" s="154"/>
      <c r="T632">
        <v>1.0082595320053969</v>
      </c>
      <c r="U632">
        <v>2.1541068653302178</v>
      </c>
      <c r="V632">
        <v>3.2147832453888632</v>
      </c>
      <c r="W632">
        <v>1</v>
      </c>
      <c r="Y632" s="2">
        <v>324.87126689379971</v>
      </c>
      <c r="Z632" s="2">
        <v>182.10712454543929</v>
      </c>
      <c r="AA632" s="2">
        <v>570.06721885672141</v>
      </c>
      <c r="AB632" s="2">
        <v>7771.0499293660559</v>
      </c>
      <c r="AC632" s="2">
        <v>168.06534383484788</v>
      </c>
      <c r="AD632" s="2">
        <v>1440.3582632811297</v>
      </c>
      <c r="AE632" s="2">
        <v>495.56148352089895</v>
      </c>
      <c r="AF632" s="2">
        <v>1145.7869161163924</v>
      </c>
      <c r="AG632" s="2">
        <v>72.7574881139968</v>
      </c>
      <c r="AH632" s="2">
        <v>307.77859557000875</v>
      </c>
      <c r="AI632" s="2">
        <v>465252.23388592672</v>
      </c>
      <c r="AJ632" s="2">
        <v>440737.81040159328</v>
      </c>
      <c r="AL632" s="27">
        <v>0.91485966814427044</v>
      </c>
      <c r="AM632" s="27">
        <v>0.91768131972338296</v>
      </c>
      <c r="AN632" s="27">
        <v>0.90450605943358886</v>
      </c>
      <c r="AO632" s="27">
        <v>0.82276271558569536</v>
      </c>
      <c r="AP632" s="27">
        <v>0.67197800286279119</v>
      </c>
      <c r="AQ632" s="27">
        <v>0.91485966814427044</v>
      </c>
      <c r="AR632" s="27">
        <v>0.91768131972338296</v>
      </c>
      <c r="AS632" s="27">
        <v>0.90450605943358886</v>
      </c>
      <c r="AT632" s="27">
        <v>0.82276271558569536</v>
      </c>
      <c r="AU632" s="27">
        <v>0.67197800286279119</v>
      </c>
      <c r="AW632" s="1">
        <v>13.369525311622692</v>
      </c>
      <c r="AX632" s="1">
        <v>15.526269249452978</v>
      </c>
      <c r="AY632" s="2">
        <v>1751360.907410128</v>
      </c>
      <c r="AZ632" s="1">
        <v>15.21567480469321</v>
      </c>
      <c r="BA632" s="1">
        <v>17.29444143720491</v>
      </c>
      <c r="BB632" s="2">
        <v>1413291.3791000892</v>
      </c>
      <c r="BC632" s="2">
        <f t="shared" si="70"/>
        <v>-338069.52831003885</v>
      </c>
      <c r="BD632" s="292">
        <f t="shared" si="71"/>
        <v>1.8461494930705182</v>
      </c>
      <c r="BF632" s="170">
        <f t="shared" si="66"/>
        <v>387763.14244950283</v>
      </c>
      <c r="BG632" s="2">
        <f t="shared" si="67"/>
        <v>1021216.5896508244</v>
      </c>
      <c r="BI632">
        <f t="shared" si="68"/>
        <v>0</v>
      </c>
      <c r="BJ632" s="95">
        <f t="shared" si="69"/>
        <v>1</v>
      </c>
      <c r="BP632" s="217">
        <f t="shared" si="72"/>
        <v>1021216.5896508244</v>
      </c>
    </row>
    <row r="633" spans="1:68">
      <c r="A633" s="11">
        <v>627</v>
      </c>
      <c r="C633" s="27">
        <v>0.92487302779158276</v>
      </c>
      <c r="D633" s="27">
        <v>7.512697220841727E-2</v>
      </c>
      <c r="E633" s="27">
        <v>0</v>
      </c>
      <c r="F633" s="27">
        <v>0.85960524981252096</v>
      </c>
      <c r="G633" s="27">
        <v>0.14039475018747907</v>
      </c>
      <c r="H633" s="27">
        <v>0</v>
      </c>
      <c r="I633" s="27">
        <v>0.74223941370249902</v>
      </c>
      <c r="J633" s="27">
        <v>0.25776058629750098</v>
      </c>
      <c r="K633" s="27">
        <v>0</v>
      </c>
      <c r="L633" s="27">
        <v>0.22093882165248052</v>
      </c>
      <c r="M633" s="27">
        <v>0.49996316560158094</v>
      </c>
      <c r="N633" s="27">
        <v>0.27909801274593854</v>
      </c>
      <c r="O633" s="27">
        <v>-11.343618250748456</v>
      </c>
      <c r="P633" s="27">
        <v>3.5737347538785248E-2</v>
      </c>
      <c r="Q633" s="27">
        <v>5.3136331527718507E-5</v>
      </c>
      <c r="R633" s="27">
        <v>1.0897062626375931</v>
      </c>
      <c r="S633" s="154"/>
      <c r="T633">
        <v>1.0404088031223353</v>
      </c>
      <c r="U633">
        <v>2.2525495499338208</v>
      </c>
      <c r="V633">
        <v>3.1550812738922702</v>
      </c>
      <c r="W633">
        <v>1</v>
      </c>
      <c r="Y633" s="2">
        <v>360.64268267554826</v>
      </c>
      <c r="Z633" s="2">
        <v>8557.0626140956392</v>
      </c>
      <c r="AA633" s="2">
        <v>2774.4222086144387</v>
      </c>
      <c r="AB633" s="2">
        <v>3817.0994489400036</v>
      </c>
      <c r="AC633" s="2">
        <v>981.08314051166576</v>
      </c>
      <c r="AD633" s="2">
        <v>1794.2371460490401</v>
      </c>
      <c r="AE633" s="2">
        <v>516.74263549763066</v>
      </c>
      <c r="AF633" s="2">
        <v>1244.6333183995539</v>
      </c>
      <c r="AG633" s="2">
        <v>144.50974652628824</v>
      </c>
      <c r="AH633" s="2">
        <v>406.61703937039948</v>
      </c>
      <c r="AI633" s="2">
        <v>401822.38551257929</v>
      </c>
      <c r="AJ633" s="2">
        <v>368603.86812020506</v>
      </c>
      <c r="AL633" s="27">
        <v>0.92237601783361312</v>
      </c>
      <c r="AM633" s="27">
        <v>0.91003084619221486</v>
      </c>
      <c r="AN633" s="27">
        <v>0.903577054342938</v>
      </c>
      <c r="AO633" s="27">
        <v>0.85760130261228673</v>
      </c>
      <c r="AP633" s="27">
        <v>0.4976855977347826</v>
      </c>
      <c r="AQ633" s="27">
        <v>0.92237601783361312</v>
      </c>
      <c r="AR633" s="27">
        <v>0.91003084619221486</v>
      </c>
      <c r="AS633" s="27">
        <v>0.903577054342938</v>
      </c>
      <c r="AT633" s="27">
        <v>0.85760130261228673</v>
      </c>
      <c r="AU633" s="27">
        <v>0.4976855977347826</v>
      </c>
      <c r="AW633" s="1">
        <v>13.076903694988411</v>
      </c>
      <c r="AX633" s="1">
        <v>15.92114341003793</v>
      </c>
      <c r="AY633" s="2">
        <v>1764563.4656362222</v>
      </c>
      <c r="AZ633" s="1">
        <v>15.14863495817702</v>
      </c>
      <c r="BA633" s="1">
        <v>17.689927883302424</v>
      </c>
      <c r="BB633" s="2">
        <v>1278292.4370362039</v>
      </c>
      <c r="BC633" s="2">
        <f t="shared" si="70"/>
        <v>-486271.02860001824</v>
      </c>
      <c r="BD633" s="292">
        <f t="shared" si="71"/>
        <v>2.0717312631886085</v>
      </c>
      <c r="BF633" s="170">
        <f t="shared" si="66"/>
        <v>327741.12556192372</v>
      </c>
      <c r="BG633" s="2">
        <f t="shared" si="67"/>
        <v>1145489.1562721191</v>
      </c>
      <c r="BI633">
        <f t="shared" si="68"/>
        <v>0</v>
      </c>
      <c r="BJ633" s="95">
        <f t="shared" si="69"/>
        <v>1</v>
      </c>
      <c r="BP633" s="217">
        <f t="shared" si="72"/>
        <v>1145489.1562721191</v>
      </c>
    </row>
    <row r="634" spans="1:68">
      <c r="A634" s="11">
        <v>628</v>
      </c>
      <c r="C634" s="27">
        <v>0.92128176525675431</v>
      </c>
      <c r="D634" s="27">
        <v>7.8718234743245685E-2</v>
      </c>
      <c r="E634" s="27">
        <v>0</v>
      </c>
      <c r="F634" s="27">
        <v>0.85514357825954435</v>
      </c>
      <c r="G634" s="27">
        <v>0.14485642174045565</v>
      </c>
      <c r="H634" s="27">
        <v>0</v>
      </c>
      <c r="I634" s="27">
        <v>0.74649976026206655</v>
      </c>
      <c r="J634" s="27">
        <v>0.25350023973793345</v>
      </c>
      <c r="K634" s="27">
        <v>0</v>
      </c>
      <c r="L634" s="27">
        <v>0.13514876302993878</v>
      </c>
      <c r="M634" s="27">
        <v>0.50426685647753322</v>
      </c>
      <c r="N634" s="27">
        <v>0.360584380492528</v>
      </c>
      <c r="O634" s="27">
        <v>-11.468827022912174</v>
      </c>
      <c r="P634" s="27">
        <v>3.9316555001126602E-2</v>
      </c>
      <c r="Q634" s="27">
        <v>5.4487910158101903E-5</v>
      </c>
      <c r="R634" s="27">
        <v>1.0772274682073959</v>
      </c>
      <c r="S634" s="154"/>
      <c r="T634">
        <v>1.0130812490043641</v>
      </c>
      <c r="U634">
        <v>2.2541068092202567</v>
      </c>
      <c r="V634">
        <v>2.8415703991386652</v>
      </c>
      <c r="W634">
        <v>1</v>
      </c>
      <c r="Y634" s="2">
        <v>358.18546854063675</v>
      </c>
      <c r="Z634" s="2">
        <v>1033.3750271258193</v>
      </c>
      <c r="AA634" s="2">
        <v>2383.492752608171</v>
      </c>
      <c r="AB634" s="2">
        <v>2096.9126908313328</v>
      </c>
      <c r="AC634" s="2">
        <v>458.22305511418062</v>
      </c>
      <c r="AD634" s="2">
        <v>929.50079166631963</v>
      </c>
      <c r="AE634" s="2">
        <v>557.55824743762071</v>
      </c>
      <c r="AF634" s="2">
        <v>889.17802095619504</v>
      </c>
      <c r="AG634" s="2">
        <v>153.90724678313362</v>
      </c>
      <c r="AH634" s="2">
        <v>458.95472013849269</v>
      </c>
      <c r="AI634" s="2">
        <v>529907.91777966334</v>
      </c>
      <c r="AJ634" s="2">
        <v>499136.88266979682</v>
      </c>
      <c r="AL634" s="27">
        <v>0.91321860912835784</v>
      </c>
      <c r="AM634" s="27">
        <v>0.91500387996334354</v>
      </c>
      <c r="AN634" s="27">
        <v>0.91092978421875404</v>
      </c>
      <c r="AO634" s="27">
        <v>0.828577791506385</v>
      </c>
      <c r="AP634" s="27">
        <v>0.64601811796075959</v>
      </c>
      <c r="AQ634" s="27">
        <v>0.91321860912835784</v>
      </c>
      <c r="AR634" s="27">
        <v>0.91500387996334354</v>
      </c>
      <c r="AS634" s="27">
        <v>0.91092978421875404</v>
      </c>
      <c r="AT634" s="27">
        <v>0.828577791506385</v>
      </c>
      <c r="AU634" s="27">
        <v>0.64601811796075959</v>
      </c>
      <c r="AW634" s="1">
        <v>13.3060257553827</v>
      </c>
      <c r="AX634" s="1">
        <v>15.629271313556071</v>
      </c>
      <c r="AY634" s="2">
        <v>2131103.9132760982</v>
      </c>
      <c r="AZ634" s="1">
        <v>15.188828542545922</v>
      </c>
      <c r="BA634" s="1">
        <v>17.384604012083422</v>
      </c>
      <c r="BB634" s="2">
        <v>1583617.2483650823</v>
      </c>
      <c r="BC634" s="2">
        <f t="shared" si="70"/>
        <v>-547486.66491101589</v>
      </c>
      <c r="BD634" s="292">
        <f t="shared" si="71"/>
        <v>1.8828027871632216</v>
      </c>
      <c r="BF634" s="170">
        <f t="shared" si="66"/>
        <v>-2139.7924148659222</v>
      </c>
      <c r="BG634" s="2">
        <f t="shared" si="67"/>
        <v>846595.31844226504</v>
      </c>
      <c r="BI634">
        <f t="shared" si="68"/>
        <v>0</v>
      </c>
      <c r="BJ634" s="95">
        <f t="shared" si="69"/>
        <v>1</v>
      </c>
      <c r="BP634" s="217">
        <f t="shared" si="72"/>
        <v>846595.31844226504</v>
      </c>
    </row>
    <row r="635" spans="1:68">
      <c r="A635" s="11">
        <v>629</v>
      </c>
      <c r="C635" s="27">
        <v>0.92566350752893367</v>
      </c>
      <c r="D635" s="27">
        <v>7.4336492471066301E-2</v>
      </c>
      <c r="E635" s="27">
        <v>0</v>
      </c>
      <c r="F635" s="27">
        <v>0.85686580337052642</v>
      </c>
      <c r="G635" s="27">
        <v>0.14313419662947358</v>
      </c>
      <c r="H635" s="27">
        <v>0</v>
      </c>
      <c r="I635" s="27">
        <v>0.7486059912864913</v>
      </c>
      <c r="J635" s="27">
        <v>0.2513940087135087</v>
      </c>
      <c r="K635" s="27">
        <v>0</v>
      </c>
      <c r="L635" s="27">
        <v>0.15603495805105572</v>
      </c>
      <c r="M635" s="27">
        <v>0.42857750983591503</v>
      </c>
      <c r="N635" s="27">
        <v>0.41538753211302926</v>
      </c>
      <c r="O635" s="27">
        <v>-10.978773247572677</v>
      </c>
      <c r="P635" s="27">
        <v>3.2907515094672227E-2</v>
      </c>
      <c r="Q635" s="27">
        <v>6.7955490838054794E-5</v>
      </c>
      <c r="R635" s="27">
        <v>1.0638131399978876</v>
      </c>
      <c r="S635" s="154"/>
      <c r="T635">
        <v>0.9665998640028749</v>
      </c>
      <c r="U635">
        <v>2.2097144610811581</v>
      </c>
      <c r="V635">
        <v>3.1234085886416638</v>
      </c>
      <c r="W635">
        <v>1</v>
      </c>
      <c r="Y635" s="2">
        <v>55.178976574730122</v>
      </c>
      <c r="Z635" s="2">
        <v>4814.6471162051248</v>
      </c>
      <c r="AA635" s="2">
        <v>8.9073387458067668</v>
      </c>
      <c r="AB635" s="2">
        <v>1313.6702154482709</v>
      </c>
      <c r="AC635" s="2">
        <v>1253.0301480393825</v>
      </c>
      <c r="AD635" s="2">
        <v>693.82843825098882</v>
      </c>
      <c r="AE635" s="2">
        <v>567.1823975531197</v>
      </c>
      <c r="AF635" s="2">
        <v>964.63437190715115</v>
      </c>
      <c r="AG635" s="2">
        <v>98.052715073167548</v>
      </c>
      <c r="AH635" s="2">
        <v>580.15032334439468</v>
      </c>
      <c r="AI635" s="2">
        <v>624825.31567223708</v>
      </c>
      <c r="AJ635" s="2">
        <v>596997.25987713109</v>
      </c>
      <c r="AL635" s="27">
        <v>0.91827317448124168</v>
      </c>
      <c r="AM635" s="27">
        <v>0.91135206149420156</v>
      </c>
      <c r="AN635" s="27">
        <v>0.91761786777386556</v>
      </c>
      <c r="AO635" s="27">
        <v>0.80982412794024894</v>
      </c>
      <c r="AP635" s="27">
        <v>0.55971536609462769</v>
      </c>
      <c r="AQ635" s="27">
        <v>0.91827317448124168</v>
      </c>
      <c r="AR635" s="27">
        <v>0.91135206149420156</v>
      </c>
      <c r="AS635" s="27">
        <v>0.91761786777386556</v>
      </c>
      <c r="AT635" s="27">
        <v>0.80982412794024894</v>
      </c>
      <c r="AU635" s="27">
        <v>0.55971536609462769</v>
      </c>
      <c r="AW635" s="1">
        <v>13.085057526222522</v>
      </c>
      <c r="AX635" s="1">
        <v>15.409564855072365</v>
      </c>
      <c r="AY635" s="2">
        <v>2094867.0639646975</v>
      </c>
      <c r="AZ635" s="1">
        <v>14.976676067875113</v>
      </c>
      <c r="BA635" s="1">
        <v>17.168361520556775</v>
      </c>
      <c r="BB635" s="2">
        <v>1488131.3239893867</v>
      </c>
      <c r="BC635" s="2">
        <f t="shared" si="70"/>
        <v>-606735.73997531086</v>
      </c>
      <c r="BD635" s="292">
        <f t="shared" si="71"/>
        <v>1.8916185416525906</v>
      </c>
      <c r="BF635" s="170">
        <f t="shared" si="66"/>
        <v>-1257.8597690940369</v>
      </c>
      <c r="BG635" s="2">
        <f t="shared" si="67"/>
        <v>908136.84687063145</v>
      </c>
      <c r="BI635">
        <f t="shared" si="68"/>
        <v>0</v>
      </c>
      <c r="BJ635" s="95">
        <f t="shared" si="69"/>
        <v>1</v>
      </c>
      <c r="BP635" s="217">
        <f t="shared" si="72"/>
        <v>908136.84687063145</v>
      </c>
    </row>
    <row r="636" spans="1:68">
      <c r="A636" s="11">
        <v>630</v>
      </c>
      <c r="C636" s="27">
        <v>0.92445331830850441</v>
      </c>
      <c r="D636" s="27">
        <v>7.5546681691495574E-2</v>
      </c>
      <c r="E636" s="27">
        <v>0</v>
      </c>
      <c r="F636" s="27">
        <v>0.85988286173593165</v>
      </c>
      <c r="G636" s="27">
        <v>0.14011713826406838</v>
      </c>
      <c r="H636" s="27">
        <v>0</v>
      </c>
      <c r="I636" s="27">
        <v>0.75311793369647895</v>
      </c>
      <c r="J636" s="27">
        <v>0.24688206630352108</v>
      </c>
      <c r="K636" s="27">
        <v>0</v>
      </c>
      <c r="L636" s="27">
        <v>0.18975817198072925</v>
      </c>
      <c r="M636" s="27">
        <v>0.46777084112192624</v>
      </c>
      <c r="N636" s="27">
        <v>0.34247098689734451</v>
      </c>
      <c r="O636" s="27">
        <v>-10.846437333299422</v>
      </c>
      <c r="P636" s="27">
        <v>3.5682537124414222E-2</v>
      </c>
      <c r="Q636" s="27">
        <v>8.7159500907042377E-5</v>
      </c>
      <c r="R636" s="27">
        <v>1.0248195645687002</v>
      </c>
      <c r="S636" s="154"/>
      <c r="T636">
        <v>1.0130420629251513</v>
      </c>
      <c r="U636">
        <v>2.2705167954890757</v>
      </c>
      <c r="V636">
        <v>2.6365501792705226</v>
      </c>
      <c r="W636">
        <v>1</v>
      </c>
      <c r="Y636" s="2">
        <v>98.416182851674563</v>
      </c>
      <c r="Z636" s="2">
        <v>268.21929182777313</v>
      </c>
      <c r="AA636" s="2">
        <v>988.15912944149511</v>
      </c>
      <c r="AB636" s="2">
        <v>115.05273776501096</v>
      </c>
      <c r="AC636" s="2">
        <v>655.35172706991716</v>
      </c>
      <c r="AD636" s="2">
        <v>831.20910735501241</v>
      </c>
      <c r="AE636" s="2">
        <v>564.99031625489999</v>
      </c>
      <c r="AF636" s="2">
        <v>887.23869647791992</v>
      </c>
      <c r="AG636" s="2">
        <v>49.920577159667353</v>
      </c>
      <c r="AH636" s="2">
        <v>417.0833288421523</v>
      </c>
      <c r="AI636" s="2">
        <v>369379.2623108509</v>
      </c>
      <c r="AJ636" s="2">
        <v>332857.9527638263</v>
      </c>
      <c r="AL636" s="27">
        <v>0.92222680270467561</v>
      </c>
      <c r="AM636" s="27">
        <v>0.91633008492840218</v>
      </c>
      <c r="AN636" s="27">
        <v>0.91228733231770209</v>
      </c>
      <c r="AO636" s="27">
        <v>0.81678443310457627</v>
      </c>
      <c r="AP636" s="27">
        <v>0.8171494988964314</v>
      </c>
      <c r="AQ636" s="27">
        <v>0.92222680270467561</v>
      </c>
      <c r="AR636" s="27">
        <v>0.91633008492840218</v>
      </c>
      <c r="AS636" s="27">
        <v>0.91228733231770209</v>
      </c>
      <c r="AT636" s="27">
        <v>0.81678443310457627</v>
      </c>
      <c r="AU636" s="27">
        <v>0.8171494988964314</v>
      </c>
      <c r="AW636" s="1">
        <v>14.183780046640384</v>
      </c>
      <c r="AX636" s="1">
        <v>15.856437774614948</v>
      </c>
      <c r="AY636" s="2">
        <v>1378215.426120729</v>
      </c>
      <c r="AZ636" s="1">
        <v>15.858160868955645</v>
      </c>
      <c r="BA636" s="1">
        <v>17.564201219046673</v>
      </c>
      <c r="BB636" s="2">
        <v>1000402.9420756531</v>
      </c>
      <c r="BC636" s="2">
        <f t="shared" si="70"/>
        <v>-377812.48404507583</v>
      </c>
      <c r="BD636" s="292">
        <f t="shared" si="71"/>
        <v>1.6743808223152605</v>
      </c>
      <c r="BF636" s="170">
        <f t="shared" si="66"/>
        <v>891189.38134173234</v>
      </c>
      <c r="BG636" s="2">
        <f t="shared" si="67"/>
        <v>1536902.7969572502</v>
      </c>
      <c r="BI636">
        <f t="shared" si="68"/>
        <v>0</v>
      </c>
      <c r="BJ636" s="95">
        <f t="shared" si="69"/>
        <v>1</v>
      </c>
      <c r="BP636" s="217">
        <f t="shared" si="72"/>
        <v>1536902.7969572502</v>
      </c>
    </row>
    <row r="637" spans="1:68">
      <c r="A637" s="11">
        <v>631</v>
      </c>
      <c r="C637" s="27">
        <v>0.92164344380851715</v>
      </c>
      <c r="D637" s="27">
        <v>7.8356556191482851E-2</v>
      </c>
      <c r="E637" s="27">
        <v>0</v>
      </c>
      <c r="F637" s="27">
        <v>0.85948138819765674</v>
      </c>
      <c r="G637" s="27">
        <v>0.14051861180234329</v>
      </c>
      <c r="H637" s="27">
        <v>0</v>
      </c>
      <c r="I637" s="27">
        <v>0.74850181876249966</v>
      </c>
      <c r="J637" s="27">
        <v>0.25149818123750034</v>
      </c>
      <c r="K637" s="27">
        <v>0</v>
      </c>
      <c r="L637" s="27">
        <v>7.6328953023462986E-2</v>
      </c>
      <c r="M637" s="27">
        <v>0.51376208627851461</v>
      </c>
      <c r="N637" s="27">
        <v>0.40990896069802241</v>
      </c>
      <c r="O637" s="27">
        <v>-11.115636684294349</v>
      </c>
      <c r="P637" s="27">
        <v>3.6237732600519282E-2</v>
      </c>
      <c r="Q637" s="27">
        <v>6.8160051826884836E-5</v>
      </c>
      <c r="R637" s="27">
        <v>1.0571045162014461</v>
      </c>
      <c r="S637" s="154"/>
      <c r="T637">
        <v>0.95380949418073557</v>
      </c>
      <c r="U637">
        <v>2.1521385552092327</v>
      </c>
      <c r="V637">
        <v>3.1014178633999894</v>
      </c>
      <c r="W637">
        <v>1</v>
      </c>
      <c r="Y637" s="2">
        <v>967.15270403084435</v>
      </c>
      <c r="Z637" s="2">
        <v>3829.1542836643571</v>
      </c>
      <c r="AA637" s="2">
        <v>277.38424089163692</v>
      </c>
      <c r="AB637" s="2">
        <v>10243.507495702614</v>
      </c>
      <c r="AC637" s="2">
        <v>1.316619819673019</v>
      </c>
      <c r="AD637" s="2">
        <v>291.37001072347749</v>
      </c>
      <c r="AE637" s="2">
        <v>573.31185471958565</v>
      </c>
      <c r="AF637" s="2">
        <v>1126.5007182666841</v>
      </c>
      <c r="AG637" s="2">
        <v>168.07531336651144</v>
      </c>
      <c r="AH637" s="2">
        <v>322.08842495533935</v>
      </c>
      <c r="AI637" s="2">
        <v>529392.82747576979</v>
      </c>
      <c r="AJ637" s="2">
        <v>486505.92170982668</v>
      </c>
      <c r="AL637" s="27">
        <v>0.9151741390317063</v>
      </c>
      <c r="AM637" s="27">
        <v>0.9126495607011611</v>
      </c>
      <c r="AN637" s="27">
        <v>0.91395605697803184</v>
      </c>
      <c r="AO637" s="27">
        <v>0.8690908978539259</v>
      </c>
      <c r="AP637" s="27">
        <v>0.74106407322019374</v>
      </c>
      <c r="AQ637" s="27">
        <v>0.9151741390317063</v>
      </c>
      <c r="AR637" s="27">
        <v>0.9126495607011611</v>
      </c>
      <c r="AS637" s="27">
        <v>0.91395605697803184</v>
      </c>
      <c r="AT637" s="27">
        <v>0.8690908978539259</v>
      </c>
      <c r="AU637" s="27">
        <v>0.74106407322019374</v>
      </c>
      <c r="AW637" s="1">
        <v>13.736155456870453</v>
      </c>
      <c r="AX637" s="1">
        <v>15.639348566376897</v>
      </c>
      <c r="AY637" s="2">
        <v>1940457.9540591787</v>
      </c>
      <c r="AZ637" s="1">
        <v>15.398866829576065</v>
      </c>
      <c r="BA637" s="1">
        <v>17.294093660659907</v>
      </c>
      <c r="BB637" s="2">
        <v>1546281.8298162501</v>
      </c>
      <c r="BC637" s="2">
        <f t="shared" si="70"/>
        <v>-394176.12424292858</v>
      </c>
      <c r="BD637" s="292">
        <f t="shared" si="71"/>
        <v>1.662711372705612</v>
      </c>
      <c r="BF637" s="170">
        <f t="shared" si="66"/>
        <v>257326.9190400939</v>
      </c>
      <c r="BG637" s="2">
        <f t="shared" si="67"/>
        <v>917536.86291592009</v>
      </c>
      <c r="BI637">
        <f t="shared" si="68"/>
        <v>0</v>
      </c>
      <c r="BJ637" s="95">
        <f t="shared" si="69"/>
        <v>1</v>
      </c>
      <c r="BP637" s="217">
        <f t="shared" si="72"/>
        <v>917536.86291592009</v>
      </c>
    </row>
    <row r="638" spans="1:68">
      <c r="A638" s="11">
        <v>632</v>
      </c>
      <c r="C638" s="27">
        <v>0.92246778313154221</v>
      </c>
      <c r="D638" s="27">
        <v>7.7532216868457793E-2</v>
      </c>
      <c r="E638" s="27">
        <v>0</v>
      </c>
      <c r="F638" s="27">
        <v>0.85399548419207538</v>
      </c>
      <c r="G638" s="27">
        <v>0.14600451580792462</v>
      </c>
      <c r="H638" s="27">
        <v>0</v>
      </c>
      <c r="I638" s="27">
        <v>0.7444475544867224</v>
      </c>
      <c r="J638" s="27">
        <v>0.2555524455132776</v>
      </c>
      <c r="K638" s="27">
        <v>0</v>
      </c>
      <c r="L638" s="27">
        <v>3.3587209247565197E-2</v>
      </c>
      <c r="M638" s="27">
        <v>0.53689801821942895</v>
      </c>
      <c r="N638" s="27">
        <v>0.42951477253300585</v>
      </c>
      <c r="O638" s="27">
        <v>-11.236613472308902</v>
      </c>
      <c r="P638" s="27">
        <v>3.5912205640632543E-2</v>
      </c>
      <c r="Q638" s="27">
        <v>5.9573433172911922E-5</v>
      </c>
      <c r="R638" s="27">
        <v>1.0760167824905298</v>
      </c>
      <c r="S638" s="154"/>
      <c r="T638">
        <v>0.91309825812185708</v>
      </c>
      <c r="U638">
        <v>2.1779544270161568</v>
      </c>
      <c r="V638">
        <v>3.0395376303215138</v>
      </c>
      <c r="W638">
        <v>1</v>
      </c>
      <c r="Y638" s="2">
        <v>920.20317786026772</v>
      </c>
      <c r="Z638" s="2">
        <v>1984.632547353541</v>
      </c>
      <c r="AA638" s="2">
        <v>453.03973526744977</v>
      </c>
      <c r="AB638" s="2">
        <v>1040.6602829718875</v>
      </c>
      <c r="AC638" s="2">
        <v>667.31174528444376</v>
      </c>
      <c r="AD638" s="2">
        <v>125.76805878583174</v>
      </c>
      <c r="AE638" s="2">
        <v>570.102577091537</v>
      </c>
      <c r="AF638" s="2">
        <v>1201.0507602944529</v>
      </c>
      <c r="AG638" s="2">
        <v>93.81915130410259</v>
      </c>
      <c r="AH638" s="2">
        <v>252.01241913323233</v>
      </c>
      <c r="AI638" s="2">
        <v>473688.83812197729</v>
      </c>
      <c r="AJ638" s="2">
        <v>447313.174973885</v>
      </c>
      <c r="AL638" s="27">
        <v>0.9171306463518476</v>
      </c>
      <c r="AM638" s="27">
        <v>0.9127312802683285</v>
      </c>
      <c r="AN638" s="27">
        <v>0.90225464780585007</v>
      </c>
      <c r="AO638" s="27">
        <v>0.87065461541639533</v>
      </c>
      <c r="AP638" s="27">
        <v>0.75366062785711352</v>
      </c>
      <c r="AQ638" s="27">
        <v>0.9171306463518476</v>
      </c>
      <c r="AR638" s="27">
        <v>0.9127312802683285</v>
      </c>
      <c r="AS638" s="27">
        <v>0.90225464780585007</v>
      </c>
      <c r="AT638" s="27">
        <v>0.87065461541639533</v>
      </c>
      <c r="AU638" s="27">
        <v>0.75366062785711352</v>
      </c>
      <c r="AW638" s="1">
        <v>13.834398644107123</v>
      </c>
      <c r="AX638" s="1">
        <v>15.670749496159788</v>
      </c>
      <c r="AY638" s="2">
        <v>1709731.7835668181</v>
      </c>
      <c r="AZ638" s="1">
        <v>15.333370816333757</v>
      </c>
      <c r="BA638" s="1">
        <v>17.191423583532913</v>
      </c>
      <c r="BB638" s="2">
        <v>1278189.2069111988</v>
      </c>
      <c r="BC638" s="2">
        <f t="shared" si="70"/>
        <v>-431542.57665561931</v>
      </c>
      <c r="BD638" s="292">
        <f t="shared" si="71"/>
        <v>1.4989721722266331</v>
      </c>
      <c r="BF638" s="170">
        <f t="shared" si="66"/>
        <v>503771.99949032161</v>
      </c>
      <c r="BG638" s="2">
        <f t="shared" si="67"/>
        <v>1175150.1237022025</v>
      </c>
      <c r="BI638">
        <f t="shared" si="68"/>
        <v>0</v>
      </c>
      <c r="BJ638" s="95">
        <f t="shared" si="69"/>
        <v>1</v>
      </c>
      <c r="BP638" s="217">
        <f t="shared" si="72"/>
        <v>1175150.1237022025</v>
      </c>
    </row>
    <row r="639" spans="1:68">
      <c r="A639" s="11">
        <v>633</v>
      </c>
      <c r="C639" s="27">
        <v>0.9247251717058792</v>
      </c>
      <c r="D639" s="27">
        <v>7.5274828294120757E-2</v>
      </c>
      <c r="E639" s="27">
        <v>0</v>
      </c>
      <c r="F639" s="27">
        <v>0.85660297228299975</v>
      </c>
      <c r="G639" s="27">
        <v>0.14339702771700025</v>
      </c>
      <c r="H639" s="27">
        <v>0</v>
      </c>
      <c r="I639" s="27">
        <v>0.75172067348526395</v>
      </c>
      <c r="J639" s="27">
        <v>0.24827932651473605</v>
      </c>
      <c r="K639" s="27">
        <v>0</v>
      </c>
      <c r="L639" s="27">
        <v>0.18540631689638304</v>
      </c>
      <c r="M639" s="27">
        <v>0.45882650764624244</v>
      </c>
      <c r="N639" s="27">
        <v>0.35576717545737452</v>
      </c>
      <c r="O639" s="27">
        <v>-11.125386360809411</v>
      </c>
      <c r="P639" s="27">
        <v>3.5142717747308469E-2</v>
      </c>
      <c r="Q639" s="27">
        <v>6.4464735802279252E-5</v>
      </c>
      <c r="R639" s="27">
        <v>1.0710090085996611</v>
      </c>
      <c r="S639" s="154"/>
      <c r="T639">
        <v>0.90265846654121173</v>
      </c>
      <c r="U639">
        <v>2.2604928378194233</v>
      </c>
      <c r="V639">
        <v>3.0512398895961272</v>
      </c>
      <c r="W639">
        <v>1</v>
      </c>
      <c r="Y639" s="2">
        <v>405.99593087178243</v>
      </c>
      <c r="Z639" s="2">
        <v>7667.0149808533251</v>
      </c>
      <c r="AA639" s="2">
        <v>577.52648112627719</v>
      </c>
      <c r="AB639" s="2">
        <v>6251.390596000866</v>
      </c>
      <c r="AC639" s="2">
        <v>167.30635693972064</v>
      </c>
      <c r="AD639" s="2">
        <v>3412.2498522080828</v>
      </c>
      <c r="AE639" s="2">
        <v>605.16149353543938</v>
      </c>
      <c r="AF639" s="2">
        <v>1362.1988149127626</v>
      </c>
      <c r="AG639" s="2">
        <v>96.717225566397417</v>
      </c>
      <c r="AH639" s="2">
        <v>519.83718306348737</v>
      </c>
      <c r="AI639" s="2">
        <v>543032.13265621173</v>
      </c>
      <c r="AJ639" s="2">
        <v>510210.58719247457</v>
      </c>
      <c r="AL639" s="27">
        <v>0.9105611203070767</v>
      </c>
      <c r="AM639" s="27">
        <v>0.91679339147036476</v>
      </c>
      <c r="AN639" s="27">
        <v>0.91000308842937661</v>
      </c>
      <c r="AO639" s="27">
        <v>0.8606095540579064</v>
      </c>
      <c r="AP639" s="27">
        <v>0.78138081329795739</v>
      </c>
      <c r="AQ639" s="27">
        <v>0.9105611203070767</v>
      </c>
      <c r="AR639" s="27">
        <v>0.91679339147036476</v>
      </c>
      <c r="AS639" s="27">
        <v>0.91000308842937661</v>
      </c>
      <c r="AT639" s="27">
        <v>0.8606095540579064</v>
      </c>
      <c r="AU639" s="27">
        <v>0.78138081329795739</v>
      </c>
      <c r="AW639" s="1">
        <v>14.038061325487934</v>
      </c>
      <c r="AX639" s="1">
        <v>15.856411617362445</v>
      </c>
      <c r="AY639" s="2">
        <v>1955653.640559129</v>
      </c>
      <c r="AZ639" s="1">
        <v>15.526905059853119</v>
      </c>
      <c r="BA639" s="1">
        <v>17.365414685050109</v>
      </c>
      <c r="BB639" s="2">
        <v>1550661.1098437028</v>
      </c>
      <c r="BC639" s="2">
        <f t="shared" si="70"/>
        <v>-404992.5307154262</v>
      </c>
      <c r="BD639" s="292">
        <f t="shared" si="71"/>
        <v>1.4888437343651848</v>
      </c>
      <c r="BF639" s="170">
        <f t="shared" si="66"/>
        <v>290436.17151894048</v>
      </c>
      <c r="BG639" s="2">
        <f t="shared" si="67"/>
        <v>933643.69973279652</v>
      </c>
      <c r="BI639">
        <f t="shared" si="68"/>
        <v>0</v>
      </c>
      <c r="BJ639" s="95">
        <f t="shared" si="69"/>
        <v>1</v>
      </c>
      <c r="BP639" s="217">
        <f t="shared" si="72"/>
        <v>933643.69973279652</v>
      </c>
    </row>
    <row r="640" spans="1:68">
      <c r="A640" s="11">
        <v>634</v>
      </c>
      <c r="C640" s="27">
        <v>0.92584156553341557</v>
      </c>
      <c r="D640" s="27">
        <v>7.4158434466584489E-2</v>
      </c>
      <c r="E640" s="27">
        <v>0</v>
      </c>
      <c r="F640" s="27">
        <v>0.85905284616808864</v>
      </c>
      <c r="G640" s="27">
        <v>0.14094715383191136</v>
      </c>
      <c r="H640" s="27">
        <v>0</v>
      </c>
      <c r="I640" s="27">
        <v>0.74315617677938317</v>
      </c>
      <c r="J640" s="27">
        <v>0.25684382322061683</v>
      </c>
      <c r="K640" s="27">
        <v>0</v>
      </c>
      <c r="L640" s="27">
        <v>0.12103801210848247</v>
      </c>
      <c r="M640" s="27">
        <v>0.54928405297718252</v>
      </c>
      <c r="N640" s="27">
        <v>0.329677934914335</v>
      </c>
      <c r="O640" s="27">
        <v>-10.986651073817347</v>
      </c>
      <c r="P640" s="27">
        <v>3.6439242881676118E-2</v>
      </c>
      <c r="Q640" s="27">
        <v>7.8202974598930809E-5</v>
      </c>
      <c r="R640" s="27">
        <v>1.0385710256153431</v>
      </c>
      <c r="S640" s="154"/>
      <c r="T640">
        <v>1.0033153920801894</v>
      </c>
      <c r="U640">
        <v>2.2954645381377801</v>
      </c>
      <c r="V640">
        <v>2.8920401246859599</v>
      </c>
      <c r="W640">
        <v>1</v>
      </c>
      <c r="Y640" s="2">
        <v>251.69235692189926</v>
      </c>
      <c r="Z640" s="2">
        <v>1929.2088663456029</v>
      </c>
      <c r="AA640" s="2">
        <v>97.776080624180437</v>
      </c>
      <c r="AB640" s="2">
        <v>6937.9309545970536</v>
      </c>
      <c r="AC640" s="2">
        <v>1831.7883359020245</v>
      </c>
      <c r="AD640" s="2">
        <v>790.11177697631467</v>
      </c>
      <c r="AE640" s="2">
        <v>519.16074101373226</v>
      </c>
      <c r="AF640" s="2">
        <v>1040.5382948725944</v>
      </c>
      <c r="AG640" s="2">
        <v>172.6504822461558</v>
      </c>
      <c r="AH640" s="2">
        <v>248.4482139128865</v>
      </c>
      <c r="AI640" s="2">
        <v>664501.26104546525</v>
      </c>
      <c r="AJ640" s="2">
        <v>622799.67863631598</v>
      </c>
      <c r="AL640" s="27">
        <v>0.91288792296514476</v>
      </c>
      <c r="AM640" s="27">
        <v>0.92047771832597347</v>
      </c>
      <c r="AN640" s="27">
        <v>0.91487110221222567</v>
      </c>
      <c r="AO640" s="27">
        <v>0.88827305385002187</v>
      </c>
      <c r="AP640" s="27">
        <v>0.70896684579267855</v>
      </c>
      <c r="AQ640" s="27">
        <v>0.91288792296514476</v>
      </c>
      <c r="AR640" s="27">
        <v>0.92047771832597347</v>
      </c>
      <c r="AS640" s="27">
        <v>0.91487110221222567</v>
      </c>
      <c r="AT640" s="27">
        <v>0.88827305385002187</v>
      </c>
      <c r="AU640" s="27">
        <v>0.70896684579267855</v>
      </c>
      <c r="AW640" s="1">
        <v>13.93659311944071</v>
      </c>
      <c r="AX640" s="1">
        <v>16.062327513728341</v>
      </c>
      <c r="AY640" s="2">
        <v>2794519.6112392447</v>
      </c>
      <c r="AZ640" s="1">
        <v>15.668976598199762</v>
      </c>
      <c r="BA640" s="1">
        <v>17.704465942685122</v>
      </c>
      <c r="BB640" s="2">
        <v>2062740.0427143546</v>
      </c>
      <c r="BC640" s="2">
        <f t="shared" si="70"/>
        <v>-731779.56852489011</v>
      </c>
      <c r="BD640" s="292">
        <f t="shared" si="71"/>
        <v>1.7323834787590524</v>
      </c>
      <c r="BF640" s="170">
        <f t="shared" si="66"/>
        <v>-564664.71212873096</v>
      </c>
      <c r="BG640" s="2">
        <f t="shared" si="67"/>
        <v>444296.21299760742</v>
      </c>
      <c r="BI640">
        <f t="shared" si="68"/>
        <v>0</v>
      </c>
      <c r="BJ640" s="95">
        <f t="shared" si="69"/>
        <v>1</v>
      </c>
      <c r="BP640" s="217">
        <f t="shared" si="72"/>
        <v>444296.21299760742</v>
      </c>
    </row>
    <row r="641" spans="1:68">
      <c r="A641" s="11">
        <v>635</v>
      </c>
      <c r="C641" s="27">
        <v>0.92256768332421357</v>
      </c>
      <c r="D641" s="27">
        <v>7.7432316675786428E-2</v>
      </c>
      <c r="E641" s="27">
        <v>0</v>
      </c>
      <c r="F641" s="27">
        <v>0.85787199210191378</v>
      </c>
      <c r="G641" s="27">
        <v>0.14212800789808624</v>
      </c>
      <c r="H641" s="27">
        <v>0</v>
      </c>
      <c r="I641" s="27">
        <v>0.75463627150508383</v>
      </c>
      <c r="J641" s="27">
        <v>0.24536372849491622</v>
      </c>
      <c r="K641" s="27">
        <v>0</v>
      </c>
      <c r="L641" s="27">
        <v>0.15746920654136398</v>
      </c>
      <c r="M641" s="27">
        <v>0.50480123204119987</v>
      </c>
      <c r="N641" s="27">
        <v>0.33772956141743615</v>
      </c>
      <c r="O641" s="27">
        <v>-10.944499658150129</v>
      </c>
      <c r="P641" s="27">
        <v>3.3539590187852408E-2</v>
      </c>
      <c r="Q641" s="27">
        <v>7.2216870909131068E-5</v>
      </c>
      <c r="R641" s="27">
        <v>1.0470264442634771</v>
      </c>
      <c r="S641" s="154"/>
      <c r="T641">
        <v>0.89926933484446603</v>
      </c>
      <c r="U641">
        <v>2.2226465991228528</v>
      </c>
      <c r="V641">
        <v>2.8954432795286986</v>
      </c>
      <c r="W641">
        <v>1</v>
      </c>
      <c r="Y641" s="2">
        <v>1356.5880903625787</v>
      </c>
      <c r="Z641" s="2">
        <v>3536.6415035181808</v>
      </c>
      <c r="AA641" s="2">
        <v>3085.5348298162589</v>
      </c>
      <c r="AB641" s="2">
        <v>1246.9095804979434</v>
      </c>
      <c r="AC641" s="2">
        <v>290.53940914123268</v>
      </c>
      <c r="AD641" s="2">
        <v>5735.200770503674</v>
      </c>
      <c r="AE641" s="2">
        <v>552.16380184515469</v>
      </c>
      <c r="AF641" s="2">
        <v>1053.35705117776</v>
      </c>
      <c r="AG641" s="2">
        <v>85.125038063533324</v>
      </c>
      <c r="AH641" s="2">
        <v>466.75118789490841</v>
      </c>
      <c r="AI641" s="2">
        <v>454567.16228347598</v>
      </c>
      <c r="AJ641" s="2">
        <v>417625.22895154846</v>
      </c>
      <c r="AL641" s="27">
        <v>0.91200055040327932</v>
      </c>
      <c r="AM641" s="27">
        <v>0.91164337801695861</v>
      </c>
      <c r="AN641" s="27">
        <v>0.89955631414551296</v>
      </c>
      <c r="AO641" s="27">
        <v>0.8061776972886987</v>
      </c>
      <c r="AP641" s="27">
        <v>0.70958231696456986</v>
      </c>
      <c r="AQ641" s="27">
        <v>0.91200055040327932</v>
      </c>
      <c r="AR641" s="27">
        <v>0.91164337801695861</v>
      </c>
      <c r="AS641" s="27">
        <v>0.89955631414551296</v>
      </c>
      <c r="AT641" s="27">
        <v>0.8061776972886987</v>
      </c>
      <c r="AU641" s="27">
        <v>0.70958231696456986</v>
      </c>
      <c r="AW641" s="1">
        <v>13.989608064226688</v>
      </c>
      <c r="AX641" s="1">
        <v>16.15023463663708</v>
      </c>
      <c r="AY641" s="2">
        <v>1761327.8638809905</v>
      </c>
      <c r="AZ641" s="1">
        <v>15.440213922726477</v>
      </c>
      <c r="BA641" s="1">
        <v>17.557428590870604</v>
      </c>
      <c r="BB641" s="2">
        <v>1435305.9389142569</v>
      </c>
      <c r="BC641" s="2">
        <f t="shared" si="70"/>
        <v>-326021.92496673367</v>
      </c>
      <c r="BD641" s="292">
        <f t="shared" si="71"/>
        <v>1.4506058584997881</v>
      </c>
      <c r="BF641" s="170">
        <f t="shared" si="66"/>
        <v>477009.42639527982</v>
      </c>
      <c r="BG641" s="2">
        <f t="shared" si="67"/>
        <v>1035128.2887219794</v>
      </c>
      <c r="BI641">
        <f t="shared" si="68"/>
        <v>0</v>
      </c>
      <c r="BJ641" s="95">
        <f t="shared" si="69"/>
        <v>1</v>
      </c>
      <c r="BP641" s="217">
        <f t="shared" si="72"/>
        <v>1035128.2887219794</v>
      </c>
    </row>
    <row r="642" spans="1:68">
      <c r="A642" s="11">
        <v>636</v>
      </c>
      <c r="C642" s="27">
        <v>0.91731180784047572</v>
      </c>
      <c r="D642" s="27">
        <v>8.2688192159524276E-2</v>
      </c>
      <c r="E642" s="27">
        <v>0</v>
      </c>
      <c r="F642" s="27">
        <v>0.85272324315382708</v>
      </c>
      <c r="G642" s="27">
        <v>0.14727675684617292</v>
      </c>
      <c r="H642" s="27">
        <v>0</v>
      </c>
      <c r="I642" s="27">
        <v>0.74912655661518912</v>
      </c>
      <c r="J642" s="27">
        <v>0.25087344338481088</v>
      </c>
      <c r="K642" s="27">
        <v>0</v>
      </c>
      <c r="L642" s="27">
        <v>8.1253753568446441E-2</v>
      </c>
      <c r="M642" s="27">
        <v>0.52299279610591776</v>
      </c>
      <c r="N642" s="27">
        <v>0.3957534503256358</v>
      </c>
      <c r="O642" s="27">
        <v>-10.891543803427446</v>
      </c>
      <c r="P642" s="27">
        <v>3.2505260850673019E-2</v>
      </c>
      <c r="Q642" s="27">
        <v>7.2907222651932873E-5</v>
      </c>
      <c r="R642" s="27">
        <v>1.0588688168939433</v>
      </c>
      <c r="S642" s="154"/>
      <c r="T642">
        <v>1.0123000320705853</v>
      </c>
      <c r="U642">
        <v>2.1814471455443174</v>
      </c>
      <c r="V642">
        <v>2.9311296350503371</v>
      </c>
      <c r="W642">
        <v>1</v>
      </c>
      <c r="Y642" s="2">
        <v>434.31103268930326</v>
      </c>
      <c r="Z642" s="2">
        <v>4203.3032677659157</v>
      </c>
      <c r="AA642" s="2">
        <v>241.98507012926783</v>
      </c>
      <c r="AB642" s="2">
        <v>5804.2247750784636</v>
      </c>
      <c r="AC642" s="2">
        <v>4743.1545867666055</v>
      </c>
      <c r="AD642" s="2">
        <v>1556.2167222370022</v>
      </c>
      <c r="AE642" s="2">
        <v>533.66325711015918</v>
      </c>
      <c r="AF642" s="2">
        <v>1156.4462433118522</v>
      </c>
      <c r="AG642" s="2">
        <v>182.07479238604651</v>
      </c>
      <c r="AH642" s="2">
        <v>348.86502943698292</v>
      </c>
      <c r="AI642" s="2">
        <v>558001.7098879948</v>
      </c>
      <c r="AJ642" s="2">
        <v>517658.16172664834</v>
      </c>
      <c r="AL642" s="27">
        <v>0.91673244753734251</v>
      </c>
      <c r="AM642" s="27">
        <v>0.91350039171361286</v>
      </c>
      <c r="AN642" s="27">
        <v>0.91056564529485318</v>
      </c>
      <c r="AO642" s="27">
        <v>0.86475574272861944</v>
      </c>
      <c r="AP642" s="27">
        <v>0.69531355031447317</v>
      </c>
      <c r="AQ642" s="27">
        <v>0.91673244753734251</v>
      </c>
      <c r="AR642" s="27">
        <v>0.91350039171361286</v>
      </c>
      <c r="AS642" s="27">
        <v>0.91056564529485318</v>
      </c>
      <c r="AT642" s="27">
        <v>0.86475574272861944</v>
      </c>
      <c r="AU642" s="27">
        <v>0.69531355031447317</v>
      </c>
      <c r="AW642" s="1">
        <v>13.216598399227721</v>
      </c>
      <c r="AX642" s="1">
        <v>15.258427410186618</v>
      </c>
      <c r="AY642" s="2">
        <v>2215953.6635858263</v>
      </c>
      <c r="AZ642" s="1">
        <v>15.11412284218644</v>
      </c>
      <c r="BA642" s="1">
        <v>17.108903167766545</v>
      </c>
      <c r="BB642" s="2">
        <v>1627405.7860141997</v>
      </c>
      <c r="BC642" s="2">
        <f t="shared" si="70"/>
        <v>-588547.87757162657</v>
      </c>
      <c r="BD642" s="292">
        <f t="shared" si="71"/>
        <v>1.8975244429587192</v>
      </c>
      <c r="BF642" s="170">
        <f t="shared" si="66"/>
        <v>-101297.91970939096</v>
      </c>
      <c r="BG642" s="2">
        <f t="shared" si="67"/>
        <v>790853.86873563053</v>
      </c>
      <c r="BI642">
        <f t="shared" si="68"/>
        <v>0</v>
      </c>
      <c r="BJ642" s="95">
        <f t="shared" si="69"/>
        <v>1</v>
      </c>
      <c r="BP642" s="217">
        <f t="shared" si="72"/>
        <v>790853.86873563053</v>
      </c>
    </row>
    <row r="643" spans="1:68">
      <c r="A643" s="11">
        <v>637</v>
      </c>
      <c r="C643" s="27">
        <v>0.91840481576489708</v>
      </c>
      <c r="D643" s="27">
        <v>8.1595184235102924E-2</v>
      </c>
      <c r="E643" s="27">
        <v>0</v>
      </c>
      <c r="F643" s="27">
        <v>0.85749245246709793</v>
      </c>
      <c r="G643" s="27">
        <v>0.14250754753290212</v>
      </c>
      <c r="H643" s="27">
        <v>0</v>
      </c>
      <c r="I643" s="27">
        <v>0.73308839544019622</v>
      </c>
      <c r="J643" s="27">
        <v>0.26691160455980378</v>
      </c>
      <c r="K643" s="27">
        <v>0</v>
      </c>
      <c r="L643" s="27">
        <v>0.13655510885295785</v>
      </c>
      <c r="M643" s="27">
        <v>0.44935031910700213</v>
      </c>
      <c r="N643" s="27">
        <v>0.41409457204004008</v>
      </c>
      <c r="O643" s="27">
        <v>-11.139523726438821</v>
      </c>
      <c r="P643" s="27">
        <v>3.6656909070273858E-2</v>
      </c>
      <c r="Q643" s="27">
        <v>6.7733237520587058E-5</v>
      </c>
      <c r="R643" s="27">
        <v>1.0576445524224205</v>
      </c>
      <c r="S643" s="154"/>
      <c r="T643">
        <v>0.99057467039914393</v>
      </c>
      <c r="U643">
        <v>2.2731321541676524</v>
      </c>
      <c r="V643">
        <v>3.2886776394818251</v>
      </c>
      <c r="W643">
        <v>1</v>
      </c>
      <c r="Y643" s="2">
        <v>1249.7244731181072</v>
      </c>
      <c r="Z643" s="2">
        <v>1197.9261165054975</v>
      </c>
      <c r="AA643" s="2">
        <v>1722.6800118670126</v>
      </c>
      <c r="AB643" s="2">
        <v>3900.2374603562253</v>
      </c>
      <c r="AC643" s="2">
        <v>793.09899180504578</v>
      </c>
      <c r="AD643" s="2">
        <v>578.83723704142278</v>
      </c>
      <c r="AE643" s="2">
        <v>509.79698358118429</v>
      </c>
      <c r="AF643" s="2">
        <v>1072.3086784067725</v>
      </c>
      <c r="AG643" s="2">
        <v>186.25744310051866</v>
      </c>
      <c r="AH643" s="2">
        <v>328.86468012328163</v>
      </c>
      <c r="AI643" s="2">
        <v>588090.12774994981</v>
      </c>
      <c r="AJ643" s="2">
        <v>567676.96476731834</v>
      </c>
      <c r="AL643" s="27">
        <v>0.92085695339872842</v>
      </c>
      <c r="AM643" s="27">
        <v>0.91259035617243534</v>
      </c>
      <c r="AN643" s="27">
        <v>0.90636085282169265</v>
      </c>
      <c r="AO643" s="27">
        <v>0.86721660497581188</v>
      </c>
      <c r="AP643" s="27">
        <v>0.84073780759837269</v>
      </c>
      <c r="AQ643" s="27">
        <v>0.92085695339872842</v>
      </c>
      <c r="AR643" s="27">
        <v>0.91259035617243534</v>
      </c>
      <c r="AS643" s="27">
        <v>0.90636085282169265</v>
      </c>
      <c r="AT643" s="27">
        <v>0.86721660497581188</v>
      </c>
      <c r="AU643" s="27">
        <v>0.84073780759837269</v>
      </c>
      <c r="AW643" s="1">
        <v>13.60422085896248</v>
      </c>
      <c r="AX643" s="1">
        <v>15.10816329327691</v>
      </c>
      <c r="AY643" s="2">
        <v>2196320.2910577967</v>
      </c>
      <c r="AZ643" s="1">
        <v>15.400228895924489</v>
      </c>
      <c r="BA643" s="1">
        <v>17.007159620453351</v>
      </c>
      <c r="BB643" s="2">
        <v>1639974.2378575555</v>
      </c>
      <c r="BC643" s="2">
        <f t="shared" si="70"/>
        <v>-556346.05320024118</v>
      </c>
      <c r="BD643" s="292">
        <f t="shared" si="71"/>
        <v>1.7960080369620091</v>
      </c>
      <c r="BF643" s="170">
        <f t="shared" si="66"/>
        <v>-19644.953623800073</v>
      </c>
      <c r="BG643" s="2">
        <f t="shared" si="67"/>
        <v>824062.38549036253</v>
      </c>
      <c r="BI643">
        <f t="shared" si="68"/>
        <v>0</v>
      </c>
      <c r="BJ643" s="95">
        <f t="shared" si="69"/>
        <v>1</v>
      </c>
      <c r="BP643" s="217">
        <f t="shared" si="72"/>
        <v>824062.38549036253</v>
      </c>
    </row>
    <row r="644" spans="1:68">
      <c r="A644" s="11">
        <v>638</v>
      </c>
      <c r="C644" s="27">
        <v>0.92485259125357944</v>
      </c>
      <c r="D644" s="27">
        <v>7.5147408746420563E-2</v>
      </c>
      <c r="E644" s="27">
        <v>0</v>
      </c>
      <c r="F644" s="27">
        <v>0.86005027384032717</v>
      </c>
      <c r="G644" s="27">
        <v>0.13994972615967285</v>
      </c>
      <c r="H644" s="27">
        <v>0</v>
      </c>
      <c r="I644" s="27">
        <v>0.74800317902577307</v>
      </c>
      <c r="J644" s="27">
        <v>0.25199682097422693</v>
      </c>
      <c r="K644" s="27">
        <v>0</v>
      </c>
      <c r="L644" s="27">
        <v>0.12750437106208545</v>
      </c>
      <c r="M644" s="27">
        <v>0.49209848243626192</v>
      </c>
      <c r="N644" s="27">
        <v>0.38039714650165257</v>
      </c>
      <c r="O644" s="27">
        <v>-10.977057690162953</v>
      </c>
      <c r="P644" s="27">
        <v>3.6595439064766019E-2</v>
      </c>
      <c r="Q644" s="27">
        <v>7.9476494281112319E-5</v>
      </c>
      <c r="R644" s="27">
        <v>1.0392227214166447</v>
      </c>
      <c r="S644" s="154"/>
      <c r="T644">
        <v>1.0405595777864449</v>
      </c>
      <c r="U644">
        <v>2.3043823628408338</v>
      </c>
      <c r="V644">
        <v>3.0817624727573207</v>
      </c>
      <c r="W644">
        <v>1</v>
      </c>
      <c r="Y644" s="2">
        <v>70.41819271231715</v>
      </c>
      <c r="Z644" s="2">
        <v>551.25072976918148</v>
      </c>
      <c r="AA644" s="2">
        <v>690.85324861529648</v>
      </c>
      <c r="AB644" s="2">
        <v>2238.4989601360985</v>
      </c>
      <c r="AC644" s="2">
        <v>1876.6329311659495</v>
      </c>
      <c r="AD644" s="2">
        <v>206.62843801618419</v>
      </c>
      <c r="AE644" s="2">
        <v>572.05829952471186</v>
      </c>
      <c r="AF644" s="2">
        <v>943.76587270339894</v>
      </c>
      <c r="AG644" s="2">
        <v>142.61422778636583</v>
      </c>
      <c r="AH644" s="2">
        <v>285.24452688305871</v>
      </c>
      <c r="AI644" s="2">
        <v>423627.47414572677</v>
      </c>
      <c r="AJ644" s="2">
        <v>390080.5201391757</v>
      </c>
      <c r="AL644" s="27">
        <v>0.91474403642806223</v>
      </c>
      <c r="AM644" s="27">
        <v>0.91840826962733413</v>
      </c>
      <c r="AN644" s="27">
        <v>0.90502341630855521</v>
      </c>
      <c r="AO644" s="27">
        <v>0.86151758230101061</v>
      </c>
      <c r="AP644" s="27">
        <v>0.68742215471930557</v>
      </c>
      <c r="AQ644" s="27">
        <v>0.91474403642806223</v>
      </c>
      <c r="AR644" s="27">
        <v>0.91840826962733413</v>
      </c>
      <c r="AS644" s="27">
        <v>0.90502341630855521</v>
      </c>
      <c r="AT644" s="27">
        <v>0.86151758230101061</v>
      </c>
      <c r="AU644" s="27">
        <v>0.68742215471930557</v>
      </c>
      <c r="AW644" s="1">
        <v>13.431266550900551</v>
      </c>
      <c r="AX644" s="1">
        <v>15.535560262499507</v>
      </c>
      <c r="AY644" s="2">
        <v>1615628.9812859939</v>
      </c>
      <c r="AZ644" s="1">
        <v>15.416794617574013</v>
      </c>
      <c r="BA644" s="1">
        <v>17.446044146824409</v>
      </c>
      <c r="BB644" s="2">
        <v>1144584.9305153578</v>
      </c>
      <c r="BC644" s="2">
        <f t="shared" si="70"/>
        <v>-471044.05077063618</v>
      </c>
      <c r="BD644" s="292">
        <f t="shared" si="71"/>
        <v>1.9855280666734618</v>
      </c>
      <c r="BF644" s="170">
        <f t="shared" si="66"/>
        <v>533373.66685809428</v>
      </c>
      <c r="BG644" s="2">
        <f t="shared" si="67"/>
        <v>1322102.2082964843</v>
      </c>
      <c r="BI644">
        <f t="shared" si="68"/>
        <v>0</v>
      </c>
      <c r="BJ644" s="95">
        <f t="shared" si="69"/>
        <v>1</v>
      </c>
      <c r="BP644" s="217">
        <f t="shared" si="72"/>
        <v>1322102.2082964843</v>
      </c>
    </row>
    <row r="645" spans="1:68">
      <c r="A645" s="11">
        <v>639</v>
      </c>
      <c r="C645" s="27">
        <v>0.9216856559109583</v>
      </c>
      <c r="D645" s="27">
        <v>7.8314344089041699E-2</v>
      </c>
      <c r="E645" s="27">
        <v>0</v>
      </c>
      <c r="F645" s="27">
        <v>0.85729509572324358</v>
      </c>
      <c r="G645" s="27">
        <v>0.14270490427675639</v>
      </c>
      <c r="H645" s="27">
        <v>0</v>
      </c>
      <c r="I645" s="27">
        <v>0.74668682846725831</v>
      </c>
      <c r="J645" s="27">
        <v>0.25331317153274169</v>
      </c>
      <c r="K645" s="27">
        <v>0</v>
      </c>
      <c r="L645" s="27">
        <v>9.4323337778140059E-2</v>
      </c>
      <c r="M645" s="27">
        <v>0.50742147625607903</v>
      </c>
      <c r="N645" s="27">
        <v>0.39825518596578091</v>
      </c>
      <c r="O645" s="27">
        <v>-11.194206536992603</v>
      </c>
      <c r="P645" s="27">
        <v>3.835747532166018E-2</v>
      </c>
      <c r="Q645" s="27">
        <v>6.8876702404987116E-5</v>
      </c>
      <c r="R645" s="27">
        <v>1.0486332106838279</v>
      </c>
      <c r="S645" s="154"/>
      <c r="T645">
        <v>1.1043976107615709</v>
      </c>
      <c r="U645">
        <v>2.325399597807682</v>
      </c>
      <c r="V645">
        <v>2.922961169505125</v>
      </c>
      <c r="W645">
        <v>1</v>
      </c>
      <c r="Y645" s="2">
        <v>1267.8711943004844</v>
      </c>
      <c r="Z645" s="2">
        <v>7778.0154507322495</v>
      </c>
      <c r="AA645" s="2">
        <v>3834.0693077861706</v>
      </c>
      <c r="AB645" s="2">
        <v>4324.8080486054942</v>
      </c>
      <c r="AC645" s="2">
        <v>192.66177707704639</v>
      </c>
      <c r="AD645" s="2">
        <v>2534.1575177344967</v>
      </c>
      <c r="AE645" s="2">
        <v>510.19692721049802</v>
      </c>
      <c r="AF645" s="2">
        <v>1178.5041457852712</v>
      </c>
      <c r="AG645" s="2">
        <v>136.45646780294055</v>
      </c>
      <c r="AH645" s="2">
        <v>334.2380293140024</v>
      </c>
      <c r="AI645" s="2">
        <v>311074.91109867062</v>
      </c>
      <c r="AJ645" s="2">
        <v>292507.46943346085</v>
      </c>
      <c r="AL645" s="27">
        <v>0.9206295227575505</v>
      </c>
      <c r="AM645" s="27">
        <v>0.91374635098865853</v>
      </c>
      <c r="AN645" s="27">
        <v>0.9040622842000372</v>
      </c>
      <c r="AO645" s="27">
        <v>0.84511920891766279</v>
      </c>
      <c r="AP645" s="27">
        <v>0.72095403384060397</v>
      </c>
      <c r="AQ645" s="27">
        <v>0.9206295227575505</v>
      </c>
      <c r="AR645" s="27">
        <v>0.91374635098865853</v>
      </c>
      <c r="AS645" s="27">
        <v>0.9040622842000372</v>
      </c>
      <c r="AT645" s="27">
        <v>0.84511920891766279</v>
      </c>
      <c r="AU645" s="27">
        <v>0.72095403384060397</v>
      </c>
      <c r="AW645" s="1">
        <v>13.284586118973666</v>
      </c>
      <c r="AX645" s="1">
        <v>15.268074848211471</v>
      </c>
      <c r="AY645" s="2">
        <v>1383745.4884236448</v>
      </c>
      <c r="AZ645" s="1">
        <v>15.404164405317175</v>
      </c>
      <c r="BA645" s="1">
        <v>17.342139082782403</v>
      </c>
      <c r="BB645" s="2">
        <v>1040168.2694548952</v>
      </c>
      <c r="BC645" s="2">
        <f t="shared" si="70"/>
        <v>-343577.21896874963</v>
      </c>
      <c r="BD645" s="292">
        <f t="shared" si="71"/>
        <v>2.1195782863435095</v>
      </c>
      <c r="BF645" s="170">
        <f t="shared" si="66"/>
        <v>741788.29061214183</v>
      </c>
      <c r="BG645" s="2">
        <f t="shared" si="67"/>
        <v>1424498.0353958528</v>
      </c>
      <c r="BI645">
        <f t="shared" si="68"/>
        <v>0</v>
      </c>
      <c r="BJ645" s="95">
        <f t="shared" si="69"/>
        <v>1</v>
      </c>
      <c r="BP645" s="217">
        <f t="shared" si="72"/>
        <v>1424498.0353958528</v>
      </c>
    </row>
    <row r="646" spans="1:68">
      <c r="A646" s="11">
        <v>640</v>
      </c>
      <c r="C646" s="27">
        <v>0.92357053571936198</v>
      </c>
      <c r="D646" s="27">
        <v>7.6429464280638057E-2</v>
      </c>
      <c r="E646" s="27">
        <v>0</v>
      </c>
      <c r="F646" s="27">
        <v>0.86019474328296952</v>
      </c>
      <c r="G646" s="27">
        <v>0.13980525671703053</v>
      </c>
      <c r="H646" s="27">
        <v>0</v>
      </c>
      <c r="I646" s="27">
        <v>0.75297259038844055</v>
      </c>
      <c r="J646" s="27">
        <v>0.2470274096115595</v>
      </c>
      <c r="K646" s="27">
        <v>0</v>
      </c>
      <c r="L646" s="27">
        <v>0.17729435350070499</v>
      </c>
      <c r="M646" s="27">
        <v>0.48515101946056927</v>
      </c>
      <c r="N646" s="27">
        <v>0.33755462703872574</v>
      </c>
      <c r="O646" s="27">
        <v>-11.432576971194358</v>
      </c>
      <c r="P646" s="27">
        <v>3.4954775730295616E-2</v>
      </c>
      <c r="Q646" s="27">
        <v>4.7041687065848421E-5</v>
      </c>
      <c r="R646" s="27">
        <v>1.1140624098035734</v>
      </c>
      <c r="S646" s="154"/>
      <c r="T646">
        <v>1.0122114910111644</v>
      </c>
      <c r="U646">
        <v>2.2690565515300212</v>
      </c>
      <c r="V646">
        <v>3.3007985378894316</v>
      </c>
      <c r="W646">
        <v>1</v>
      </c>
      <c r="Y646" s="2">
        <v>876.82608988577283</v>
      </c>
      <c r="Z646" s="2">
        <v>4917.2494827598312</v>
      </c>
      <c r="AA646" s="2">
        <v>1568.9234400880623</v>
      </c>
      <c r="AB646" s="2">
        <v>2680.4962245057745</v>
      </c>
      <c r="AC646" s="2">
        <v>373.60353326329664</v>
      </c>
      <c r="AD646" s="2">
        <v>1484.5663997154461</v>
      </c>
      <c r="AE646" s="2">
        <v>601.44336554894778</v>
      </c>
      <c r="AF646" s="2">
        <v>1002.1273333997322</v>
      </c>
      <c r="AG646" s="2">
        <v>71.554919557460948</v>
      </c>
      <c r="AH646" s="2">
        <v>505.2103174670126</v>
      </c>
      <c r="AI646" s="2">
        <v>411642.43926746293</v>
      </c>
      <c r="AJ646" s="2">
        <v>368568.30069619406</v>
      </c>
      <c r="AL646" s="27">
        <v>0.91963377427583082</v>
      </c>
      <c r="AM646" s="27">
        <v>0.91190796041347311</v>
      </c>
      <c r="AN646" s="27">
        <v>0.91316659158631264</v>
      </c>
      <c r="AO646" s="27">
        <v>0.85756045609888565</v>
      </c>
      <c r="AP646" s="27">
        <v>0.75122249228316806</v>
      </c>
      <c r="AQ646" s="27">
        <v>0.91963377427583082</v>
      </c>
      <c r="AR646" s="27">
        <v>0.91190796041347311</v>
      </c>
      <c r="AS646" s="27">
        <v>0.91316659158631264</v>
      </c>
      <c r="AT646" s="27">
        <v>0.85756045609888565</v>
      </c>
      <c r="AU646" s="27">
        <v>0.75122249228316806</v>
      </c>
      <c r="AW646" s="1">
        <v>13.652408886919755</v>
      </c>
      <c r="AX646" s="1">
        <v>15.490887477077386</v>
      </c>
      <c r="AY646" s="2">
        <v>1513032.8974741062</v>
      </c>
      <c r="AZ646" s="1">
        <v>15.548971805175297</v>
      </c>
      <c r="BA646" s="1">
        <v>17.38891744972258</v>
      </c>
      <c r="BB646" s="2">
        <v>1097978.7382114688</v>
      </c>
      <c r="BC646" s="2">
        <f t="shared" si="70"/>
        <v>-415054.15926263737</v>
      </c>
      <c r="BD646" s="292">
        <f t="shared" si="71"/>
        <v>1.8965629182555421</v>
      </c>
      <c r="BF646" s="170">
        <f t="shared" si="66"/>
        <v>671352.52443305473</v>
      </c>
      <c r="BG646" s="2">
        <f t="shared" si="67"/>
        <v>1389856.7506165789</v>
      </c>
      <c r="BI646">
        <f t="shared" si="68"/>
        <v>0</v>
      </c>
      <c r="BJ646" s="95">
        <f t="shared" si="69"/>
        <v>1</v>
      </c>
      <c r="BP646" s="217">
        <f t="shared" si="72"/>
        <v>1389856.7506165789</v>
      </c>
    </row>
    <row r="647" spans="1:68">
      <c r="A647" s="11">
        <v>641</v>
      </c>
      <c r="C647" s="27">
        <v>0.92291125810971864</v>
      </c>
      <c r="D647" s="27">
        <v>7.7088741890281365E-2</v>
      </c>
      <c r="E647" s="27">
        <v>0</v>
      </c>
      <c r="F647" s="27">
        <v>0.85853919091870501</v>
      </c>
      <c r="G647" s="27">
        <v>0.14146080908129494</v>
      </c>
      <c r="H647" s="27">
        <v>0</v>
      </c>
      <c r="I647" s="27">
        <v>0.74513458603386284</v>
      </c>
      <c r="J647" s="27">
        <v>0.25486541396613716</v>
      </c>
      <c r="K647" s="27">
        <v>0</v>
      </c>
      <c r="L647" s="27">
        <v>9.1305395719760041E-2</v>
      </c>
      <c r="M647" s="27">
        <v>0.52390820194879928</v>
      </c>
      <c r="N647" s="27">
        <v>0.38478640233144068</v>
      </c>
      <c r="O647" s="27">
        <v>-11.336941199941554</v>
      </c>
      <c r="P647" s="27">
        <v>3.6959034135646378E-2</v>
      </c>
      <c r="Q647" s="27">
        <v>5.6308685314995003E-5</v>
      </c>
      <c r="R647" s="27">
        <v>1.0820792747120689</v>
      </c>
      <c r="S647" s="154"/>
      <c r="T647">
        <v>1.0363827236740024</v>
      </c>
      <c r="U647">
        <v>2.2078761267346967</v>
      </c>
      <c r="V647">
        <v>3.1062691743205351</v>
      </c>
      <c r="W647">
        <v>1</v>
      </c>
      <c r="Y647" s="2">
        <v>94.714421177464772</v>
      </c>
      <c r="Z647" s="2">
        <v>8058.4819132090051</v>
      </c>
      <c r="AA647" s="2">
        <v>2928.6226663341918</v>
      </c>
      <c r="AB647" s="2">
        <v>58.97093909849459</v>
      </c>
      <c r="AC647" s="2">
        <v>1019.4949297369391</v>
      </c>
      <c r="AD647" s="2">
        <v>103.08635346026196</v>
      </c>
      <c r="AE647" s="2">
        <v>578.93505529191293</v>
      </c>
      <c r="AF647" s="2">
        <v>1151.2438437939149</v>
      </c>
      <c r="AG647" s="2">
        <v>208.00494099811888</v>
      </c>
      <c r="AH647" s="2">
        <v>305.66814013553062</v>
      </c>
      <c r="AI647" s="2">
        <v>452342.41805999773</v>
      </c>
      <c r="AJ647" s="2">
        <v>422836.87047644268</v>
      </c>
      <c r="AL647" s="27">
        <v>0.91621961365882365</v>
      </c>
      <c r="AM647" s="27">
        <v>0.92116914688289608</v>
      </c>
      <c r="AN647" s="27">
        <v>0.90879263596165782</v>
      </c>
      <c r="AO647" s="27">
        <v>0.88007101903871288</v>
      </c>
      <c r="AP647" s="27">
        <v>0.65660516070252928</v>
      </c>
      <c r="AQ647" s="27">
        <v>0.91621961365882365</v>
      </c>
      <c r="AR647" s="27">
        <v>0.92116914688289608</v>
      </c>
      <c r="AS647" s="27">
        <v>0.90879263596165782</v>
      </c>
      <c r="AT647" s="27">
        <v>0.88007101903871288</v>
      </c>
      <c r="AU647" s="27">
        <v>0.65660516070252928</v>
      </c>
      <c r="AW647" s="1">
        <v>13.30248743819374</v>
      </c>
      <c r="AX647" s="1">
        <v>15.472822666389416</v>
      </c>
      <c r="AY647" s="2">
        <v>1842551.6195510109</v>
      </c>
      <c r="AZ647" s="1">
        <v>15.28864824474025</v>
      </c>
      <c r="BA647" s="1">
        <v>17.350648549449527</v>
      </c>
      <c r="BB647" s="2">
        <v>1255997.2633895397</v>
      </c>
      <c r="BC647" s="2">
        <f t="shared" si="70"/>
        <v>-586554.35616147122</v>
      </c>
      <c r="BD647" s="292">
        <f t="shared" si="71"/>
        <v>1.9861608065465095</v>
      </c>
      <c r="BF647" s="170">
        <f t="shared" ref="BF647:BF710" si="73">AW647*Threshold-AY647</f>
        <v>285846.37055998761</v>
      </c>
      <c r="BG647" s="2">
        <f t="shared" ref="BG647:BG710" si="74">AZ647*Threshold-BB647</f>
        <v>1190186.4557689002</v>
      </c>
      <c r="BI647">
        <f t="shared" ref="BI647:BI710" si="75">IF(MAX($BF647:$BG647)=$BF647,1,0)</f>
        <v>0</v>
      </c>
      <c r="BJ647" s="95">
        <f t="shared" ref="BJ647:BJ710" si="76">IF(MAX($BF647:$BG647)=$BF647,0,1)</f>
        <v>1</v>
      </c>
      <c r="BP647" s="217">
        <f t="shared" si="72"/>
        <v>1190186.4557689002</v>
      </c>
    </row>
    <row r="648" spans="1:68">
      <c r="A648" s="11">
        <v>642</v>
      </c>
      <c r="C648" s="27">
        <v>0.9225055112180679</v>
      </c>
      <c r="D648" s="27">
        <v>7.7494488781932103E-2</v>
      </c>
      <c r="E648" s="27">
        <v>0</v>
      </c>
      <c r="F648" s="27">
        <v>0.86126722245231124</v>
      </c>
      <c r="G648" s="27">
        <v>0.13873277754768881</v>
      </c>
      <c r="H648" s="27">
        <v>0</v>
      </c>
      <c r="I648" s="27">
        <v>0.7478613564151958</v>
      </c>
      <c r="J648" s="27">
        <v>0.2521386435848042</v>
      </c>
      <c r="K648" s="27">
        <v>0</v>
      </c>
      <c r="L648" s="27">
        <v>0.1636136729493482</v>
      </c>
      <c r="M648" s="27">
        <v>0.5332392151819082</v>
      </c>
      <c r="N648" s="27">
        <v>0.3031471118687436</v>
      </c>
      <c r="O648" s="27">
        <v>-11.432733839351284</v>
      </c>
      <c r="P648" s="27">
        <v>3.4252822492501882E-2</v>
      </c>
      <c r="Q648" s="27">
        <v>4.5667882609825654E-5</v>
      </c>
      <c r="R648" s="27">
        <v>1.1202379335970083</v>
      </c>
      <c r="S648" s="154"/>
      <c r="T648">
        <v>1.0095749610175015</v>
      </c>
      <c r="U648">
        <v>2.2359116819272384</v>
      </c>
      <c r="V648">
        <v>2.6988645737128625</v>
      </c>
      <c r="W648">
        <v>1</v>
      </c>
      <c r="Y648" s="2">
        <v>319.29829010273005</v>
      </c>
      <c r="Z648" s="2">
        <v>3921.6729706270958</v>
      </c>
      <c r="AA648" s="2">
        <v>957.97508053277204</v>
      </c>
      <c r="AB648" s="2">
        <v>6713.0151282105808</v>
      </c>
      <c r="AC648" s="2">
        <v>315.21609252896297</v>
      </c>
      <c r="AD648" s="2">
        <v>4334.8077742372925</v>
      </c>
      <c r="AE648" s="2">
        <v>531.94374969301248</v>
      </c>
      <c r="AF648" s="2">
        <v>1204.5496917480648</v>
      </c>
      <c r="AG648" s="2">
        <v>70.533114717917883</v>
      </c>
      <c r="AH648" s="2">
        <v>777.86894526099775</v>
      </c>
      <c r="AI648" s="2">
        <v>617474.34093788604</v>
      </c>
      <c r="AJ648" s="2">
        <v>594977.72591327433</v>
      </c>
      <c r="AL648" s="27">
        <v>0.91861818310058241</v>
      </c>
      <c r="AM648" s="27">
        <v>0.91269540018252371</v>
      </c>
      <c r="AN648" s="27">
        <v>0.90740184112937272</v>
      </c>
      <c r="AO648" s="27">
        <v>0.87556350706745301</v>
      </c>
      <c r="AP648" s="27">
        <v>0.80568338980490917</v>
      </c>
      <c r="AQ648" s="27">
        <v>0.91861818310058241</v>
      </c>
      <c r="AR648" s="27">
        <v>0.91269540018252371</v>
      </c>
      <c r="AS648" s="27">
        <v>0.90740184112937272</v>
      </c>
      <c r="AT648" s="27">
        <v>0.87556350706745301</v>
      </c>
      <c r="AU648" s="27">
        <v>0.80568338980490917</v>
      </c>
      <c r="AW648" s="1">
        <v>14.065080821637515</v>
      </c>
      <c r="AX648" s="1">
        <v>15.775872208939681</v>
      </c>
      <c r="AY648" s="2">
        <v>2484770.8294869051</v>
      </c>
      <c r="AZ648" s="1">
        <v>15.743694002879829</v>
      </c>
      <c r="BA648" s="1">
        <v>17.500255412172308</v>
      </c>
      <c r="BB648" s="2">
        <v>1929927.3548572462</v>
      </c>
      <c r="BC648" s="2">
        <f t="shared" ref="BC648:BC711" si="77">BB648-AY648</f>
        <v>-554843.47462965897</v>
      </c>
      <c r="BD648" s="292">
        <f t="shared" ref="BD648:BD711" si="78">AZ648-AW648</f>
        <v>1.678613181242314</v>
      </c>
      <c r="BF648" s="170">
        <f t="shared" si="73"/>
        <v>-234357.89802490268</v>
      </c>
      <c r="BG648" s="2">
        <f t="shared" si="74"/>
        <v>589063.68560352665</v>
      </c>
      <c r="BI648">
        <f t="shared" si="75"/>
        <v>0</v>
      </c>
      <c r="BJ648" s="95">
        <f t="shared" si="76"/>
        <v>1</v>
      </c>
      <c r="BP648" s="217">
        <f t="shared" ref="BP648:BP711" si="79">MAX(BF648,BG648)</f>
        <v>589063.68560352665</v>
      </c>
    </row>
    <row r="649" spans="1:68">
      <c r="A649" s="11">
        <v>643</v>
      </c>
      <c r="C649" s="27">
        <v>0.92125958771862604</v>
      </c>
      <c r="D649" s="27">
        <v>7.8740412281373962E-2</v>
      </c>
      <c r="E649" s="27">
        <v>0</v>
      </c>
      <c r="F649" s="27">
        <v>0.85634225083679338</v>
      </c>
      <c r="G649" s="27">
        <v>0.14365774916320662</v>
      </c>
      <c r="H649" s="27">
        <v>0</v>
      </c>
      <c r="I649" s="27">
        <v>0.75502028195206305</v>
      </c>
      <c r="J649" s="27">
        <v>0.244979718047937</v>
      </c>
      <c r="K649" s="27">
        <v>0</v>
      </c>
      <c r="L649" s="27">
        <v>0.14734193504669846</v>
      </c>
      <c r="M649" s="27">
        <v>0.52102382426337868</v>
      </c>
      <c r="N649" s="27">
        <v>0.33163424068992287</v>
      </c>
      <c r="O649" s="27">
        <v>-10.751006572476417</v>
      </c>
      <c r="P649" s="27">
        <v>3.1627253432739109E-2</v>
      </c>
      <c r="Q649" s="27">
        <v>8.0870461166951513E-5</v>
      </c>
      <c r="R649" s="27">
        <v>1.0435533375603701</v>
      </c>
      <c r="S649" s="154"/>
      <c r="T649">
        <v>0.94495758503350058</v>
      </c>
      <c r="U649">
        <v>2.2202548087345351</v>
      </c>
      <c r="V649">
        <v>2.8453153290157642</v>
      </c>
      <c r="W649">
        <v>1</v>
      </c>
      <c r="Y649" s="2">
        <v>1745.3992019299637</v>
      </c>
      <c r="Z649" s="2">
        <v>17569.531536386752</v>
      </c>
      <c r="AA649" s="2">
        <v>2456.3242479166979</v>
      </c>
      <c r="AB649" s="2">
        <v>4089.7931004907073</v>
      </c>
      <c r="AC649" s="2">
        <v>217.01700131138392</v>
      </c>
      <c r="AD649" s="2">
        <v>236.81940074429539</v>
      </c>
      <c r="AE649" s="2">
        <v>588.38297428739838</v>
      </c>
      <c r="AF649" s="2">
        <v>809.92636253382659</v>
      </c>
      <c r="AG649" s="2">
        <v>144.06277729130639</v>
      </c>
      <c r="AH649" s="2">
        <v>266.0378121352577</v>
      </c>
      <c r="AI649" s="2">
        <v>406122.25430727546</v>
      </c>
      <c r="AJ649" s="2">
        <v>371957.3644389009</v>
      </c>
      <c r="AL649" s="27">
        <v>0.91310747171540896</v>
      </c>
      <c r="AM649" s="27">
        <v>0.91240499619289006</v>
      </c>
      <c r="AN649" s="27">
        <v>0.90439888230431409</v>
      </c>
      <c r="AO649" s="27">
        <v>0.8513368871489152</v>
      </c>
      <c r="AP649" s="27">
        <v>0.80447659172586894</v>
      </c>
      <c r="AQ649" s="27">
        <v>0.91310747171540896</v>
      </c>
      <c r="AR649" s="27">
        <v>0.91240499619289006</v>
      </c>
      <c r="AS649" s="27">
        <v>0.90439888230431409</v>
      </c>
      <c r="AT649" s="27">
        <v>0.8513368871489152</v>
      </c>
      <c r="AU649" s="27">
        <v>0.80447659172586894</v>
      </c>
      <c r="AW649" s="1">
        <v>14.142276681595499</v>
      </c>
      <c r="AX649" s="1">
        <v>15.940333177525725</v>
      </c>
      <c r="AY649" s="2">
        <v>1812144.6183348903</v>
      </c>
      <c r="AZ649" s="1">
        <v>15.657553657017631</v>
      </c>
      <c r="BA649" s="1">
        <v>17.495066143488582</v>
      </c>
      <c r="BB649" s="2">
        <v>1241753.4854754701</v>
      </c>
      <c r="BC649" s="2">
        <f t="shared" si="77"/>
        <v>-570391.13285942026</v>
      </c>
      <c r="BD649" s="292">
        <f t="shared" si="78"/>
        <v>1.5152769754221325</v>
      </c>
      <c r="BF649" s="170">
        <f t="shared" si="73"/>
        <v>450619.65072038956</v>
      </c>
      <c r="BG649" s="2">
        <f t="shared" si="74"/>
        <v>1263455.0996473508</v>
      </c>
      <c r="BI649">
        <f t="shared" si="75"/>
        <v>0</v>
      </c>
      <c r="BJ649" s="95">
        <f t="shared" si="76"/>
        <v>1</v>
      </c>
      <c r="BP649" s="217">
        <f t="shared" si="79"/>
        <v>1263455.0996473508</v>
      </c>
    </row>
    <row r="650" spans="1:68">
      <c r="A650" s="11">
        <v>644</v>
      </c>
      <c r="C650" s="27">
        <v>0.92244121916209132</v>
      </c>
      <c r="D650" s="27">
        <v>7.7558780837908681E-2</v>
      </c>
      <c r="E650" s="27">
        <v>0</v>
      </c>
      <c r="F650" s="27">
        <v>0.85696858133246712</v>
      </c>
      <c r="G650" s="27">
        <v>0.14303141866753288</v>
      </c>
      <c r="H650" s="27">
        <v>0</v>
      </c>
      <c r="I650" s="27">
        <v>0.75650508756990553</v>
      </c>
      <c r="J650" s="27">
        <v>0.24349491243009452</v>
      </c>
      <c r="K650" s="27">
        <v>0</v>
      </c>
      <c r="L650" s="27">
        <v>0.16617185307805099</v>
      </c>
      <c r="M650" s="27">
        <v>0.47128256160276927</v>
      </c>
      <c r="N650" s="27">
        <v>0.36254558531917974</v>
      </c>
      <c r="O650" s="27">
        <v>-11.210816274516773</v>
      </c>
      <c r="P650" s="27">
        <v>3.399914744401291E-2</v>
      </c>
      <c r="Q650" s="27">
        <v>5.6410678522974694E-5</v>
      </c>
      <c r="R650" s="27">
        <v>1.0849542874898175</v>
      </c>
      <c r="S650" s="154"/>
      <c r="T650">
        <v>0.97685863411953822</v>
      </c>
      <c r="U650">
        <v>2.3453564102797357</v>
      </c>
      <c r="V650">
        <v>2.7697131582215047</v>
      </c>
      <c r="W650">
        <v>1</v>
      </c>
      <c r="Y650" s="2">
        <v>113.9722502692166</v>
      </c>
      <c r="Z650" s="2">
        <v>5652.7894175663068</v>
      </c>
      <c r="AA650" s="2">
        <v>1581.2565069558896</v>
      </c>
      <c r="AB650" s="2">
        <v>4732.7866965266967</v>
      </c>
      <c r="AC650" s="2">
        <v>7406.0187572377499</v>
      </c>
      <c r="AD650" s="2">
        <v>97.836752574117625</v>
      </c>
      <c r="AE650" s="2">
        <v>463.18426322456003</v>
      </c>
      <c r="AF650" s="2">
        <v>1230.0816058468072</v>
      </c>
      <c r="AG650" s="2">
        <v>88.898230943072548</v>
      </c>
      <c r="AH650" s="2">
        <v>293.72610367017347</v>
      </c>
      <c r="AI650" s="2">
        <v>445594.78290187957</v>
      </c>
      <c r="AJ650" s="2">
        <v>393130.1458572796</v>
      </c>
      <c r="AL650" s="27">
        <v>0.91591219882191055</v>
      </c>
      <c r="AM650" s="27">
        <v>0.91495854799177978</v>
      </c>
      <c r="AN650" s="27">
        <v>0.90432420994061635</v>
      </c>
      <c r="AO650" s="27">
        <v>0.85244718128613683</v>
      </c>
      <c r="AP650" s="27">
        <v>0.76778006580017466</v>
      </c>
      <c r="AQ650" s="27">
        <v>0.91591219882191055</v>
      </c>
      <c r="AR650" s="27">
        <v>0.91495854799177978</v>
      </c>
      <c r="AS650" s="27">
        <v>0.90432420994061635</v>
      </c>
      <c r="AT650" s="27">
        <v>0.85244718128613683</v>
      </c>
      <c r="AU650" s="27">
        <v>0.76778006580017466</v>
      </c>
      <c r="AW650" s="1">
        <v>13.744512132995142</v>
      </c>
      <c r="AX650" s="1">
        <v>15.566294083397402</v>
      </c>
      <c r="AY650" s="2">
        <v>1681757.5031651894</v>
      </c>
      <c r="AZ650" s="1">
        <v>15.482458879072761</v>
      </c>
      <c r="BA650" s="1">
        <v>17.324459782041512</v>
      </c>
      <c r="BB650" s="2">
        <v>1187574.7780602707</v>
      </c>
      <c r="BC650" s="2">
        <f t="shared" si="77"/>
        <v>-494182.7251049187</v>
      </c>
      <c r="BD650" s="292">
        <f t="shared" si="78"/>
        <v>1.7379467460776183</v>
      </c>
      <c r="BF650" s="170">
        <f t="shared" si="73"/>
        <v>517364.43811403331</v>
      </c>
      <c r="BG650" s="2">
        <f t="shared" si="74"/>
        <v>1289618.642591371</v>
      </c>
      <c r="BI650">
        <f t="shared" si="75"/>
        <v>0</v>
      </c>
      <c r="BJ650" s="95">
        <f t="shared" si="76"/>
        <v>1</v>
      </c>
      <c r="BP650" s="217">
        <f t="shared" si="79"/>
        <v>1289618.642591371</v>
      </c>
    </row>
    <row r="651" spans="1:68">
      <c r="A651" s="11">
        <v>645</v>
      </c>
      <c r="C651" s="27">
        <v>0.92302715720995288</v>
      </c>
      <c r="D651" s="27">
        <v>7.6972842790047125E-2</v>
      </c>
      <c r="E651" s="27">
        <v>0</v>
      </c>
      <c r="F651" s="27">
        <v>0.85386540116583964</v>
      </c>
      <c r="G651" s="27">
        <v>0.14613459883416036</v>
      </c>
      <c r="H651" s="27">
        <v>0</v>
      </c>
      <c r="I651" s="27">
        <v>0.7426785912342817</v>
      </c>
      <c r="J651" s="27">
        <v>0.2573214087657183</v>
      </c>
      <c r="K651" s="27">
        <v>0</v>
      </c>
      <c r="L651" s="27">
        <v>0.18516469105856542</v>
      </c>
      <c r="M651" s="27">
        <v>0.44438452468235401</v>
      </c>
      <c r="N651" s="27">
        <v>0.37045078425908057</v>
      </c>
      <c r="O651" s="27">
        <v>-11.535618379035467</v>
      </c>
      <c r="P651" s="27">
        <v>3.6589207385963982E-2</v>
      </c>
      <c r="Q651" s="27">
        <v>4.5451184829486672E-5</v>
      </c>
      <c r="R651" s="27">
        <v>1.1120089944572142</v>
      </c>
      <c r="S651" s="154"/>
      <c r="T651">
        <v>1.134412437146856</v>
      </c>
      <c r="U651">
        <v>2.3049554828091945</v>
      </c>
      <c r="V651">
        <v>2.9404015052337509</v>
      </c>
      <c r="W651">
        <v>1</v>
      </c>
      <c r="Y651" s="2">
        <v>773.16383435763726</v>
      </c>
      <c r="Z651" s="2">
        <v>381.06886368014631</v>
      </c>
      <c r="AA651" s="2">
        <v>2642.5921257809305</v>
      </c>
      <c r="AB651" s="2">
        <v>11151.441586759081</v>
      </c>
      <c r="AC651" s="2">
        <v>194.77741335698914</v>
      </c>
      <c r="AD651" s="2">
        <v>148.76534227916287</v>
      </c>
      <c r="AE651" s="2">
        <v>532.20024890011132</v>
      </c>
      <c r="AF651" s="2">
        <v>1126.6897407845311</v>
      </c>
      <c r="AG651" s="2">
        <v>122.22700290119793</v>
      </c>
      <c r="AH651" s="2">
        <v>338.6442217065989</v>
      </c>
      <c r="AI651" s="2">
        <v>517505.01991779037</v>
      </c>
      <c r="AJ651" s="2">
        <v>496401.37206119293</v>
      </c>
      <c r="AL651" s="27">
        <v>0.9201217492750049</v>
      </c>
      <c r="AM651" s="27">
        <v>0.90705711119634791</v>
      </c>
      <c r="AN651" s="27">
        <v>0.91124075494301005</v>
      </c>
      <c r="AO651" s="27">
        <v>0.87315152864606849</v>
      </c>
      <c r="AP651" s="27">
        <v>0.65345936994869303</v>
      </c>
      <c r="AQ651" s="27">
        <v>0.9201217492750049</v>
      </c>
      <c r="AR651" s="27">
        <v>0.90705711119634791</v>
      </c>
      <c r="AS651" s="27">
        <v>0.91124075494301005</v>
      </c>
      <c r="AT651" s="27">
        <v>0.87315152864606849</v>
      </c>
      <c r="AU651" s="27">
        <v>0.65345936994869303</v>
      </c>
      <c r="AW651" s="1">
        <v>12.83335545724956</v>
      </c>
      <c r="AX651" s="1">
        <v>14.936209620799326</v>
      </c>
      <c r="AY651" s="2">
        <v>1945293.3695474332</v>
      </c>
      <c r="AZ651" s="1">
        <v>15.123747561844924</v>
      </c>
      <c r="BA651" s="1">
        <v>17.149416100130161</v>
      </c>
      <c r="BB651" s="2">
        <v>1531409.7087728286</v>
      </c>
      <c r="BC651" s="2">
        <f t="shared" si="77"/>
        <v>-413883.66077460465</v>
      </c>
      <c r="BD651" s="292">
        <f t="shared" si="78"/>
        <v>2.2903921045953641</v>
      </c>
      <c r="BF651" s="170">
        <f t="shared" si="73"/>
        <v>108043.50361249642</v>
      </c>
      <c r="BG651" s="2">
        <f t="shared" si="74"/>
        <v>888389.90112235933</v>
      </c>
      <c r="BI651">
        <f t="shared" si="75"/>
        <v>0</v>
      </c>
      <c r="BJ651" s="95">
        <f t="shared" si="76"/>
        <v>1</v>
      </c>
      <c r="BP651" s="217">
        <f t="shared" si="79"/>
        <v>888389.90112235933</v>
      </c>
    </row>
    <row r="652" spans="1:68">
      <c r="A652" s="11">
        <v>646</v>
      </c>
      <c r="C652" s="27">
        <v>0.92515492279079359</v>
      </c>
      <c r="D652" s="27">
        <v>7.484507720920644E-2</v>
      </c>
      <c r="E652" s="27">
        <v>0</v>
      </c>
      <c r="F652" s="27">
        <v>0.86379389915303273</v>
      </c>
      <c r="G652" s="27">
        <v>0.13620610084696733</v>
      </c>
      <c r="H652" s="27">
        <v>0</v>
      </c>
      <c r="I652" s="27">
        <v>0.74393595662429635</v>
      </c>
      <c r="J652" s="27">
        <v>0.25606404337570365</v>
      </c>
      <c r="K652" s="27">
        <v>0</v>
      </c>
      <c r="L652" s="27">
        <v>0.13972214534533617</v>
      </c>
      <c r="M652" s="27">
        <v>0.49567854643881537</v>
      </c>
      <c r="N652" s="27">
        <v>0.36459930821584846</v>
      </c>
      <c r="O652" s="27">
        <v>-11.132990487176631</v>
      </c>
      <c r="P652" s="27">
        <v>3.3953026689544634E-2</v>
      </c>
      <c r="Q652" s="27">
        <v>6.0858237962950105E-5</v>
      </c>
      <c r="R652" s="27">
        <v>1.0766511375259729</v>
      </c>
      <c r="S652" s="154"/>
      <c r="T652">
        <v>1.0972223985837819</v>
      </c>
      <c r="U652">
        <v>2.2983390484580024</v>
      </c>
      <c r="V652">
        <v>2.9835421700935814</v>
      </c>
      <c r="W652">
        <v>1</v>
      </c>
      <c r="Y652" s="2">
        <v>555.84342848674873</v>
      </c>
      <c r="Z652" s="2">
        <v>347.68295913371765</v>
      </c>
      <c r="AA652" s="2">
        <v>2799.6379019958117</v>
      </c>
      <c r="AB652" s="2">
        <v>1631.5102503258738</v>
      </c>
      <c r="AC652" s="2">
        <v>548.64029345034146</v>
      </c>
      <c r="AD652" s="2">
        <v>869.89723503141533</v>
      </c>
      <c r="AE652" s="2">
        <v>543.02558840142353</v>
      </c>
      <c r="AF652" s="2">
        <v>966.07960580039332</v>
      </c>
      <c r="AG652" s="2">
        <v>90.53190842761154</v>
      </c>
      <c r="AH652" s="2">
        <v>190.12469462338632</v>
      </c>
      <c r="AI652" s="2">
        <v>498288.56127959926</v>
      </c>
      <c r="AJ652" s="2">
        <v>466295.60702216893</v>
      </c>
      <c r="AL652" s="27">
        <v>0.91710898950269082</v>
      </c>
      <c r="AM652" s="27">
        <v>0.92214304021428173</v>
      </c>
      <c r="AN652" s="27">
        <v>0.90572180201150476</v>
      </c>
      <c r="AO652" s="27">
        <v>0.8664510813073838</v>
      </c>
      <c r="AP652" s="27">
        <v>0.67895644072748795</v>
      </c>
      <c r="AQ652" s="27">
        <v>0.91710898950269082</v>
      </c>
      <c r="AR652" s="27">
        <v>0.92214304021428173</v>
      </c>
      <c r="AS652" s="27">
        <v>0.90572180201150476</v>
      </c>
      <c r="AT652" s="27">
        <v>0.8664510813073838</v>
      </c>
      <c r="AU652" s="27">
        <v>0.67895644072748795</v>
      </c>
      <c r="AW652" s="1">
        <v>13.30763533871778</v>
      </c>
      <c r="AX652" s="1">
        <v>15.399563847991455</v>
      </c>
      <c r="AY652" s="2">
        <v>1905822.8164726766</v>
      </c>
      <c r="AZ652" s="1">
        <v>15.457270759659451</v>
      </c>
      <c r="BA652" s="1">
        <v>17.45495480117243</v>
      </c>
      <c r="BB652" s="2">
        <v>1356595.2832000621</v>
      </c>
      <c r="BC652" s="2">
        <f t="shared" si="77"/>
        <v>-549227.53327261447</v>
      </c>
      <c r="BD652" s="292">
        <f t="shared" si="78"/>
        <v>2.1496354209416708</v>
      </c>
      <c r="BF652" s="170">
        <f t="shared" si="73"/>
        <v>223398.8377221683</v>
      </c>
      <c r="BG652" s="2">
        <f t="shared" si="74"/>
        <v>1116568.0383454503</v>
      </c>
      <c r="BI652">
        <f t="shared" si="75"/>
        <v>0</v>
      </c>
      <c r="BJ652" s="95">
        <f t="shared" si="76"/>
        <v>1</v>
      </c>
      <c r="BP652" s="217">
        <f t="shared" si="79"/>
        <v>1116568.0383454503</v>
      </c>
    </row>
    <row r="653" spans="1:68">
      <c r="A653" s="11">
        <v>647</v>
      </c>
      <c r="C653" s="27">
        <v>0.92438472785978998</v>
      </c>
      <c r="D653" s="27">
        <v>7.5615272140210049E-2</v>
      </c>
      <c r="E653" s="27">
        <v>0</v>
      </c>
      <c r="F653" s="27">
        <v>0.85445498505483419</v>
      </c>
      <c r="G653" s="27">
        <v>0.14554501494516581</v>
      </c>
      <c r="H653" s="27">
        <v>0</v>
      </c>
      <c r="I653" s="27">
        <v>0.74890658174013025</v>
      </c>
      <c r="J653" s="27">
        <v>0.25109341825986975</v>
      </c>
      <c r="K653" s="27">
        <v>0</v>
      </c>
      <c r="L653" s="27">
        <v>0.16118772543745569</v>
      </c>
      <c r="M653" s="27">
        <v>0.47054305482680642</v>
      </c>
      <c r="N653" s="27">
        <v>0.36826921973573795</v>
      </c>
      <c r="O653" s="27">
        <v>-11.402869143280878</v>
      </c>
      <c r="P653" s="27">
        <v>3.7935025139237862E-2</v>
      </c>
      <c r="Q653" s="27">
        <v>5.4921916171995472E-5</v>
      </c>
      <c r="R653" s="27">
        <v>1.0799639653212632</v>
      </c>
      <c r="S653" s="154"/>
      <c r="T653">
        <v>0.93285885693266524</v>
      </c>
      <c r="U653">
        <v>2.1787130746881194</v>
      </c>
      <c r="V653">
        <v>2.9278631367238019</v>
      </c>
      <c r="W653">
        <v>1</v>
      </c>
      <c r="Y653" s="2">
        <v>781.63585363035293</v>
      </c>
      <c r="Z653" s="2">
        <v>12781.598517734918</v>
      </c>
      <c r="AA653" s="2">
        <v>701.66119560030779</v>
      </c>
      <c r="AB653" s="2">
        <v>636.94081180567571</v>
      </c>
      <c r="AC653" s="2">
        <v>446.42567460753082</v>
      </c>
      <c r="AD653" s="2">
        <v>1281.4190360741445</v>
      </c>
      <c r="AE653" s="2">
        <v>583.54602654298617</v>
      </c>
      <c r="AF653" s="2">
        <v>1192.5343668802936</v>
      </c>
      <c r="AG653" s="2">
        <v>195.48848271870585</v>
      </c>
      <c r="AH653" s="2">
        <v>432.73523556008092</v>
      </c>
      <c r="AI653" s="2">
        <v>353170.24841751729</v>
      </c>
      <c r="AJ653" s="2">
        <v>326360.39580471854</v>
      </c>
      <c r="AL653" s="27">
        <v>0.91335968033778525</v>
      </c>
      <c r="AM653" s="27">
        <v>0.91431337434014459</v>
      </c>
      <c r="AN653" s="27">
        <v>0.90958196581845852</v>
      </c>
      <c r="AO653" s="27">
        <v>0.88775251131953836</v>
      </c>
      <c r="AP653" s="27">
        <v>0.68509757937008731</v>
      </c>
      <c r="AQ653" s="27">
        <v>0.91335968033778525</v>
      </c>
      <c r="AR653" s="27">
        <v>0.91431337434014459</v>
      </c>
      <c r="AS653" s="27">
        <v>0.90958196581845852</v>
      </c>
      <c r="AT653" s="27">
        <v>0.88775251131953836</v>
      </c>
      <c r="AU653" s="27">
        <v>0.68509757937008731</v>
      </c>
      <c r="AW653" s="1">
        <v>13.755174275599153</v>
      </c>
      <c r="AX653" s="1">
        <v>15.839548234400915</v>
      </c>
      <c r="AY653" s="2">
        <v>1427032.4726944317</v>
      </c>
      <c r="AZ653" s="1">
        <v>15.325910494058249</v>
      </c>
      <c r="BA653" s="1">
        <v>17.359840100454928</v>
      </c>
      <c r="BB653" s="2">
        <v>964222.71760956745</v>
      </c>
      <c r="BC653" s="2">
        <f t="shared" si="77"/>
        <v>-462809.75508486421</v>
      </c>
      <c r="BD653" s="292">
        <f t="shared" si="78"/>
        <v>1.5707362184590963</v>
      </c>
      <c r="BF653" s="170">
        <f t="shared" si="73"/>
        <v>773795.41140143271</v>
      </c>
      <c r="BG653" s="2">
        <f t="shared" si="74"/>
        <v>1487922.9614397525</v>
      </c>
      <c r="BI653">
        <f t="shared" si="75"/>
        <v>0</v>
      </c>
      <c r="BJ653" s="95">
        <f t="shared" si="76"/>
        <v>1</v>
      </c>
      <c r="BP653" s="217">
        <f t="shared" si="79"/>
        <v>1487922.9614397525</v>
      </c>
    </row>
    <row r="654" spans="1:68">
      <c r="A654" s="11">
        <v>648</v>
      </c>
      <c r="C654" s="27">
        <v>0.92325232169328841</v>
      </c>
      <c r="D654" s="27">
        <v>7.6747678306711628E-2</v>
      </c>
      <c r="E654" s="27">
        <v>0</v>
      </c>
      <c r="F654" s="27">
        <v>0.85564970058633982</v>
      </c>
      <c r="G654" s="27">
        <v>0.14435029941366018</v>
      </c>
      <c r="H654" s="27">
        <v>0</v>
      </c>
      <c r="I654" s="27">
        <v>0.75075774489934843</v>
      </c>
      <c r="J654" s="27">
        <v>0.24924225510065154</v>
      </c>
      <c r="K654" s="27">
        <v>0</v>
      </c>
      <c r="L654" s="27">
        <v>0.10753018687327737</v>
      </c>
      <c r="M654" s="27">
        <v>0.54262888327131531</v>
      </c>
      <c r="N654" s="27">
        <v>0.34984092985540732</v>
      </c>
      <c r="O654" s="27">
        <v>-11.058319409433862</v>
      </c>
      <c r="P654" s="27">
        <v>3.3879434413477377E-2</v>
      </c>
      <c r="Q654" s="27">
        <v>6.5374180955186817E-5</v>
      </c>
      <c r="R654" s="27">
        <v>1.0668759839438458</v>
      </c>
      <c r="S654" s="154"/>
      <c r="T654">
        <v>1.0049552208297747</v>
      </c>
      <c r="U654">
        <v>2.2126898749137252</v>
      </c>
      <c r="V654">
        <v>2.8177886212524763</v>
      </c>
      <c r="W654">
        <v>1</v>
      </c>
      <c r="Y654" s="2">
        <v>151.33801778850076</v>
      </c>
      <c r="Z654" s="2">
        <v>3157.7986914727421</v>
      </c>
      <c r="AA654" s="2">
        <v>967.89737441125385</v>
      </c>
      <c r="AB654" s="2">
        <v>20158.769485009765</v>
      </c>
      <c r="AC654" s="2">
        <v>2457.4073600500615</v>
      </c>
      <c r="AD654" s="2">
        <v>3195.4952319940098</v>
      </c>
      <c r="AE654" s="2">
        <v>596.61547835335671</v>
      </c>
      <c r="AF654" s="2">
        <v>1161.617057204694</v>
      </c>
      <c r="AG654" s="2">
        <v>195.77876645149368</v>
      </c>
      <c r="AH654" s="2">
        <v>570.02888252014384</v>
      </c>
      <c r="AI654" s="2">
        <v>444875.07486154197</v>
      </c>
      <c r="AJ654" s="2">
        <v>412799.59465604846</v>
      </c>
      <c r="AL654" s="27">
        <v>0.92094146757016015</v>
      </c>
      <c r="AM654" s="27">
        <v>0.91757975471634023</v>
      </c>
      <c r="AN654" s="27">
        <v>0.90087180813077739</v>
      </c>
      <c r="AO654" s="27">
        <v>0.87052981240194183</v>
      </c>
      <c r="AP654" s="27">
        <v>0.64681035884410565</v>
      </c>
      <c r="AQ654" s="27">
        <v>0.92094146757016015</v>
      </c>
      <c r="AR654" s="27">
        <v>0.91757975471634023</v>
      </c>
      <c r="AS654" s="27">
        <v>0.90087180813077739</v>
      </c>
      <c r="AT654" s="27">
        <v>0.87052981240194183</v>
      </c>
      <c r="AU654" s="27">
        <v>0.64681035884410565</v>
      </c>
      <c r="AW654" s="1">
        <v>13.553010490845008</v>
      </c>
      <c r="AX654" s="1">
        <v>15.786370809934096</v>
      </c>
      <c r="AY654" s="2">
        <v>1807268.590000899</v>
      </c>
      <c r="AZ654" s="1">
        <v>15.363313032147644</v>
      </c>
      <c r="BA654" s="1">
        <v>17.482493013551156</v>
      </c>
      <c r="BB654" s="2">
        <v>1646108.3828964927</v>
      </c>
      <c r="BC654" s="2">
        <f t="shared" si="77"/>
        <v>-161160.20710440632</v>
      </c>
      <c r="BD654" s="292">
        <f t="shared" si="78"/>
        <v>1.8103025413026366</v>
      </c>
      <c r="BF654" s="170">
        <f t="shared" si="73"/>
        <v>361213.08853430208</v>
      </c>
      <c r="BG654" s="2">
        <f t="shared" si="74"/>
        <v>812021.70224713022</v>
      </c>
      <c r="BI654">
        <f t="shared" si="75"/>
        <v>0</v>
      </c>
      <c r="BJ654" s="95">
        <f t="shared" si="76"/>
        <v>1</v>
      </c>
      <c r="BP654" s="217">
        <f t="shared" si="79"/>
        <v>812021.70224713022</v>
      </c>
    </row>
    <row r="655" spans="1:68">
      <c r="A655" s="11">
        <v>649</v>
      </c>
      <c r="C655" s="27">
        <v>0.92466249171539749</v>
      </c>
      <c r="D655" s="27">
        <v>7.5337508284602506E-2</v>
      </c>
      <c r="E655" s="27">
        <v>0</v>
      </c>
      <c r="F655" s="27">
        <v>0.86001748548489743</v>
      </c>
      <c r="G655" s="27">
        <v>0.13998251451510263</v>
      </c>
      <c r="H655" s="27">
        <v>0</v>
      </c>
      <c r="I655" s="27">
        <v>0.74801852138144431</v>
      </c>
      <c r="J655" s="27">
        <v>0.25198147861855569</v>
      </c>
      <c r="K655" s="27">
        <v>0</v>
      </c>
      <c r="L655" s="27">
        <v>0.12571723358539022</v>
      </c>
      <c r="M655" s="27">
        <v>0.47297945197865832</v>
      </c>
      <c r="N655" s="27">
        <v>0.40130331443595146</v>
      </c>
      <c r="O655" s="27">
        <v>-11.245739677069716</v>
      </c>
      <c r="P655" s="27">
        <v>3.7288288682781917E-2</v>
      </c>
      <c r="Q655" s="27">
        <v>6.2544543917562008E-5</v>
      </c>
      <c r="R655" s="27">
        <v>1.068003789309705</v>
      </c>
      <c r="S655" s="154"/>
      <c r="T655">
        <v>1.0845155937565634</v>
      </c>
      <c r="U655">
        <v>2.377340399179201</v>
      </c>
      <c r="V655">
        <v>3.2703634644173398</v>
      </c>
      <c r="W655">
        <v>1</v>
      </c>
      <c r="Y655" s="2">
        <v>633.87233474436562</v>
      </c>
      <c r="Z655" s="2">
        <v>7049.9677579105482</v>
      </c>
      <c r="AA655" s="2">
        <v>2813.302627528994</v>
      </c>
      <c r="AB655" s="2">
        <v>741.01764161178403</v>
      </c>
      <c r="AC655" s="2">
        <v>564.05506823818178</v>
      </c>
      <c r="AD655" s="2">
        <v>1001.8410444913358</v>
      </c>
      <c r="AE655" s="2">
        <v>562.27609831928419</v>
      </c>
      <c r="AF655" s="2">
        <v>861.46751465132388</v>
      </c>
      <c r="AG655" s="2">
        <v>75.944264878208287</v>
      </c>
      <c r="AH655" s="2">
        <v>543.13066718141556</v>
      </c>
      <c r="AI655" s="2">
        <v>598915.88397746149</v>
      </c>
      <c r="AJ655" s="2">
        <v>558548.48204234161</v>
      </c>
      <c r="AL655" s="27">
        <v>0.90664319031709173</v>
      </c>
      <c r="AM655" s="27">
        <v>0.91842631501735228</v>
      </c>
      <c r="AN655" s="27">
        <v>0.90952885736896649</v>
      </c>
      <c r="AO655" s="27">
        <v>0.87666781612867783</v>
      </c>
      <c r="AP655" s="27">
        <v>0.62685939808640179</v>
      </c>
      <c r="AQ655" s="27">
        <v>0.90664319031709173</v>
      </c>
      <c r="AR655" s="27">
        <v>0.91842631501735228</v>
      </c>
      <c r="AS655" s="27">
        <v>0.90952885736896649</v>
      </c>
      <c r="AT655" s="27">
        <v>0.87666781612867783</v>
      </c>
      <c r="AU655" s="27">
        <v>0.62685939808640179</v>
      </c>
      <c r="AW655" s="1">
        <v>12.864119519794775</v>
      </c>
      <c r="AX655" s="1">
        <v>15.168953510271578</v>
      </c>
      <c r="AY655" s="2">
        <v>2308101.4372371067</v>
      </c>
      <c r="AZ655" s="1">
        <v>15.138548226704781</v>
      </c>
      <c r="BA655" s="1">
        <v>17.317573738199084</v>
      </c>
      <c r="BB655" s="2">
        <v>1550056.039241123</v>
      </c>
      <c r="BC655" s="2">
        <f t="shared" si="77"/>
        <v>-758045.39799598372</v>
      </c>
      <c r="BD655" s="292">
        <f t="shared" si="78"/>
        <v>2.2744287069100064</v>
      </c>
      <c r="BF655" s="170">
        <f t="shared" si="73"/>
        <v>-249842.3140699428</v>
      </c>
      <c r="BG655" s="2">
        <f t="shared" si="74"/>
        <v>872111.67703164183</v>
      </c>
      <c r="BI655">
        <f t="shared" si="75"/>
        <v>0</v>
      </c>
      <c r="BJ655" s="95">
        <f t="shared" si="76"/>
        <v>1</v>
      </c>
      <c r="BP655" s="217">
        <f t="shared" si="79"/>
        <v>872111.67703164183</v>
      </c>
    </row>
    <row r="656" spans="1:68">
      <c r="A656" s="11">
        <v>650</v>
      </c>
      <c r="C656" s="27">
        <v>0.92294096725150632</v>
      </c>
      <c r="D656" s="27">
        <v>7.7059032748493683E-2</v>
      </c>
      <c r="E656" s="27">
        <v>0</v>
      </c>
      <c r="F656" s="27">
        <v>0.86425231056104035</v>
      </c>
      <c r="G656" s="27">
        <v>0.13574768943895962</v>
      </c>
      <c r="H656" s="27">
        <v>0</v>
      </c>
      <c r="I656" s="27">
        <v>0.74586460905043006</v>
      </c>
      <c r="J656" s="27">
        <v>0.25413539094956994</v>
      </c>
      <c r="K656" s="27">
        <v>0</v>
      </c>
      <c r="L656" s="27">
        <v>0.12111440591754064</v>
      </c>
      <c r="M656" s="27">
        <v>0.46226143341243198</v>
      </c>
      <c r="N656" s="27">
        <v>0.41662416067002739</v>
      </c>
      <c r="O656" s="27">
        <v>-11.340467656336571</v>
      </c>
      <c r="P656" s="27">
        <v>3.6459501880000231E-2</v>
      </c>
      <c r="Q656" s="27">
        <v>5.4945510753996365E-5</v>
      </c>
      <c r="R656" s="27">
        <v>1.0882879165322419</v>
      </c>
      <c r="S656" s="154"/>
      <c r="T656">
        <v>0.97589756797190486</v>
      </c>
      <c r="U656">
        <v>2.2778579788987297</v>
      </c>
      <c r="V656">
        <v>3.0505851073461345</v>
      </c>
      <c r="W656">
        <v>1</v>
      </c>
      <c r="Y656" s="2">
        <v>201.65489657757567</v>
      </c>
      <c r="Z656" s="2">
        <v>437.61010906648363</v>
      </c>
      <c r="AA656" s="2">
        <v>1815.6313387586108</v>
      </c>
      <c r="AB656" s="2">
        <v>5919.2414388050474</v>
      </c>
      <c r="AC656" s="2">
        <v>5180.7576356022155</v>
      </c>
      <c r="AD656" s="2">
        <v>3815.4793341779205</v>
      </c>
      <c r="AE656" s="2">
        <v>483.32766685277238</v>
      </c>
      <c r="AF656" s="2">
        <v>913.1675229909747</v>
      </c>
      <c r="AG656" s="2">
        <v>85.60756866570965</v>
      </c>
      <c r="AH656" s="2">
        <v>577.91186370013634</v>
      </c>
      <c r="AI656" s="2">
        <v>373351.09938545217</v>
      </c>
      <c r="AJ656" s="2">
        <v>342248.2522856979</v>
      </c>
      <c r="AL656" s="27">
        <v>0.9178238652014814</v>
      </c>
      <c r="AM656" s="27">
        <v>0.90778379792579666</v>
      </c>
      <c r="AN656" s="27">
        <v>0.91845044872552961</v>
      </c>
      <c r="AO656" s="27">
        <v>0.83459200205282036</v>
      </c>
      <c r="AP656" s="27">
        <v>0.72243571268276807</v>
      </c>
      <c r="AQ656" s="27">
        <v>0.9178238652014814</v>
      </c>
      <c r="AR656" s="27">
        <v>0.90778379792579666</v>
      </c>
      <c r="AS656" s="27">
        <v>0.91845044872552961</v>
      </c>
      <c r="AT656" s="27">
        <v>0.83459200205282036</v>
      </c>
      <c r="AU656" s="27">
        <v>0.72243571268276807</v>
      </c>
      <c r="AW656" s="1">
        <v>13.465174931571028</v>
      </c>
      <c r="AX656" s="1">
        <v>15.35952532937648</v>
      </c>
      <c r="AY656" s="2">
        <v>1289933.4925190611</v>
      </c>
      <c r="AZ656" s="1">
        <v>15.309715400693833</v>
      </c>
      <c r="BA656" s="1">
        <v>17.199026119169631</v>
      </c>
      <c r="BB656" s="2">
        <v>1062462.1865096895</v>
      </c>
      <c r="BC656" s="2">
        <f t="shared" si="77"/>
        <v>-227471.30600937153</v>
      </c>
      <c r="BD656" s="292">
        <f t="shared" si="78"/>
        <v>1.8445404691228049</v>
      </c>
      <c r="BF656" s="170">
        <f t="shared" si="73"/>
        <v>864494.49653230328</v>
      </c>
      <c r="BG656" s="2">
        <f t="shared" si="74"/>
        <v>1387092.2776013238</v>
      </c>
      <c r="BI656">
        <f t="shared" si="75"/>
        <v>0</v>
      </c>
      <c r="BJ656" s="95">
        <f t="shared" si="76"/>
        <v>1</v>
      </c>
      <c r="BP656" s="217">
        <f t="shared" si="79"/>
        <v>1387092.2776013238</v>
      </c>
    </row>
    <row r="657" spans="1:68">
      <c r="A657" s="11">
        <v>651</v>
      </c>
      <c r="C657" s="27">
        <v>0.92272700915551731</v>
      </c>
      <c r="D657" s="27">
        <v>7.7272990844482692E-2</v>
      </c>
      <c r="E657" s="27">
        <v>0</v>
      </c>
      <c r="F657" s="27">
        <v>0.85391789583494515</v>
      </c>
      <c r="G657" s="27">
        <v>0.14608210416505485</v>
      </c>
      <c r="H657" s="27">
        <v>0</v>
      </c>
      <c r="I657" s="27">
        <v>0.75603602230983091</v>
      </c>
      <c r="J657" s="27">
        <v>0.24396397769016906</v>
      </c>
      <c r="K657" s="27">
        <v>0</v>
      </c>
      <c r="L657" s="27">
        <v>8.6107436414791128E-2</v>
      </c>
      <c r="M657" s="27">
        <v>0.49383174745259212</v>
      </c>
      <c r="N657" s="27">
        <v>0.4200608161326167</v>
      </c>
      <c r="O657" s="27">
        <v>-11.142748580619518</v>
      </c>
      <c r="P657" s="27">
        <v>3.6289637120942554E-2</v>
      </c>
      <c r="Q657" s="27">
        <v>6.6481700970873322E-5</v>
      </c>
      <c r="R657" s="27">
        <v>1.053400488135753</v>
      </c>
      <c r="S657" s="154"/>
      <c r="T657">
        <v>0.99969065042747041</v>
      </c>
      <c r="U657">
        <v>2.2397158907565915</v>
      </c>
      <c r="V657">
        <v>2.8044782711379308</v>
      </c>
      <c r="W657">
        <v>1</v>
      </c>
      <c r="Y657" s="2">
        <v>252.84129432233635</v>
      </c>
      <c r="Z657" s="2">
        <v>3483.3130508643353</v>
      </c>
      <c r="AA657" s="2">
        <v>1117.7382673038153</v>
      </c>
      <c r="AB657" s="2">
        <v>4616.5709361191457</v>
      </c>
      <c r="AC657" s="2">
        <v>266.39632002915749</v>
      </c>
      <c r="AD657" s="2">
        <v>422.68131908790326</v>
      </c>
      <c r="AE657" s="2">
        <v>569.40243752838023</v>
      </c>
      <c r="AF657" s="2">
        <v>1057.9522251944786</v>
      </c>
      <c r="AG657" s="2">
        <v>192.48833367133767</v>
      </c>
      <c r="AH657" s="2">
        <v>347.69842900140031</v>
      </c>
      <c r="AI657" s="2">
        <v>613532.17625988973</v>
      </c>
      <c r="AJ657" s="2">
        <v>583379.25035858527</v>
      </c>
      <c r="AL657" s="27">
        <v>0.91675128020375807</v>
      </c>
      <c r="AM657" s="27">
        <v>0.91811322682621954</v>
      </c>
      <c r="AN657" s="27">
        <v>0.90360951866725947</v>
      </c>
      <c r="AO657" s="27">
        <v>0.83125979624428692</v>
      </c>
      <c r="AP657" s="27">
        <v>0.61999533153770725</v>
      </c>
      <c r="AQ657" s="27">
        <v>0.91675128020375807</v>
      </c>
      <c r="AR657" s="27">
        <v>0.91811322682621954</v>
      </c>
      <c r="AS657" s="27">
        <v>0.90360951866725947</v>
      </c>
      <c r="AT657" s="27">
        <v>0.83125979624428692</v>
      </c>
      <c r="AU657" s="27">
        <v>0.61999533153770725</v>
      </c>
      <c r="AW657" s="1">
        <v>13.21870278746518</v>
      </c>
      <c r="AX657" s="1">
        <v>15.505989523079638</v>
      </c>
      <c r="AY657" s="2">
        <v>2326780.9541659281</v>
      </c>
      <c r="AZ657" s="1">
        <v>15.11361045480065</v>
      </c>
      <c r="BA657" s="1">
        <v>17.277610374856067</v>
      </c>
      <c r="BB657" s="2">
        <v>1720696.9341695558</v>
      </c>
      <c r="BC657" s="2">
        <f t="shared" si="77"/>
        <v>-606084.01999637228</v>
      </c>
      <c r="BD657" s="292">
        <f t="shared" si="78"/>
        <v>1.8949076673354703</v>
      </c>
      <c r="BF657" s="170">
        <f t="shared" si="73"/>
        <v>-211788.50817149924</v>
      </c>
      <c r="BG657" s="2">
        <f t="shared" si="74"/>
        <v>697480.73859854811</v>
      </c>
      <c r="BI657">
        <f t="shared" si="75"/>
        <v>0</v>
      </c>
      <c r="BJ657" s="95">
        <f t="shared" si="76"/>
        <v>1</v>
      </c>
      <c r="BP657" s="217">
        <f t="shared" si="79"/>
        <v>697480.73859854811</v>
      </c>
    </row>
    <row r="658" spans="1:68">
      <c r="A658" s="11">
        <v>652</v>
      </c>
      <c r="C658" s="27">
        <v>0.92204269755206081</v>
      </c>
      <c r="D658" s="27">
        <v>7.7957302447939192E-2</v>
      </c>
      <c r="E658" s="27">
        <v>0</v>
      </c>
      <c r="F658" s="27">
        <v>0.8544093224825875</v>
      </c>
      <c r="G658" s="27">
        <v>0.1455906775174125</v>
      </c>
      <c r="H658" s="27">
        <v>0</v>
      </c>
      <c r="I658" s="27">
        <v>0.74600361008352389</v>
      </c>
      <c r="J658" s="27">
        <v>0.25399638991647611</v>
      </c>
      <c r="K658" s="27">
        <v>0</v>
      </c>
      <c r="L658" s="27">
        <v>2.0203504116145798E-2</v>
      </c>
      <c r="M658" s="27">
        <v>0.57716325312020134</v>
      </c>
      <c r="N658" s="27">
        <v>0.40263324276365287</v>
      </c>
      <c r="O658" s="27">
        <v>-11.17860321067136</v>
      </c>
      <c r="P658" s="27">
        <v>3.8192768407814076E-2</v>
      </c>
      <c r="Q658" s="27">
        <v>6.9477545943609004E-5</v>
      </c>
      <c r="R658" s="27">
        <v>1.0471655609251602</v>
      </c>
      <c r="S658" s="154"/>
      <c r="T658">
        <v>1.0005980585452281</v>
      </c>
      <c r="U658">
        <v>2.2872880139245777</v>
      </c>
      <c r="V658">
        <v>2.9660757510954521</v>
      </c>
      <c r="W658">
        <v>1</v>
      </c>
      <c r="Y658" s="2">
        <v>613.47447674948614</v>
      </c>
      <c r="Z658" s="2">
        <v>2960.5580517542517</v>
      </c>
      <c r="AA658" s="2">
        <v>623.13452138723903</v>
      </c>
      <c r="AB658" s="2">
        <v>6804.3203949136505</v>
      </c>
      <c r="AC658" s="2">
        <v>1283.4172058560303</v>
      </c>
      <c r="AD658" s="2">
        <v>3757.3551093505243</v>
      </c>
      <c r="AE658" s="2">
        <v>607.33170605760824</v>
      </c>
      <c r="AF658" s="2">
        <v>731.85090556123578</v>
      </c>
      <c r="AG658" s="2">
        <v>83.877798984564208</v>
      </c>
      <c r="AH658" s="2">
        <v>551.18828219886382</v>
      </c>
      <c r="AI658" s="2">
        <v>472367.62126950506</v>
      </c>
      <c r="AJ658" s="2">
        <v>433118.49012501893</v>
      </c>
      <c r="AL658" s="27">
        <v>0.91575205961976869</v>
      </c>
      <c r="AM658" s="27">
        <v>0.91643452399114289</v>
      </c>
      <c r="AN658" s="27">
        <v>0.90987595852028036</v>
      </c>
      <c r="AO658" s="27">
        <v>0.86985371721615656</v>
      </c>
      <c r="AP658" s="27">
        <v>0.70682768878821012</v>
      </c>
      <c r="AQ658" s="27">
        <v>0.91575205961976869</v>
      </c>
      <c r="AR658" s="27">
        <v>0.91643452399114289</v>
      </c>
      <c r="AS658" s="27">
        <v>0.90987595852028036</v>
      </c>
      <c r="AT658" s="27">
        <v>0.86985371721615656</v>
      </c>
      <c r="AU658" s="27">
        <v>0.70682768878821012</v>
      </c>
      <c r="AW658" s="1">
        <v>13.606017725436796</v>
      </c>
      <c r="AX658" s="1">
        <v>15.693612937946757</v>
      </c>
      <c r="AY658" s="2">
        <v>1953953.6834903108</v>
      </c>
      <c r="AZ658" s="1">
        <v>15.405578443143037</v>
      </c>
      <c r="BA658" s="1">
        <v>17.424590934271212</v>
      </c>
      <c r="BB658" s="2">
        <v>1528193.5171839942</v>
      </c>
      <c r="BC658" s="2">
        <f t="shared" si="77"/>
        <v>-425760.16630631662</v>
      </c>
      <c r="BD658" s="292">
        <f t="shared" si="78"/>
        <v>1.7995607177062407</v>
      </c>
      <c r="BF658" s="170">
        <f t="shared" si="73"/>
        <v>223009.15257957671</v>
      </c>
      <c r="BG658" s="2">
        <f t="shared" si="74"/>
        <v>936699.03371889167</v>
      </c>
      <c r="BI658">
        <f t="shared" si="75"/>
        <v>0</v>
      </c>
      <c r="BJ658" s="95">
        <f t="shared" si="76"/>
        <v>1</v>
      </c>
      <c r="BP658" s="217">
        <f t="shared" si="79"/>
        <v>936699.03371889167</v>
      </c>
    </row>
    <row r="659" spans="1:68">
      <c r="A659" s="11">
        <v>653</v>
      </c>
      <c r="C659" s="27">
        <v>0.91938931998098028</v>
      </c>
      <c r="D659" s="27">
        <v>8.061068001901972E-2</v>
      </c>
      <c r="E659" s="27">
        <v>0</v>
      </c>
      <c r="F659" s="27">
        <v>0.85717728778574653</v>
      </c>
      <c r="G659" s="27">
        <v>0.14282271221425347</v>
      </c>
      <c r="H659" s="27">
        <v>0</v>
      </c>
      <c r="I659" s="27">
        <v>0.75464298849507283</v>
      </c>
      <c r="J659" s="27">
        <v>0.2453570115049272</v>
      </c>
      <c r="K659" s="27">
        <v>0</v>
      </c>
      <c r="L659" s="27">
        <v>0.11942855690169485</v>
      </c>
      <c r="M659" s="27">
        <v>0.49566790724076631</v>
      </c>
      <c r="N659" s="27">
        <v>0.38490353585753878</v>
      </c>
      <c r="O659" s="27">
        <v>-11.079656783453789</v>
      </c>
      <c r="P659" s="27">
        <v>3.8553747666069435E-2</v>
      </c>
      <c r="Q659" s="27">
        <v>7.7875482778041444E-5</v>
      </c>
      <c r="R659" s="27">
        <v>1.0346518749558333</v>
      </c>
      <c r="S659" s="154"/>
      <c r="T659">
        <v>1.0660551994598035</v>
      </c>
      <c r="U659">
        <v>2.2904184444937261</v>
      </c>
      <c r="V659">
        <v>3.0671607328569732</v>
      </c>
      <c r="W659">
        <v>1</v>
      </c>
      <c r="Y659" s="2">
        <v>385.4734907536656</v>
      </c>
      <c r="Z659" s="2">
        <v>956.16452681130409</v>
      </c>
      <c r="AA659" s="2">
        <v>642.66733330204079</v>
      </c>
      <c r="AB659" s="2">
        <v>6284.5792481899989</v>
      </c>
      <c r="AC659" s="2">
        <v>2227.6504720620328</v>
      </c>
      <c r="AD659" s="2">
        <v>384.34171371052759</v>
      </c>
      <c r="AE659" s="2">
        <v>498.96131010427922</v>
      </c>
      <c r="AF659" s="2">
        <v>1199.7449127699219</v>
      </c>
      <c r="AG659" s="2">
        <v>110.33238277210575</v>
      </c>
      <c r="AH659" s="2">
        <v>373.29725678950109</v>
      </c>
      <c r="AI659" s="2">
        <v>525037.26730477635</v>
      </c>
      <c r="AJ659" s="2">
        <v>488053.00691222341</v>
      </c>
      <c r="AL659" s="27">
        <v>0.90872424137023355</v>
      </c>
      <c r="AM659" s="27">
        <v>0.91982261997023773</v>
      </c>
      <c r="AN659" s="27">
        <v>0.91652867862161946</v>
      </c>
      <c r="AO659" s="27">
        <v>0.88276643231480323</v>
      </c>
      <c r="AP659" s="27">
        <v>0.68263647477684919</v>
      </c>
      <c r="AQ659" s="27">
        <v>0.90872424137023355</v>
      </c>
      <c r="AR659" s="27">
        <v>0.91982261997023773</v>
      </c>
      <c r="AS659" s="27">
        <v>0.91652867862161946</v>
      </c>
      <c r="AT659" s="27">
        <v>0.88276643231480323</v>
      </c>
      <c r="AU659" s="27">
        <v>0.68263647477684919</v>
      </c>
      <c r="AW659" s="1">
        <v>13.156889324963466</v>
      </c>
      <c r="AX659" s="1">
        <v>15.335771392565457</v>
      </c>
      <c r="AY659" s="2">
        <v>2157631.7834949866</v>
      </c>
      <c r="AZ659" s="1">
        <v>15.266140379209409</v>
      </c>
      <c r="BA659" s="1">
        <v>17.344151779267865</v>
      </c>
      <c r="BB659" s="2">
        <v>1568201.3069928763</v>
      </c>
      <c r="BC659" s="2">
        <f t="shared" si="77"/>
        <v>-589430.47650211025</v>
      </c>
      <c r="BD659" s="292">
        <f t="shared" si="78"/>
        <v>2.1092510542459433</v>
      </c>
      <c r="BF659" s="170">
        <f t="shared" si="73"/>
        <v>-52529.49150083214</v>
      </c>
      <c r="BG659" s="2">
        <f t="shared" si="74"/>
        <v>874381.1536806291</v>
      </c>
      <c r="BI659">
        <f t="shared" si="75"/>
        <v>0</v>
      </c>
      <c r="BJ659" s="95">
        <f t="shared" si="76"/>
        <v>1</v>
      </c>
      <c r="BP659" s="217">
        <f t="shared" si="79"/>
        <v>874381.1536806291</v>
      </c>
    </row>
    <row r="660" spans="1:68">
      <c r="A660" s="11">
        <v>654</v>
      </c>
      <c r="C660" s="27">
        <v>0.92212705738678025</v>
      </c>
      <c r="D660" s="27">
        <v>7.7872942613219753E-2</v>
      </c>
      <c r="E660" s="27">
        <v>0</v>
      </c>
      <c r="F660" s="27">
        <v>0.85809110148492529</v>
      </c>
      <c r="G660" s="27">
        <v>0.14190889851507468</v>
      </c>
      <c r="H660" s="27">
        <v>0</v>
      </c>
      <c r="I660" s="27">
        <v>0.74446139134345513</v>
      </c>
      <c r="J660" s="27">
        <v>0.25553860865654487</v>
      </c>
      <c r="K660" s="27">
        <v>0</v>
      </c>
      <c r="L660" s="27">
        <v>9.927584756417851E-2</v>
      </c>
      <c r="M660" s="27">
        <v>0.51207008878361782</v>
      </c>
      <c r="N660" s="27">
        <v>0.38865406365220367</v>
      </c>
      <c r="O660" s="27">
        <v>-11.25627004482881</v>
      </c>
      <c r="P660" s="27">
        <v>3.347885323037627E-2</v>
      </c>
      <c r="Q660" s="27">
        <v>5.273884858688328E-5</v>
      </c>
      <c r="R660" s="27">
        <v>1.0940659091289937</v>
      </c>
      <c r="S660" s="154"/>
      <c r="T660">
        <v>1.0847101055898096</v>
      </c>
      <c r="U660">
        <v>2.2143813953888669</v>
      </c>
      <c r="V660">
        <v>3.2774450008464204</v>
      </c>
      <c r="W660">
        <v>1</v>
      </c>
      <c r="Y660" s="2">
        <v>50.089175689208858</v>
      </c>
      <c r="Z660" s="2">
        <v>7927.1755188522384</v>
      </c>
      <c r="AA660" s="2">
        <v>20.944738382391137</v>
      </c>
      <c r="AB660" s="2">
        <v>2006.7619475973022</v>
      </c>
      <c r="AC660" s="2">
        <v>544.10778784970614</v>
      </c>
      <c r="AD660" s="2">
        <v>1706.0961225871524</v>
      </c>
      <c r="AE660" s="2">
        <v>588.42796129091914</v>
      </c>
      <c r="AF660" s="2">
        <v>958.8464795593253</v>
      </c>
      <c r="AG660" s="2">
        <v>121.78455450317963</v>
      </c>
      <c r="AH660" s="2">
        <v>689.15380946839991</v>
      </c>
      <c r="AI660" s="2">
        <v>317852.63561466633</v>
      </c>
      <c r="AJ660" s="2">
        <v>283735.64902721299</v>
      </c>
      <c r="AL660" s="27">
        <v>0.91467801766532986</v>
      </c>
      <c r="AM660" s="27">
        <v>0.91145611492451117</v>
      </c>
      <c r="AN660" s="27">
        <v>0.90584939100397932</v>
      </c>
      <c r="AO660" s="27">
        <v>0.8525785846538475</v>
      </c>
      <c r="AP660" s="27">
        <v>0.73236720974108094</v>
      </c>
      <c r="AQ660" s="27">
        <v>0.91467801766532986</v>
      </c>
      <c r="AR660" s="27">
        <v>0.91145611492451117</v>
      </c>
      <c r="AS660" s="27">
        <v>0.90584939100397932</v>
      </c>
      <c r="AT660" s="27">
        <v>0.8525785846538475</v>
      </c>
      <c r="AU660" s="27">
        <v>0.73236720974108094</v>
      </c>
      <c r="AW660" s="1">
        <v>13.230690294096831</v>
      </c>
      <c r="AX660" s="1">
        <v>15.178008430877322</v>
      </c>
      <c r="AY660" s="2">
        <v>1264323.926531075</v>
      </c>
      <c r="AZ660" s="1">
        <v>15.314983989942087</v>
      </c>
      <c r="BA660" s="1">
        <v>17.253507931568219</v>
      </c>
      <c r="BB660" s="2">
        <v>860712.49054041319</v>
      </c>
      <c r="BC660" s="2">
        <f t="shared" si="77"/>
        <v>-403611.43599066185</v>
      </c>
      <c r="BD660" s="292">
        <f t="shared" si="78"/>
        <v>2.0842936958452558</v>
      </c>
      <c r="BF660" s="170">
        <f t="shared" si="73"/>
        <v>852586.52052441798</v>
      </c>
      <c r="BG660" s="2">
        <f t="shared" si="74"/>
        <v>1589684.947850321</v>
      </c>
      <c r="BI660">
        <f t="shared" si="75"/>
        <v>0</v>
      </c>
      <c r="BJ660" s="95">
        <f t="shared" si="76"/>
        <v>1</v>
      </c>
      <c r="BP660" s="217">
        <f t="shared" si="79"/>
        <v>1589684.947850321</v>
      </c>
    </row>
    <row r="661" spans="1:68">
      <c r="A661" s="11">
        <v>655</v>
      </c>
      <c r="C661" s="27">
        <v>0.92147515739572139</v>
      </c>
      <c r="D661" s="27">
        <v>7.8524842604278611E-2</v>
      </c>
      <c r="E661" s="27">
        <v>0</v>
      </c>
      <c r="F661" s="27">
        <v>0.85314430576009825</v>
      </c>
      <c r="G661" s="27">
        <v>0.14685569423990175</v>
      </c>
      <c r="H661" s="27">
        <v>0</v>
      </c>
      <c r="I661" s="27">
        <v>0.74957323334392456</v>
      </c>
      <c r="J661" s="27">
        <v>0.25042676665607544</v>
      </c>
      <c r="K661" s="27">
        <v>0</v>
      </c>
      <c r="L661" s="27">
        <v>0.118721838073232</v>
      </c>
      <c r="M661" s="27">
        <v>0.46120216031455519</v>
      </c>
      <c r="N661" s="27">
        <v>0.42007600161221281</v>
      </c>
      <c r="O661" s="27">
        <v>-11.004906931802127</v>
      </c>
      <c r="P661" s="27">
        <v>3.0845917766288821E-2</v>
      </c>
      <c r="Q661" s="27">
        <v>6.0711441467023306E-5</v>
      </c>
      <c r="R661" s="27">
        <v>1.0794902298181654</v>
      </c>
      <c r="S661" s="154"/>
      <c r="T661">
        <v>0.95723794936136963</v>
      </c>
      <c r="U661">
        <v>2.236200913845368</v>
      </c>
      <c r="V661">
        <v>3.0487228610301536</v>
      </c>
      <c r="W661">
        <v>1</v>
      </c>
      <c r="Y661" s="2">
        <v>981.08174864714181</v>
      </c>
      <c r="Z661" s="2">
        <v>1933.8812144801857</v>
      </c>
      <c r="AA661" s="2">
        <v>380.87668711039402</v>
      </c>
      <c r="AB661" s="2">
        <v>194.72625508202702</v>
      </c>
      <c r="AC661" s="2">
        <v>1228.2823884509462</v>
      </c>
      <c r="AD661" s="2">
        <v>2797.2866422779716</v>
      </c>
      <c r="AE661" s="2">
        <v>668.57103666704847</v>
      </c>
      <c r="AF661" s="2">
        <v>928.07647543065821</v>
      </c>
      <c r="AG661" s="2">
        <v>159.36805510399714</v>
      </c>
      <c r="AH661" s="2">
        <v>422.61947294184984</v>
      </c>
      <c r="AI661" s="2">
        <v>510845.62137253088</v>
      </c>
      <c r="AJ661" s="2">
        <v>482481.26084925391</v>
      </c>
      <c r="AL661" s="27">
        <v>0.92109442092775273</v>
      </c>
      <c r="AM661" s="27">
        <v>0.91725692244645018</v>
      </c>
      <c r="AN661" s="27">
        <v>0.91286163237134765</v>
      </c>
      <c r="AO661" s="27">
        <v>0.88125791010600607</v>
      </c>
      <c r="AP661" s="27">
        <v>0.72759856322971717</v>
      </c>
      <c r="AQ661" s="27">
        <v>0.92109442092775273</v>
      </c>
      <c r="AR661" s="27">
        <v>0.91725692244645018</v>
      </c>
      <c r="AS661" s="27">
        <v>0.91286163237134765</v>
      </c>
      <c r="AT661" s="27">
        <v>0.88125791010600607</v>
      </c>
      <c r="AU661" s="27">
        <v>0.72759856322971717</v>
      </c>
      <c r="AW661" s="1">
        <v>13.474851648971583</v>
      </c>
      <c r="AX661" s="1">
        <v>15.272486050748975</v>
      </c>
      <c r="AY661" s="2">
        <v>1757049.3189314159</v>
      </c>
      <c r="AZ661" s="1">
        <v>15.238341730338231</v>
      </c>
      <c r="BA661" s="1">
        <v>17.035120444589186</v>
      </c>
      <c r="BB661" s="2">
        <v>1297250.8928864831</v>
      </c>
      <c r="BC661" s="2">
        <f t="shared" si="77"/>
        <v>-459798.4260449328</v>
      </c>
      <c r="BD661" s="292">
        <f t="shared" si="78"/>
        <v>1.7634900813666476</v>
      </c>
      <c r="BF661" s="170">
        <f t="shared" si="73"/>
        <v>398926.94490403752</v>
      </c>
      <c r="BG661" s="2">
        <f t="shared" si="74"/>
        <v>1140883.7839676337</v>
      </c>
      <c r="BI661">
        <f t="shared" si="75"/>
        <v>0</v>
      </c>
      <c r="BJ661" s="95">
        <f t="shared" si="76"/>
        <v>1</v>
      </c>
      <c r="BP661" s="217">
        <f t="shared" si="79"/>
        <v>1140883.7839676337</v>
      </c>
    </row>
    <row r="662" spans="1:68">
      <c r="A662" s="11">
        <v>656</v>
      </c>
      <c r="C662" s="27">
        <v>0.92272624805017678</v>
      </c>
      <c r="D662" s="27">
        <v>7.7273751949823222E-2</v>
      </c>
      <c r="E662" s="27">
        <v>0</v>
      </c>
      <c r="F662" s="27">
        <v>0.85572299008855401</v>
      </c>
      <c r="G662" s="27">
        <v>0.14427700991144599</v>
      </c>
      <c r="H662" s="27">
        <v>0</v>
      </c>
      <c r="I662" s="27">
        <v>0.75035746294494132</v>
      </c>
      <c r="J662" s="27">
        <v>0.24964253705505868</v>
      </c>
      <c r="K662" s="27">
        <v>0</v>
      </c>
      <c r="L662" s="27">
        <v>0.17017001126603171</v>
      </c>
      <c r="M662" s="27">
        <v>0.45428712709389341</v>
      </c>
      <c r="N662" s="27">
        <v>0.37554286164007489</v>
      </c>
      <c r="O662" s="27">
        <v>-11.019708874033018</v>
      </c>
      <c r="P662" s="27">
        <v>3.2599440453096297E-2</v>
      </c>
      <c r="Q662" s="27">
        <v>6.4391277601142418E-5</v>
      </c>
      <c r="R662" s="27">
        <v>1.079286717242939</v>
      </c>
      <c r="S662" s="154"/>
      <c r="T662">
        <v>0.90983215282027285</v>
      </c>
      <c r="U662">
        <v>2.210756889240995</v>
      </c>
      <c r="V662">
        <v>3.0186808497850794</v>
      </c>
      <c r="W662">
        <v>1</v>
      </c>
      <c r="Y662" s="2">
        <v>547.30088876743548</v>
      </c>
      <c r="Z662" s="2">
        <v>2314.4407571541287</v>
      </c>
      <c r="AA662" s="2">
        <v>21.144807096009774</v>
      </c>
      <c r="AB662" s="2">
        <v>907.74296990710343</v>
      </c>
      <c r="AC662" s="2">
        <v>694.59509075964854</v>
      </c>
      <c r="AD662" s="2">
        <v>557.87919266757115</v>
      </c>
      <c r="AE662" s="2">
        <v>555.99901233445848</v>
      </c>
      <c r="AF662" s="2">
        <v>921.25763219705834</v>
      </c>
      <c r="AG662" s="2">
        <v>71.495923831679931</v>
      </c>
      <c r="AH662" s="2">
        <v>340.28394481966433</v>
      </c>
      <c r="AI662" s="2">
        <v>461362.43674926338</v>
      </c>
      <c r="AJ662" s="2">
        <v>431954.57824576146</v>
      </c>
      <c r="AL662" s="27">
        <v>0.91665000967585819</v>
      </c>
      <c r="AM662" s="27">
        <v>0.91773023362785666</v>
      </c>
      <c r="AN662" s="27">
        <v>0.90641427652431439</v>
      </c>
      <c r="AO662" s="27">
        <v>0.87918243412071839</v>
      </c>
      <c r="AP662" s="27">
        <v>0.61822271629146019</v>
      </c>
      <c r="AQ662" s="27">
        <v>0.91665000967585819</v>
      </c>
      <c r="AR662" s="27">
        <v>0.91773023362785666</v>
      </c>
      <c r="AS662" s="27">
        <v>0.90641427652431439</v>
      </c>
      <c r="AT662" s="27">
        <v>0.87918243412071839</v>
      </c>
      <c r="AU662" s="27">
        <v>0.61822271629146019</v>
      </c>
      <c r="AW662" s="1">
        <v>13.432160119993375</v>
      </c>
      <c r="AX662" s="1">
        <v>15.600369817427717</v>
      </c>
      <c r="AY662" s="2">
        <v>1537935.9076444043</v>
      </c>
      <c r="AZ662" s="1">
        <v>15.079416100503575</v>
      </c>
      <c r="BA662" s="1">
        <v>17.17030430571721</v>
      </c>
      <c r="BB662" s="2">
        <v>1140670.337749108</v>
      </c>
      <c r="BC662" s="2">
        <f t="shared" si="77"/>
        <v>-397265.56989529636</v>
      </c>
      <c r="BD662" s="292">
        <f t="shared" si="78"/>
        <v>1.6472559805102005</v>
      </c>
      <c r="BF662" s="170">
        <f t="shared" si="73"/>
        <v>611209.71155453543</v>
      </c>
      <c r="BG662" s="2">
        <f t="shared" si="74"/>
        <v>1272036.2383314639</v>
      </c>
      <c r="BI662">
        <f t="shared" si="75"/>
        <v>0</v>
      </c>
      <c r="BJ662" s="95">
        <f t="shared" si="76"/>
        <v>1</v>
      </c>
      <c r="BP662" s="217">
        <f t="shared" si="79"/>
        <v>1272036.2383314639</v>
      </c>
    </row>
    <row r="663" spans="1:68">
      <c r="A663" s="11">
        <v>657</v>
      </c>
      <c r="C663" s="27">
        <v>0.92591302811260812</v>
      </c>
      <c r="D663" s="27">
        <v>7.4086971887391925E-2</v>
      </c>
      <c r="E663" s="27">
        <v>0</v>
      </c>
      <c r="F663" s="27">
        <v>0.86105191965284877</v>
      </c>
      <c r="G663" s="27">
        <v>0.13894808034715117</v>
      </c>
      <c r="H663" s="27">
        <v>0</v>
      </c>
      <c r="I663" s="27">
        <v>0.74400332986711115</v>
      </c>
      <c r="J663" s="27">
        <v>0.25599667013288885</v>
      </c>
      <c r="K663" s="27">
        <v>0</v>
      </c>
      <c r="L663" s="27">
        <v>8.6072420435268415E-2</v>
      </c>
      <c r="M663" s="27">
        <v>0.52881579772295817</v>
      </c>
      <c r="N663" s="27">
        <v>0.38511178184177342</v>
      </c>
      <c r="O663" s="27">
        <v>-11.134811940052842</v>
      </c>
      <c r="P663" s="27">
        <v>3.6441843406924371E-2</v>
      </c>
      <c r="Q663" s="27">
        <v>6.7441195540292515E-5</v>
      </c>
      <c r="R663" s="27">
        <v>1.0647501687467371</v>
      </c>
      <c r="S663" s="154"/>
      <c r="T663">
        <v>0.90685378303737352</v>
      </c>
      <c r="U663">
        <v>2.2805568352996257</v>
      </c>
      <c r="V663">
        <v>2.8223086968280686</v>
      </c>
      <c r="W663">
        <v>1</v>
      </c>
      <c r="Y663" s="2">
        <v>315.84578562152018</v>
      </c>
      <c r="Z663" s="2">
        <v>9082.0054957877892</v>
      </c>
      <c r="AA663" s="2">
        <v>516.88548007961822</v>
      </c>
      <c r="AB663" s="2">
        <v>1469.9021861162882</v>
      </c>
      <c r="AC663" s="2">
        <v>1369.5260911796997</v>
      </c>
      <c r="AD663" s="2">
        <v>1691.7962032168407</v>
      </c>
      <c r="AE663" s="2">
        <v>525.63325466672052</v>
      </c>
      <c r="AF663" s="2">
        <v>900.92681638408237</v>
      </c>
      <c r="AG663" s="2">
        <v>167.70731121082784</v>
      </c>
      <c r="AH663" s="2">
        <v>397.5111969543816</v>
      </c>
      <c r="AI663" s="2">
        <v>472152.0765096572</v>
      </c>
      <c r="AJ663" s="2">
        <v>442331.40850516007</v>
      </c>
      <c r="AL663" s="27">
        <v>0.92249266671214181</v>
      </c>
      <c r="AM663" s="27">
        <v>0.91170020133692486</v>
      </c>
      <c r="AN663" s="27">
        <v>0.90701621417630551</v>
      </c>
      <c r="AO663" s="27">
        <v>0.87648233209593929</v>
      </c>
      <c r="AP663" s="27">
        <v>0.69509472140698392</v>
      </c>
      <c r="AQ663" s="27">
        <v>0.92249266671214181</v>
      </c>
      <c r="AR663" s="27">
        <v>0.91170020133692486</v>
      </c>
      <c r="AS663" s="27">
        <v>0.90701621417630551</v>
      </c>
      <c r="AT663" s="27">
        <v>0.87648233209593929</v>
      </c>
      <c r="AU663" s="27">
        <v>0.69509472140698392</v>
      </c>
      <c r="AW663" s="1">
        <v>14.001809494627878</v>
      </c>
      <c r="AX663" s="1">
        <v>15.9834449994478</v>
      </c>
      <c r="AY663" s="2">
        <v>1793118.1987614336</v>
      </c>
      <c r="AZ663" s="1">
        <v>15.498697448748892</v>
      </c>
      <c r="BA663" s="1">
        <v>17.44964638034088</v>
      </c>
      <c r="BB663" s="2">
        <v>1286272.7761234306</v>
      </c>
      <c r="BC663" s="2">
        <f t="shared" si="77"/>
        <v>-506845.42263800302</v>
      </c>
      <c r="BD663" s="292">
        <f t="shared" si="78"/>
        <v>1.4968879541210143</v>
      </c>
      <c r="BF663" s="170">
        <f t="shared" si="73"/>
        <v>447171.32037902693</v>
      </c>
      <c r="BG663" s="2">
        <f t="shared" si="74"/>
        <v>1193518.8156763921</v>
      </c>
      <c r="BI663">
        <f t="shared" si="75"/>
        <v>0</v>
      </c>
      <c r="BJ663" s="95">
        <f t="shared" si="76"/>
        <v>1</v>
      </c>
      <c r="BP663" s="217">
        <f t="shared" si="79"/>
        <v>1193518.8156763921</v>
      </c>
    </row>
    <row r="664" spans="1:68">
      <c r="A664" s="11">
        <v>658</v>
      </c>
      <c r="C664" s="27">
        <v>0.92610191539831832</v>
      </c>
      <c r="D664" s="27">
        <v>7.3898084601681624E-2</v>
      </c>
      <c r="E664" s="27">
        <v>0</v>
      </c>
      <c r="F664" s="27">
        <v>0.85265032940408514</v>
      </c>
      <c r="G664" s="27">
        <v>0.14734967059591486</v>
      </c>
      <c r="H664" s="27">
        <v>0</v>
      </c>
      <c r="I664" s="27">
        <v>0.75198414752996035</v>
      </c>
      <c r="J664" s="27">
        <v>0.24801585247003965</v>
      </c>
      <c r="K664" s="27">
        <v>0</v>
      </c>
      <c r="L664" s="27">
        <v>4.7262461631314867E-2</v>
      </c>
      <c r="M664" s="27">
        <v>0.60053853865056062</v>
      </c>
      <c r="N664" s="27">
        <v>0.35219899971812452</v>
      </c>
      <c r="O664" s="27">
        <v>-10.990955661245165</v>
      </c>
      <c r="P664" s="27">
        <v>3.4970939863662051E-2</v>
      </c>
      <c r="Q664" s="27">
        <v>7.3210171848550444E-5</v>
      </c>
      <c r="R664" s="27">
        <v>1.0425843599585003</v>
      </c>
      <c r="S664" s="154"/>
      <c r="T664">
        <v>0.93019121253814019</v>
      </c>
      <c r="U664">
        <v>2.1642781962718125</v>
      </c>
      <c r="V664">
        <v>3.1576377571248164</v>
      </c>
      <c r="W664">
        <v>1</v>
      </c>
      <c r="Y664" s="2">
        <v>48.951335223958893</v>
      </c>
      <c r="Z664" s="2">
        <v>2245.7642918154443</v>
      </c>
      <c r="AA664" s="2">
        <v>219.15491654691269</v>
      </c>
      <c r="AB664" s="2">
        <v>2328.8095340012587</v>
      </c>
      <c r="AC664" s="2">
        <v>844.05892219490238</v>
      </c>
      <c r="AD664" s="2">
        <v>829.05067289768908</v>
      </c>
      <c r="AE664" s="2">
        <v>566.8849616030742</v>
      </c>
      <c r="AF664" s="2">
        <v>1098.2873980702041</v>
      </c>
      <c r="AG664" s="2">
        <v>159.6874016456799</v>
      </c>
      <c r="AH664" s="2">
        <v>415.56223805837374</v>
      </c>
      <c r="AI664" s="2">
        <v>415396.10703770269</v>
      </c>
      <c r="AJ664" s="2">
        <v>382566.07456307189</v>
      </c>
      <c r="AL664" s="27">
        <v>0.92466887791522445</v>
      </c>
      <c r="AM664" s="27">
        <v>0.91209140257788879</v>
      </c>
      <c r="AN664" s="27">
        <v>0.90423719555818605</v>
      </c>
      <c r="AO664" s="27">
        <v>0.87520231819916883</v>
      </c>
      <c r="AP664" s="27">
        <v>0.68976887226812555</v>
      </c>
      <c r="AQ664" s="27">
        <v>0.92466887791522445</v>
      </c>
      <c r="AR664" s="27">
        <v>0.91209140257788879</v>
      </c>
      <c r="AS664" s="27">
        <v>0.90423719555818605</v>
      </c>
      <c r="AT664" s="27">
        <v>0.87520231819916883</v>
      </c>
      <c r="AU664" s="27">
        <v>0.68976887226812555</v>
      </c>
      <c r="AW664" s="1">
        <v>14.177532812829638</v>
      </c>
      <c r="AX664" s="1">
        <v>16.294945954460875</v>
      </c>
      <c r="AY664" s="2">
        <v>1706493.6681636297</v>
      </c>
      <c r="AZ664" s="1">
        <v>15.658722378542489</v>
      </c>
      <c r="BA664" s="1">
        <v>17.705135787713623</v>
      </c>
      <c r="BB664" s="2">
        <v>1290344.8776993814</v>
      </c>
      <c r="BC664" s="2">
        <f t="shared" si="77"/>
        <v>-416148.79046424828</v>
      </c>
      <c r="BD664" s="292">
        <f t="shared" si="78"/>
        <v>1.4811895657128513</v>
      </c>
      <c r="BF664" s="170">
        <f t="shared" si="73"/>
        <v>561911.58188911248</v>
      </c>
      <c r="BG664" s="2">
        <f t="shared" si="74"/>
        <v>1215050.7028674169</v>
      </c>
      <c r="BI664">
        <f t="shared" si="75"/>
        <v>0</v>
      </c>
      <c r="BJ664" s="95">
        <f t="shared" si="76"/>
        <v>1</v>
      </c>
      <c r="BP664" s="217">
        <f t="shared" si="79"/>
        <v>1215050.7028674169</v>
      </c>
    </row>
    <row r="665" spans="1:68">
      <c r="A665" s="11">
        <v>659</v>
      </c>
      <c r="C665" s="27">
        <v>0.9253603112919162</v>
      </c>
      <c r="D665" s="27">
        <v>7.4639688708083823E-2</v>
      </c>
      <c r="E665" s="27">
        <v>0</v>
      </c>
      <c r="F665" s="27">
        <v>0.85479118013943634</v>
      </c>
      <c r="G665" s="27">
        <v>0.14520881986056366</v>
      </c>
      <c r="H665" s="27">
        <v>0</v>
      </c>
      <c r="I665" s="27">
        <v>0.75994614453710807</v>
      </c>
      <c r="J665" s="27">
        <v>0.24005385546289196</v>
      </c>
      <c r="K665" s="27">
        <v>0</v>
      </c>
      <c r="L665" s="27">
        <v>0.10326251490171723</v>
      </c>
      <c r="M665" s="27">
        <v>0.50500602168663722</v>
      </c>
      <c r="N665" s="27">
        <v>0.39173146341164555</v>
      </c>
      <c r="O665" s="27">
        <v>-11.087223000463986</v>
      </c>
      <c r="P665" s="27">
        <v>3.3509430247227127E-2</v>
      </c>
      <c r="Q665" s="27">
        <v>6.2532325302862383E-5</v>
      </c>
      <c r="R665" s="27">
        <v>1.0724784101864762</v>
      </c>
      <c r="S665" s="154"/>
      <c r="T665">
        <v>0.96526582190905563</v>
      </c>
      <c r="U665">
        <v>2.1797605011096217</v>
      </c>
      <c r="V665">
        <v>3.0063555577371921</v>
      </c>
      <c r="W665">
        <v>1</v>
      </c>
      <c r="Y665" s="2">
        <v>145.77756934010682</v>
      </c>
      <c r="Z665" s="2">
        <v>4024.5521003774661</v>
      </c>
      <c r="AA665" s="2">
        <v>1299.2770430896728</v>
      </c>
      <c r="AB665" s="2">
        <v>5219.5558053264749</v>
      </c>
      <c r="AC665" s="2">
        <v>760.45287093137438</v>
      </c>
      <c r="AD665" s="2">
        <v>1610.7359011824083</v>
      </c>
      <c r="AE665" s="2">
        <v>531.93732478779611</v>
      </c>
      <c r="AF665" s="2">
        <v>796.95504288230711</v>
      </c>
      <c r="AG665" s="2">
        <v>96.600189270704618</v>
      </c>
      <c r="AH665" s="2">
        <v>325.97764302945723</v>
      </c>
      <c r="AI665" s="2">
        <v>437984.21178795095</v>
      </c>
      <c r="AJ665" s="2">
        <v>406375.65107280464</v>
      </c>
      <c r="AL665" s="27">
        <v>0.91358620109157351</v>
      </c>
      <c r="AM665" s="27">
        <v>0.91025451779727351</v>
      </c>
      <c r="AN665" s="27">
        <v>0.8997873621153295</v>
      </c>
      <c r="AO665" s="27">
        <v>0.87539524217243581</v>
      </c>
      <c r="AP665" s="27">
        <v>0.77618436108446454</v>
      </c>
      <c r="AQ665" s="27">
        <v>0.91358620109157351</v>
      </c>
      <c r="AR665" s="27">
        <v>0.91025451779727351</v>
      </c>
      <c r="AS665" s="27">
        <v>0.8997873621153295</v>
      </c>
      <c r="AT665" s="27">
        <v>0.87539524217243581</v>
      </c>
      <c r="AU665" s="27">
        <v>0.77618436108446454</v>
      </c>
      <c r="AW665" s="1">
        <v>13.898280915021868</v>
      </c>
      <c r="AX665" s="1">
        <v>15.713164102755259</v>
      </c>
      <c r="AY665" s="2">
        <v>1587033.9390011413</v>
      </c>
      <c r="AZ665" s="1">
        <v>15.519834579639793</v>
      </c>
      <c r="BA665" s="1">
        <v>17.378230527939198</v>
      </c>
      <c r="BB665" s="2">
        <v>1234288.5486501108</v>
      </c>
      <c r="BC665" s="2">
        <f t="shared" si="77"/>
        <v>-352745.39035103051</v>
      </c>
      <c r="BD665" s="292">
        <f t="shared" si="78"/>
        <v>1.6215536646179256</v>
      </c>
      <c r="BF665" s="170">
        <f t="shared" si="73"/>
        <v>636691.00740235741</v>
      </c>
      <c r="BG665" s="2">
        <f t="shared" si="74"/>
        <v>1248884.9840922563</v>
      </c>
      <c r="BI665">
        <f t="shared" si="75"/>
        <v>0</v>
      </c>
      <c r="BJ665" s="95">
        <f t="shared" si="76"/>
        <v>1</v>
      </c>
      <c r="BP665" s="217">
        <f t="shared" si="79"/>
        <v>1248884.9840922563</v>
      </c>
    </row>
    <row r="666" spans="1:68">
      <c r="A666" s="11">
        <v>660</v>
      </c>
      <c r="C666" s="27">
        <v>0.92250062013849166</v>
      </c>
      <c r="D666" s="27">
        <v>7.7499379861508344E-2</v>
      </c>
      <c r="E666" s="27">
        <v>0</v>
      </c>
      <c r="F666" s="27">
        <v>0.85682095008555859</v>
      </c>
      <c r="G666" s="27">
        <v>0.14317904991444141</v>
      </c>
      <c r="H666" s="27">
        <v>0</v>
      </c>
      <c r="I666" s="27">
        <v>0.75709746398963784</v>
      </c>
      <c r="J666" s="27">
        <v>0.24290253601036219</v>
      </c>
      <c r="K666" s="27">
        <v>0</v>
      </c>
      <c r="L666" s="27">
        <v>0.204186793837145</v>
      </c>
      <c r="M666" s="27">
        <v>0.49559272219545553</v>
      </c>
      <c r="N666" s="27">
        <v>0.30022048396739953</v>
      </c>
      <c r="O666" s="27">
        <v>-11.244864718304648</v>
      </c>
      <c r="P666" s="27">
        <v>3.7452932785305482E-2</v>
      </c>
      <c r="Q666" s="27">
        <v>6.303366927959113E-5</v>
      </c>
      <c r="R666" s="27">
        <v>1.063274694957655</v>
      </c>
      <c r="S666" s="154"/>
      <c r="T666">
        <v>1.1185495909003471</v>
      </c>
      <c r="U666">
        <v>2.2452773829659947</v>
      </c>
      <c r="V666">
        <v>3.2853326664533098</v>
      </c>
      <c r="W666">
        <v>1</v>
      </c>
      <c r="Y666" s="2">
        <v>1305.5432083171863</v>
      </c>
      <c r="Z666" s="2">
        <v>6936.7017739638686</v>
      </c>
      <c r="AA666" s="2">
        <v>146.31014359900701</v>
      </c>
      <c r="AB666" s="2">
        <v>8836.9597015517884</v>
      </c>
      <c r="AC666" s="2">
        <v>373.95807832846458</v>
      </c>
      <c r="AD666" s="2">
        <v>157.61016674653382</v>
      </c>
      <c r="AE666" s="2">
        <v>603.4652203762688</v>
      </c>
      <c r="AF666" s="2">
        <v>763.20673213827104</v>
      </c>
      <c r="AG666" s="2">
        <v>145.88660404498117</v>
      </c>
      <c r="AH666" s="2">
        <v>378.5770018526805</v>
      </c>
      <c r="AI666" s="2">
        <v>492160.83617033315</v>
      </c>
      <c r="AJ666" s="2">
        <v>442451.31595601462</v>
      </c>
      <c r="AL666" s="27">
        <v>0.91375810163049298</v>
      </c>
      <c r="AM666" s="27">
        <v>0.91534706500471941</v>
      </c>
      <c r="AN666" s="27">
        <v>0.90356521113042298</v>
      </c>
      <c r="AO666" s="27">
        <v>0.85360860026382479</v>
      </c>
      <c r="AP666" s="27">
        <v>0.67932913861974875</v>
      </c>
      <c r="AQ666" s="27">
        <v>0.91375810163049298</v>
      </c>
      <c r="AR666" s="27">
        <v>0.91534706500471941</v>
      </c>
      <c r="AS666" s="27">
        <v>0.90356521113042298</v>
      </c>
      <c r="AT666" s="27">
        <v>0.85360860026382479</v>
      </c>
      <c r="AU666" s="27">
        <v>0.67932913861974875</v>
      </c>
      <c r="AW666" s="1">
        <v>13.350031433356055</v>
      </c>
      <c r="AX666" s="1">
        <v>15.632088868666832</v>
      </c>
      <c r="AY666" s="2">
        <v>2179383.4854187467</v>
      </c>
      <c r="AZ666" s="1">
        <v>15.494027500680541</v>
      </c>
      <c r="BA666" s="1">
        <v>17.649390829912861</v>
      </c>
      <c r="BB666" s="2">
        <v>1523869.5461662151</v>
      </c>
      <c r="BC666" s="2">
        <f t="shared" si="77"/>
        <v>-655513.93925253162</v>
      </c>
      <c r="BD666" s="292">
        <f t="shared" si="78"/>
        <v>2.1439960673244869</v>
      </c>
      <c r="BF666" s="170">
        <f t="shared" si="73"/>
        <v>-43378.456081777811</v>
      </c>
      <c r="BG666" s="2">
        <f t="shared" si="74"/>
        <v>955174.85394267133</v>
      </c>
      <c r="BI666">
        <f t="shared" si="75"/>
        <v>0</v>
      </c>
      <c r="BJ666" s="95">
        <f t="shared" si="76"/>
        <v>1</v>
      </c>
      <c r="BP666" s="217">
        <f t="shared" si="79"/>
        <v>955174.85394267133</v>
      </c>
    </row>
    <row r="667" spans="1:68">
      <c r="A667" s="11">
        <v>661</v>
      </c>
      <c r="C667" s="27">
        <v>0.92488931386330575</v>
      </c>
      <c r="D667" s="27">
        <v>7.5110686136694263E-2</v>
      </c>
      <c r="E667" s="27">
        <v>0</v>
      </c>
      <c r="F667" s="27">
        <v>0.8550357201323362</v>
      </c>
      <c r="G667" s="27">
        <v>0.1449642798676638</v>
      </c>
      <c r="H667" s="27">
        <v>0</v>
      </c>
      <c r="I667" s="27">
        <v>0.75398456086725141</v>
      </c>
      <c r="J667" s="27">
        <v>0.24601543913274859</v>
      </c>
      <c r="K667" s="27">
        <v>0</v>
      </c>
      <c r="L667" s="27">
        <v>8.299003355386475E-2</v>
      </c>
      <c r="M667" s="27">
        <v>0.54361533861752975</v>
      </c>
      <c r="N667" s="27">
        <v>0.3733946278286055</v>
      </c>
      <c r="O667" s="27">
        <v>-11.422575901287797</v>
      </c>
      <c r="P667" s="27">
        <v>3.6677861630643516E-2</v>
      </c>
      <c r="Q667" s="27">
        <v>5.1080603462642086E-5</v>
      </c>
      <c r="R667" s="27">
        <v>1.0863004134855927</v>
      </c>
      <c r="S667" s="154"/>
      <c r="T667">
        <v>1.0034254660617574</v>
      </c>
      <c r="U667">
        <v>2.2314246565114186</v>
      </c>
      <c r="V667">
        <v>2.91678965174509</v>
      </c>
      <c r="W667">
        <v>1</v>
      </c>
      <c r="Y667" s="2">
        <v>1153.4643281217527</v>
      </c>
      <c r="Z667" s="2">
        <v>2120.7087557661093</v>
      </c>
      <c r="AA667" s="2">
        <v>3014.6574167289023</v>
      </c>
      <c r="AB667" s="2">
        <v>130.38008386490958</v>
      </c>
      <c r="AC667" s="2">
        <v>1041.233905652555</v>
      </c>
      <c r="AD667" s="2">
        <v>3674.6657117643003</v>
      </c>
      <c r="AE667" s="2">
        <v>561.40911864449947</v>
      </c>
      <c r="AF667" s="2">
        <v>1195.3800566933871</v>
      </c>
      <c r="AG667" s="2">
        <v>170.0292386709209</v>
      </c>
      <c r="AH667" s="2">
        <v>505.60595297131863</v>
      </c>
      <c r="AI667" s="2">
        <v>441645.32598206348</v>
      </c>
      <c r="AJ667" s="2">
        <v>399273.29866760218</v>
      </c>
      <c r="AL667" s="27">
        <v>0.91526448680741757</v>
      </c>
      <c r="AM667" s="27">
        <v>0.91879640617592151</v>
      </c>
      <c r="AN667" s="27">
        <v>0.90580034902313855</v>
      </c>
      <c r="AO667" s="27">
        <v>0.81606537307259874</v>
      </c>
      <c r="AP667" s="27">
        <v>0.69543449907455002</v>
      </c>
      <c r="AQ667" s="27">
        <v>0.91526448680741757</v>
      </c>
      <c r="AR667" s="27">
        <v>0.91879640617592151</v>
      </c>
      <c r="AS667" s="27">
        <v>0.90580034902313855</v>
      </c>
      <c r="AT667" s="27">
        <v>0.81606537307259874</v>
      </c>
      <c r="AU667" s="27">
        <v>0.69543449907455002</v>
      </c>
      <c r="AW667" s="1">
        <v>13.662679992904827</v>
      </c>
      <c r="AX667" s="1">
        <v>15.801282888514365</v>
      </c>
      <c r="AY667" s="2">
        <v>1718511.5872040214</v>
      </c>
      <c r="AZ667" s="1">
        <v>15.449062187331693</v>
      </c>
      <c r="BA667" s="1">
        <v>17.505778725840972</v>
      </c>
      <c r="BB667" s="2">
        <v>1298619.9224917027</v>
      </c>
      <c r="BC667" s="2">
        <f t="shared" si="77"/>
        <v>-419891.66471231868</v>
      </c>
      <c r="BD667" s="292">
        <f t="shared" si="78"/>
        <v>1.7863821944268654</v>
      </c>
      <c r="BF667" s="170">
        <f t="shared" si="73"/>
        <v>467517.21166075114</v>
      </c>
      <c r="BG667" s="2">
        <f t="shared" si="74"/>
        <v>1173230.0274813683</v>
      </c>
      <c r="BI667">
        <f t="shared" si="75"/>
        <v>0</v>
      </c>
      <c r="BJ667" s="95">
        <f t="shared" si="76"/>
        <v>1</v>
      </c>
      <c r="BP667" s="217">
        <f t="shared" si="79"/>
        <v>1173230.0274813683</v>
      </c>
    </row>
    <row r="668" spans="1:68">
      <c r="A668" s="11">
        <v>662</v>
      </c>
      <c r="C668" s="27">
        <v>0.92657861862064261</v>
      </c>
      <c r="D668" s="27">
        <v>7.3421381379357331E-2</v>
      </c>
      <c r="E668" s="27">
        <v>0</v>
      </c>
      <c r="F668" s="27">
        <v>0.86265219533094295</v>
      </c>
      <c r="G668" s="27">
        <v>0.13734780466905708</v>
      </c>
      <c r="H668" s="27">
        <v>0</v>
      </c>
      <c r="I668" s="27">
        <v>0.74959031676129539</v>
      </c>
      <c r="J668" s="27">
        <v>0.25040968323870461</v>
      </c>
      <c r="K668" s="27">
        <v>0</v>
      </c>
      <c r="L668" s="27">
        <v>0.14470659967419031</v>
      </c>
      <c r="M668" s="27">
        <v>0.47187528189226352</v>
      </c>
      <c r="N668" s="27">
        <v>0.38341811843354612</v>
      </c>
      <c r="O668" s="27">
        <v>-10.793817560688396</v>
      </c>
      <c r="P668" s="27">
        <v>3.0114069287697255E-2</v>
      </c>
      <c r="Q668" s="27">
        <v>7.2710362147395107E-5</v>
      </c>
      <c r="R668" s="27">
        <v>1.0671236510361501</v>
      </c>
      <c r="S668" s="154"/>
      <c r="T668">
        <v>1.0115240079610022</v>
      </c>
      <c r="U668">
        <v>2.3080181172789418</v>
      </c>
      <c r="V668">
        <v>3.1200064178594631</v>
      </c>
      <c r="W668">
        <v>1</v>
      </c>
      <c r="Y668" s="2">
        <v>1765.6874059424586</v>
      </c>
      <c r="Z668" s="2">
        <v>9546.9828311960773</v>
      </c>
      <c r="AA668" s="2">
        <v>557.4678092046662</v>
      </c>
      <c r="AB668" s="2">
        <v>70.216529458896218</v>
      </c>
      <c r="AC668" s="2">
        <v>224.6275732292315</v>
      </c>
      <c r="AD668" s="2">
        <v>1068.4894460251162</v>
      </c>
      <c r="AE668" s="2">
        <v>563.35860970741248</v>
      </c>
      <c r="AF668" s="2">
        <v>853.3264126883746</v>
      </c>
      <c r="AG668" s="2">
        <v>101.13705614345041</v>
      </c>
      <c r="AH668" s="2">
        <v>430.04148211288759</v>
      </c>
      <c r="AI668" s="2">
        <v>623550.76727651304</v>
      </c>
      <c r="AJ668" s="2">
        <v>592376.5966658449</v>
      </c>
      <c r="AL668" s="27">
        <v>0.91355334614687767</v>
      </c>
      <c r="AM668" s="27">
        <v>0.90760275464142603</v>
      </c>
      <c r="AN668" s="27">
        <v>0.91052795390202479</v>
      </c>
      <c r="AO668" s="27">
        <v>0.89672274397212226</v>
      </c>
      <c r="AP668" s="27">
        <v>0.71940964104635186</v>
      </c>
      <c r="AQ668" s="27">
        <v>0.91355334614687767</v>
      </c>
      <c r="AR668" s="27">
        <v>0.90760275464142603</v>
      </c>
      <c r="AS668" s="27">
        <v>0.91052795390202479</v>
      </c>
      <c r="AT668" s="27">
        <v>0.89672274397212226</v>
      </c>
      <c r="AU668" s="27">
        <v>0.71940964104635186</v>
      </c>
      <c r="AW668" s="1">
        <v>13.508437045874425</v>
      </c>
      <c r="AX668" s="1">
        <v>15.432827643103638</v>
      </c>
      <c r="AY668" s="2">
        <v>2273014.4957697038</v>
      </c>
      <c r="AZ668" s="1">
        <v>15.420359660167632</v>
      </c>
      <c r="BA668" s="1">
        <v>17.349661817385684</v>
      </c>
      <c r="BB668" s="2">
        <v>1500043.6210013612</v>
      </c>
      <c r="BC668" s="2">
        <f t="shared" si="77"/>
        <v>-772970.87476834259</v>
      </c>
      <c r="BD668" s="292">
        <f t="shared" si="78"/>
        <v>1.9119226142932071</v>
      </c>
      <c r="BF668" s="170">
        <f t="shared" si="73"/>
        <v>-111664.56842979556</v>
      </c>
      <c r="BG668" s="2">
        <f t="shared" si="74"/>
        <v>967213.92462545983</v>
      </c>
      <c r="BI668">
        <f t="shared" si="75"/>
        <v>0</v>
      </c>
      <c r="BJ668" s="95">
        <f t="shared" si="76"/>
        <v>1</v>
      </c>
      <c r="BP668" s="217">
        <f t="shared" si="79"/>
        <v>967213.92462545983</v>
      </c>
    </row>
    <row r="669" spans="1:68">
      <c r="A669" s="11">
        <v>663</v>
      </c>
      <c r="C669" s="27">
        <v>0.92192781774765165</v>
      </c>
      <c r="D669" s="27">
        <v>7.8072182252348354E-2</v>
      </c>
      <c r="E669" s="27">
        <v>0</v>
      </c>
      <c r="F669" s="27">
        <v>0.8569595270387218</v>
      </c>
      <c r="G669" s="27">
        <v>0.1430404729612782</v>
      </c>
      <c r="H669" s="27">
        <v>0</v>
      </c>
      <c r="I669" s="27">
        <v>0.74651319420177675</v>
      </c>
      <c r="J669" s="27">
        <v>0.25348680579822325</v>
      </c>
      <c r="K669" s="27">
        <v>0</v>
      </c>
      <c r="L669" s="27">
        <v>0.10986129909659076</v>
      </c>
      <c r="M669" s="27">
        <v>0.56202786811458316</v>
      </c>
      <c r="N669" s="27">
        <v>0.32811083278882608</v>
      </c>
      <c r="O669" s="27">
        <v>-11.384235197852172</v>
      </c>
      <c r="P669" s="27">
        <v>3.4787704664926436E-2</v>
      </c>
      <c r="Q669" s="27">
        <v>4.9026401348500347E-5</v>
      </c>
      <c r="R669" s="27">
        <v>1.105075281966482</v>
      </c>
      <c r="S669" s="154"/>
      <c r="T669">
        <v>0.96593705695391663</v>
      </c>
      <c r="U669">
        <v>2.2982885132954194</v>
      </c>
      <c r="V669">
        <v>3.130170143294154</v>
      </c>
      <c r="W669">
        <v>1</v>
      </c>
      <c r="Y669" s="2">
        <v>334.21039900066216</v>
      </c>
      <c r="Z669" s="2">
        <v>2465.0174643280134</v>
      </c>
      <c r="AA669" s="2">
        <v>454.270747897945</v>
      </c>
      <c r="AB669" s="2">
        <v>9777.431350939949</v>
      </c>
      <c r="AC669" s="2">
        <v>922.02409957410214</v>
      </c>
      <c r="AD669" s="2">
        <v>181.0139880126508</v>
      </c>
      <c r="AE669" s="2">
        <v>547.31279225932315</v>
      </c>
      <c r="AF669" s="2">
        <v>1147.1901733057589</v>
      </c>
      <c r="AG669" s="2">
        <v>125.95852781167549</v>
      </c>
      <c r="AH669" s="2">
        <v>424.89174725764002</v>
      </c>
      <c r="AI669" s="2">
        <v>480501.28385619581</v>
      </c>
      <c r="AJ669" s="2">
        <v>447919.59609355772</v>
      </c>
      <c r="AL669" s="27">
        <v>0.91733209372178948</v>
      </c>
      <c r="AM669" s="27">
        <v>0.91423635469454534</v>
      </c>
      <c r="AN669" s="27">
        <v>0.90715470230024664</v>
      </c>
      <c r="AO669" s="27">
        <v>0.8847738870901618</v>
      </c>
      <c r="AP669" s="27">
        <v>0.67631491148979872</v>
      </c>
      <c r="AQ669" s="27">
        <v>0.91733209372178948</v>
      </c>
      <c r="AR669" s="27">
        <v>0.91423635469454534</v>
      </c>
      <c r="AS669" s="27">
        <v>0.90715470230024664</v>
      </c>
      <c r="AT669" s="27">
        <v>0.8847738870901618</v>
      </c>
      <c r="AU669" s="27">
        <v>0.67631491148979872</v>
      </c>
      <c r="AW669" s="1">
        <v>13.623983123839803</v>
      </c>
      <c r="AX669" s="1">
        <v>15.789045388963284</v>
      </c>
      <c r="AY669" s="2">
        <v>1935682.3149883961</v>
      </c>
      <c r="AZ669" s="1">
        <v>15.382608248997272</v>
      </c>
      <c r="BA669" s="1">
        <v>17.465571576433589</v>
      </c>
      <c r="BB669" s="2">
        <v>1532703.3247791715</v>
      </c>
      <c r="BC669" s="2">
        <f t="shared" si="77"/>
        <v>-402978.99020922463</v>
      </c>
      <c r="BD669" s="292">
        <f t="shared" si="78"/>
        <v>1.7586251251574687</v>
      </c>
      <c r="BF669" s="170">
        <f t="shared" si="73"/>
        <v>244154.98482597247</v>
      </c>
      <c r="BG669" s="2">
        <f t="shared" si="74"/>
        <v>928513.99506039219</v>
      </c>
      <c r="BI669">
        <f t="shared" si="75"/>
        <v>0</v>
      </c>
      <c r="BJ669" s="95">
        <f t="shared" si="76"/>
        <v>1</v>
      </c>
      <c r="BP669" s="217">
        <f t="shared" si="79"/>
        <v>928513.99506039219</v>
      </c>
    </row>
    <row r="670" spans="1:68">
      <c r="A670" s="11">
        <v>664</v>
      </c>
      <c r="C670" s="27">
        <v>0.92271407599876032</v>
      </c>
      <c r="D670" s="27">
        <v>7.7285924001239681E-2</v>
      </c>
      <c r="E670" s="27">
        <v>0</v>
      </c>
      <c r="F670" s="27">
        <v>0.85954597765784801</v>
      </c>
      <c r="G670" s="27">
        <v>0.14045402234215199</v>
      </c>
      <c r="H670" s="27">
        <v>0</v>
      </c>
      <c r="I670" s="27">
        <v>0.74482690654041328</v>
      </c>
      <c r="J670" s="27">
        <v>0.25517309345958672</v>
      </c>
      <c r="K670" s="27">
        <v>0</v>
      </c>
      <c r="L670" s="27">
        <v>0.10948206162348639</v>
      </c>
      <c r="M670" s="27">
        <v>0.53654008969644051</v>
      </c>
      <c r="N670" s="27">
        <v>0.35397784868007309</v>
      </c>
      <c r="O670" s="27">
        <v>-11.193170296312603</v>
      </c>
      <c r="P670" s="27">
        <v>3.5048034910735784E-2</v>
      </c>
      <c r="Q670" s="27">
        <v>6.0000789946028412E-5</v>
      </c>
      <c r="R670" s="27">
        <v>1.0779262802754315</v>
      </c>
      <c r="S670" s="154"/>
      <c r="T670">
        <v>0.94512954281705941</v>
      </c>
      <c r="U670">
        <v>2.3123740532621886</v>
      </c>
      <c r="V670">
        <v>3.3625423092882198</v>
      </c>
      <c r="W670">
        <v>1</v>
      </c>
      <c r="Y670" s="2">
        <v>333.70899216429859</v>
      </c>
      <c r="Z670" s="2">
        <v>390.74336571998418</v>
      </c>
      <c r="AA670" s="2">
        <v>751.9640472702514</v>
      </c>
      <c r="AB670" s="2">
        <v>3419.7100735052722</v>
      </c>
      <c r="AC670" s="2">
        <v>1442.676457147265</v>
      </c>
      <c r="AD670" s="2">
        <v>1559.1644741813425</v>
      </c>
      <c r="AE670" s="2">
        <v>549.77027492872094</v>
      </c>
      <c r="AF670" s="2">
        <v>893.13145685791926</v>
      </c>
      <c r="AG670" s="2">
        <v>149.97059866154927</v>
      </c>
      <c r="AH670" s="2">
        <v>315.977078001373</v>
      </c>
      <c r="AI670" s="2">
        <v>513736.91588311322</v>
      </c>
      <c r="AJ670" s="2">
        <v>467315.53552020434</v>
      </c>
      <c r="AL670" s="27">
        <v>0.91967055429791122</v>
      </c>
      <c r="AM670" s="27">
        <v>0.91751904564328335</v>
      </c>
      <c r="AN670" s="27">
        <v>0.89859160288374162</v>
      </c>
      <c r="AO670" s="27">
        <v>0.86245192364107026</v>
      </c>
      <c r="AP670" s="27">
        <v>0.76240089790305388</v>
      </c>
      <c r="AQ670" s="27">
        <v>0.91967055429791122</v>
      </c>
      <c r="AR670" s="27">
        <v>0.91751904564328335</v>
      </c>
      <c r="AS670" s="27">
        <v>0.89859160288374162</v>
      </c>
      <c r="AT670" s="27">
        <v>0.86245192364107026</v>
      </c>
      <c r="AU670" s="27">
        <v>0.76240089790305388</v>
      </c>
      <c r="AW670" s="1">
        <v>13.934653972742526</v>
      </c>
      <c r="AX670" s="1">
        <v>15.775409167537054</v>
      </c>
      <c r="AY670" s="2">
        <v>1932217.5298711732</v>
      </c>
      <c r="AZ670" s="1">
        <v>15.596561544703347</v>
      </c>
      <c r="BA670" s="1">
        <v>17.445443880488043</v>
      </c>
      <c r="BB670" s="2">
        <v>1464930.0759757257</v>
      </c>
      <c r="BC670" s="2">
        <f t="shared" si="77"/>
        <v>-467287.45389544754</v>
      </c>
      <c r="BD670" s="292">
        <f t="shared" si="78"/>
        <v>1.6619075719608212</v>
      </c>
      <c r="BF670" s="170">
        <f t="shared" si="73"/>
        <v>297327.10576763097</v>
      </c>
      <c r="BG670" s="2">
        <f t="shared" si="74"/>
        <v>1030519.7711768097</v>
      </c>
      <c r="BI670">
        <f t="shared" si="75"/>
        <v>0</v>
      </c>
      <c r="BJ670" s="95">
        <f t="shared" si="76"/>
        <v>1</v>
      </c>
      <c r="BP670" s="217">
        <f t="shared" si="79"/>
        <v>1030519.7711768097</v>
      </c>
    </row>
    <row r="671" spans="1:68">
      <c r="A671" s="11">
        <v>665</v>
      </c>
      <c r="C671" s="27">
        <v>0.92107331298998141</v>
      </c>
      <c r="D671" s="27">
        <v>7.8926687010018592E-2</v>
      </c>
      <c r="E671" s="27">
        <v>0</v>
      </c>
      <c r="F671" s="27">
        <v>0.8612729656475735</v>
      </c>
      <c r="G671" s="27">
        <v>0.13872703435242648</v>
      </c>
      <c r="H671" s="27">
        <v>0</v>
      </c>
      <c r="I671" s="27">
        <v>0.74543409800429961</v>
      </c>
      <c r="J671" s="27">
        <v>0.25456590199570039</v>
      </c>
      <c r="K671" s="27">
        <v>0</v>
      </c>
      <c r="L671" s="27">
        <v>0.10190429296748826</v>
      </c>
      <c r="M671" s="27">
        <v>0.49756769511352017</v>
      </c>
      <c r="N671" s="27">
        <v>0.40052801191899157</v>
      </c>
      <c r="O671" s="27">
        <v>-11.535668076858466</v>
      </c>
      <c r="P671" s="27">
        <v>3.6062679023604396E-2</v>
      </c>
      <c r="Q671" s="27">
        <v>4.4454891464320994E-5</v>
      </c>
      <c r="R671" s="27">
        <v>1.1188421061345355</v>
      </c>
      <c r="S671" s="154"/>
      <c r="T671">
        <v>1.0874373397740102</v>
      </c>
      <c r="U671">
        <v>2.2550874577976212</v>
      </c>
      <c r="V671">
        <v>3.2506140503647236</v>
      </c>
      <c r="W671">
        <v>1</v>
      </c>
      <c r="Y671" s="2">
        <v>800.74720636751829</v>
      </c>
      <c r="Z671" s="2">
        <v>1504.8782545486597</v>
      </c>
      <c r="AA671" s="2">
        <v>3219.5425951961511</v>
      </c>
      <c r="AB671" s="2">
        <v>12263.15050918787</v>
      </c>
      <c r="AC671" s="2">
        <v>1517.3319078906736</v>
      </c>
      <c r="AD671" s="2">
        <v>713.98463740571515</v>
      </c>
      <c r="AE671" s="2">
        <v>521.84409909216549</v>
      </c>
      <c r="AF671" s="2">
        <v>1468.4421433393682</v>
      </c>
      <c r="AG671" s="2">
        <v>101.70823494350238</v>
      </c>
      <c r="AH671" s="2">
        <v>463.44118871175317</v>
      </c>
      <c r="AI671" s="2">
        <v>605581.94415314042</v>
      </c>
      <c r="AJ671" s="2">
        <v>569455.80738815409</v>
      </c>
      <c r="AL671" s="27">
        <v>0.91088735672788379</v>
      </c>
      <c r="AM671" s="27">
        <v>0.91548644342334839</v>
      </c>
      <c r="AN671" s="27">
        <v>0.91403461376451955</v>
      </c>
      <c r="AO671" s="27">
        <v>0.85739071893981467</v>
      </c>
      <c r="AP671" s="27">
        <v>0.62595437506976059</v>
      </c>
      <c r="AQ671" s="27">
        <v>0.91088735672788379</v>
      </c>
      <c r="AR671" s="27">
        <v>0.91548644342334839</v>
      </c>
      <c r="AS671" s="27">
        <v>0.91403461376451955</v>
      </c>
      <c r="AT671" s="27">
        <v>0.85739071893981467</v>
      </c>
      <c r="AU671" s="27">
        <v>0.62595437506976059</v>
      </c>
      <c r="AW671" s="1">
        <v>12.724707416803943</v>
      </c>
      <c r="AX671" s="1">
        <v>14.976138703503361</v>
      </c>
      <c r="AY671" s="2">
        <v>2238715.1921662502</v>
      </c>
      <c r="AZ671" s="1">
        <v>15.015690772759861</v>
      </c>
      <c r="BA671" s="1">
        <v>17.151330747603865</v>
      </c>
      <c r="BB671" s="2">
        <v>1760841.9215987446</v>
      </c>
      <c r="BC671" s="2">
        <f t="shared" si="77"/>
        <v>-477873.27056750562</v>
      </c>
      <c r="BD671" s="292">
        <f t="shared" si="78"/>
        <v>2.2909833559559178</v>
      </c>
      <c r="BF671" s="170">
        <f t="shared" si="73"/>
        <v>-202762.00547761936</v>
      </c>
      <c r="BG671" s="2">
        <f t="shared" si="74"/>
        <v>641668.60204283334</v>
      </c>
      <c r="BI671">
        <f t="shared" si="75"/>
        <v>0</v>
      </c>
      <c r="BJ671" s="95">
        <f t="shared" si="76"/>
        <v>1</v>
      </c>
      <c r="BP671" s="217">
        <f t="shared" si="79"/>
        <v>641668.60204283334</v>
      </c>
    </row>
    <row r="672" spans="1:68">
      <c r="A672" s="11">
        <v>666</v>
      </c>
      <c r="C672" s="27">
        <v>0.92573043164900515</v>
      </c>
      <c r="D672" s="27">
        <v>7.4269568350994894E-2</v>
      </c>
      <c r="E672" s="27">
        <v>0</v>
      </c>
      <c r="F672" s="27">
        <v>0.85850330199542602</v>
      </c>
      <c r="G672" s="27">
        <v>0.14149669800457401</v>
      </c>
      <c r="H672" s="27">
        <v>0</v>
      </c>
      <c r="I672" s="27">
        <v>0.75149649507161087</v>
      </c>
      <c r="J672" s="27">
        <v>0.24850350492838913</v>
      </c>
      <c r="K672" s="27">
        <v>0</v>
      </c>
      <c r="L672" s="27">
        <v>0.22397835050639786</v>
      </c>
      <c r="M672" s="27">
        <v>0.45966631881687287</v>
      </c>
      <c r="N672" s="27">
        <v>0.31635533067672933</v>
      </c>
      <c r="O672" s="27">
        <v>-10.88841949246782</v>
      </c>
      <c r="P672" s="27">
        <v>3.4226477349619235E-2</v>
      </c>
      <c r="Q672" s="27">
        <v>7.8618191303767436E-5</v>
      </c>
      <c r="R672" s="27">
        <v>1.0433932580845173</v>
      </c>
      <c r="S672" s="154"/>
      <c r="T672">
        <v>0.99976611957738248</v>
      </c>
      <c r="U672">
        <v>2.2617732494105161</v>
      </c>
      <c r="V672">
        <v>2.9230560489485553</v>
      </c>
      <c r="W672">
        <v>1</v>
      </c>
      <c r="Y672" s="2">
        <v>245.35895355265572</v>
      </c>
      <c r="Z672" s="2">
        <v>508.50136521014349</v>
      </c>
      <c r="AA672" s="2">
        <v>146.95787917264337</v>
      </c>
      <c r="AB672" s="2">
        <v>152.64598117493571</v>
      </c>
      <c r="AC672" s="2">
        <v>827.54890778949425</v>
      </c>
      <c r="AD672" s="2">
        <v>881.75236669181345</v>
      </c>
      <c r="AE672" s="2">
        <v>554.51998893956716</v>
      </c>
      <c r="AF672" s="2">
        <v>1057.7793241982754</v>
      </c>
      <c r="AG672" s="2">
        <v>149.54196165847313</v>
      </c>
      <c r="AH672" s="2">
        <v>613.40686754570254</v>
      </c>
      <c r="AI672" s="2">
        <v>557208.84260199277</v>
      </c>
      <c r="AJ672" s="2">
        <v>512949.11388662038</v>
      </c>
      <c r="AL672" s="27">
        <v>0.92078018138171824</v>
      </c>
      <c r="AM672" s="27">
        <v>0.9102212775068218</v>
      </c>
      <c r="AN672" s="27">
        <v>0.90839779609026383</v>
      </c>
      <c r="AO672" s="27">
        <v>0.83301310711837195</v>
      </c>
      <c r="AP672" s="27">
        <v>0.75387851767865821</v>
      </c>
      <c r="AQ672" s="27">
        <v>0.92078018138171824</v>
      </c>
      <c r="AR672" s="27">
        <v>0.9102212775068218</v>
      </c>
      <c r="AS672" s="27">
        <v>0.90839779609026383</v>
      </c>
      <c r="AT672" s="27">
        <v>0.83301310711837195</v>
      </c>
      <c r="AU672" s="27">
        <v>0.75387851767865821</v>
      </c>
      <c r="AW672" s="1">
        <v>13.996573175144064</v>
      </c>
      <c r="AX672" s="1">
        <v>15.894442771326471</v>
      </c>
      <c r="AY672" s="2">
        <v>2094967.0957998091</v>
      </c>
      <c r="AZ672" s="1">
        <v>15.704092107279152</v>
      </c>
      <c r="BA672" s="1">
        <v>17.59278141592846</v>
      </c>
      <c r="BB672" s="2">
        <v>1490651.5129345437</v>
      </c>
      <c r="BC672" s="2">
        <f t="shared" si="77"/>
        <v>-604315.58286526543</v>
      </c>
      <c r="BD672" s="292">
        <f t="shared" si="78"/>
        <v>1.7075189321350877</v>
      </c>
      <c r="BF672" s="170">
        <f t="shared" si="73"/>
        <v>144484.61222324125</v>
      </c>
      <c r="BG672" s="2">
        <f t="shared" si="74"/>
        <v>1022003.2242301204</v>
      </c>
      <c r="BI672">
        <f t="shared" si="75"/>
        <v>0</v>
      </c>
      <c r="BJ672" s="95">
        <f t="shared" si="76"/>
        <v>1</v>
      </c>
      <c r="BP672" s="217">
        <f t="shared" si="79"/>
        <v>1022003.2242301204</v>
      </c>
    </row>
    <row r="673" spans="1:68">
      <c r="A673" s="11">
        <v>667</v>
      </c>
      <c r="C673" s="27">
        <v>0.92327464836580653</v>
      </c>
      <c r="D673" s="27">
        <v>7.6725351634193487E-2</v>
      </c>
      <c r="E673" s="27">
        <v>0</v>
      </c>
      <c r="F673" s="27">
        <v>0.85879260977687966</v>
      </c>
      <c r="G673" s="27">
        <v>0.14120739022312034</v>
      </c>
      <c r="H673" s="27">
        <v>0</v>
      </c>
      <c r="I673" s="27">
        <v>0.75053301640002501</v>
      </c>
      <c r="J673" s="27">
        <v>0.24946698359997493</v>
      </c>
      <c r="K673" s="27">
        <v>0</v>
      </c>
      <c r="L673" s="27">
        <v>0.12021563050206996</v>
      </c>
      <c r="M673" s="27">
        <v>0.45703805345298537</v>
      </c>
      <c r="N673" s="27">
        <v>0.42274631604494461</v>
      </c>
      <c r="O673" s="27">
        <v>-10.985372182136528</v>
      </c>
      <c r="P673" s="27">
        <v>3.2092471840742105E-2</v>
      </c>
      <c r="Q673" s="27">
        <v>6.5236699943256062E-5</v>
      </c>
      <c r="R673" s="27">
        <v>1.0695130787429354</v>
      </c>
      <c r="S673" s="154"/>
      <c r="T673">
        <v>0.91250135984228342</v>
      </c>
      <c r="U673">
        <v>2.2227413549147492</v>
      </c>
      <c r="V673">
        <v>3.3458646874693594</v>
      </c>
      <c r="W673">
        <v>1</v>
      </c>
      <c r="Y673" s="2">
        <v>309.31550834315641</v>
      </c>
      <c r="Z673" s="2">
        <v>4845.6257850888924</v>
      </c>
      <c r="AA673" s="2">
        <v>879.29178099208241</v>
      </c>
      <c r="AB673" s="2">
        <v>1369.2196546640116</v>
      </c>
      <c r="AC673" s="2">
        <v>971.5877795432242</v>
      </c>
      <c r="AD673" s="2">
        <v>2510.8708022223186</v>
      </c>
      <c r="AE673" s="2">
        <v>573.7569771721578</v>
      </c>
      <c r="AF673" s="2">
        <v>898.97177359201783</v>
      </c>
      <c r="AG673" s="2">
        <v>132.23915621377358</v>
      </c>
      <c r="AH673" s="2">
        <v>906.30532601950404</v>
      </c>
      <c r="AI673" s="2">
        <v>371589.07341868489</v>
      </c>
      <c r="AJ673" s="2">
        <v>330174.05268756341</v>
      </c>
      <c r="AL673" s="27">
        <v>0.91984595583521778</v>
      </c>
      <c r="AM673" s="27">
        <v>0.90901729042719992</v>
      </c>
      <c r="AN673" s="27">
        <v>0.90804670910956609</v>
      </c>
      <c r="AO673" s="27">
        <v>0.87622489872986042</v>
      </c>
      <c r="AP673" s="27">
        <v>0.65750558206832899</v>
      </c>
      <c r="AQ673" s="27">
        <v>0.91984595583521778</v>
      </c>
      <c r="AR673" s="27">
        <v>0.90901729042719992</v>
      </c>
      <c r="AS673" s="27">
        <v>0.90804670910956609</v>
      </c>
      <c r="AT673" s="27">
        <v>0.87622489872986042</v>
      </c>
      <c r="AU673" s="27">
        <v>0.65750558206832899</v>
      </c>
      <c r="AW673" s="1">
        <v>13.475820144809084</v>
      </c>
      <c r="AX673" s="1">
        <v>15.498690424640959</v>
      </c>
      <c r="AY673" s="2">
        <v>1214771.6787498668</v>
      </c>
      <c r="AZ673" s="1">
        <v>15.158584917234101</v>
      </c>
      <c r="BA673" s="1">
        <v>17.150441389240147</v>
      </c>
      <c r="BB673" s="2">
        <v>925365.34883219982</v>
      </c>
      <c r="BC673" s="2">
        <f t="shared" si="77"/>
        <v>-289406.32991766697</v>
      </c>
      <c r="BD673" s="292">
        <f t="shared" si="78"/>
        <v>1.682764772425017</v>
      </c>
      <c r="BF673" s="170">
        <f t="shared" si="73"/>
        <v>941359.54441958666</v>
      </c>
      <c r="BG673" s="2">
        <f t="shared" si="74"/>
        <v>1500008.2379252566</v>
      </c>
      <c r="BI673">
        <f t="shared" si="75"/>
        <v>0</v>
      </c>
      <c r="BJ673" s="95">
        <f t="shared" si="76"/>
        <v>1</v>
      </c>
      <c r="BP673" s="217">
        <f t="shared" si="79"/>
        <v>1500008.2379252566</v>
      </c>
    </row>
    <row r="674" spans="1:68">
      <c r="A674" s="11">
        <v>668</v>
      </c>
      <c r="C674" s="27">
        <v>0.92121974699749443</v>
      </c>
      <c r="D674" s="27">
        <v>7.8780253002505574E-2</v>
      </c>
      <c r="E674" s="27">
        <v>0</v>
      </c>
      <c r="F674" s="27">
        <v>0.8554956918676343</v>
      </c>
      <c r="G674" s="27">
        <v>0.1445043081323657</v>
      </c>
      <c r="H674" s="27">
        <v>0</v>
      </c>
      <c r="I674" s="27">
        <v>0.75214943495030639</v>
      </c>
      <c r="J674" s="27">
        <v>0.24785056504969358</v>
      </c>
      <c r="K674" s="27">
        <v>0</v>
      </c>
      <c r="L674" s="27">
        <v>0.11714616710314263</v>
      </c>
      <c r="M674" s="27">
        <v>0.53113580192459731</v>
      </c>
      <c r="N674" s="27">
        <v>0.35171803097226007</v>
      </c>
      <c r="O674" s="27">
        <v>-11.04893513297929</v>
      </c>
      <c r="P674" s="27">
        <v>3.476657434211345E-2</v>
      </c>
      <c r="Q674" s="27">
        <v>6.8495739575357689E-5</v>
      </c>
      <c r="R674" s="27">
        <v>1.0628411223883982</v>
      </c>
      <c r="S674" s="154"/>
      <c r="T674">
        <v>0.92772257380886947</v>
      </c>
      <c r="U674">
        <v>2.2785305959830908</v>
      </c>
      <c r="V674">
        <v>2.8333354777228053</v>
      </c>
      <c r="W674">
        <v>1</v>
      </c>
      <c r="Y674" s="2">
        <v>749.57994473962106</v>
      </c>
      <c r="Z674" s="2">
        <v>789.16433170488642</v>
      </c>
      <c r="AA674" s="2">
        <v>328.88072499892365</v>
      </c>
      <c r="AB674" s="2">
        <v>5397.6581135467841</v>
      </c>
      <c r="AC674" s="2">
        <v>352.73617720507866</v>
      </c>
      <c r="AD674" s="2">
        <v>239.01812827787711</v>
      </c>
      <c r="AE674" s="2">
        <v>594.86873962067671</v>
      </c>
      <c r="AF674" s="2">
        <v>814.61743737504582</v>
      </c>
      <c r="AG674" s="2">
        <v>75.598493672200334</v>
      </c>
      <c r="AH674" s="2">
        <v>382.47206323637243</v>
      </c>
      <c r="AI674" s="2">
        <v>508662.03311927925</v>
      </c>
      <c r="AJ674" s="2">
        <v>472997.89922706771</v>
      </c>
      <c r="AL674" s="27">
        <v>0.91470854692324954</v>
      </c>
      <c r="AM674" s="27">
        <v>0.9149756735058252</v>
      </c>
      <c r="AN674" s="27">
        <v>0.91449969870294612</v>
      </c>
      <c r="AO674" s="27">
        <v>0.85954235571430548</v>
      </c>
      <c r="AP674" s="27">
        <v>0.71789160076229364</v>
      </c>
      <c r="AQ674" s="27">
        <v>0.91470854692324954</v>
      </c>
      <c r="AR674" s="27">
        <v>0.9149756735058252</v>
      </c>
      <c r="AS674" s="27">
        <v>0.91449969870294612</v>
      </c>
      <c r="AT674" s="27">
        <v>0.85954235571430548</v>
      </c>
      <c r="AU674" s="27">
        <v>0.71789160076229364</v>
      </c>
      <c r="AW674" s="1">
        <v>13.832382844665535</v>
      </c>
      <c r="AX674" s="1">
        <v>15.864244298371059</v>
      </c>
      <c r="AY674" s="2">
        <v>1933952.3836363999</v>
      </c>
      <c r="AZ674" s="1">
        <v>15.420210810654405</v>
      </c>
      <c r="BA674" s="1">
        <v>17.407371735630942</v>
      </c>
      <c r="BB674" s="2">
        <v>1507458.4131229497</v>
      </c>
      <c r="BC674" s="2">
        <f t="shared" si="77"/>
        <v>-426493.97051345021</v>
      </c>
      <c r="BD674" s="292">
        <f t="shared" si="78"/>
        <v>1.5878279659888701</v>
      </c>
      <c r="BF674" s="170">
        <f t="shared" si="73"/>
        <v>279228.87151008588</v>
      </c>
      <c r="BG674" s="2">
        <f t="shared" si="74"/>
        <v>959775.31658175495</v>
      </c>
      <c r="BI674">
        <f t="shared" si="75"/>
        <v>0</v>
      </c>
      <c r="BJ674" s="95">
        <f t="shared" si="76"/>
        <v>1</v>
      </c>
      <c r="BP674" s="217">
        <f t="shared" si="79"/>
        <v>959775.31658175495</v>
      </c>
    </row>
    <row r="675" spans="1:68">
      <c r="A675" s="11">
        <v>669</v>
      </c>
      <c r="C675" s="27">
        <v>0.92167716415135481</v>
      </c>
      <c r="D675" s="27">
        <v>7.8322835848645189E-2</v>
      </c>
      <c r="E675" s="27">
        <v>0</v>
      </c>
      <c r="F675" s="27">
        <v>0.84912915911709563</v>
      </c>
      <c r="G675" s="27">
        <v>0.15087084088290437</v>
      </c>
      <c r="H675" s="27">
        <v>0</v>
      </c>
      <c r="I675" s="27">
        <v>0.74937171711474737</v>
      </c>
      <c r="J675" s="27">
        <v>0.25062828288525263</v>
      </c>
      <c r="K675" s="27">
        <v>0</v>
      </c>
      <c r="L675" s="27">
        <v>0.10697691532967712</v>
      </c>
      <c r="M675" s="27">
        <v>0.51210545611135005</v>
      </c>
      <c r="N675" s="27">
        <v>0.38091762855897282</v>
      </c>
      <c r="O675" s="27">
        <v>-11.182896563383192</v>
      </c>
      <c r="P675" s="27">
        <v>3.5567635094516416E-2</v>
      </c>
      <c r="Q675" s="27">
        <v>6.1957871896557533E-5</v>
      </c>
      <c r="R675" s="27">
        <v>1.0677736297121032</v>
      </c>
      <c r="S675" s="154"/>
      <c r="T675">
        <v>0.95381056459785729</v>
      </c>
      <c r="U675">
        <v>2.2704579995637983</v>
      </c>
      <c r="V675">
        <v>2.7819556953686848</v>
      </c>
      <c r="W675">
        <v>1</v>
      </c>
      <c r="Y675" s="2">
        <v>438.74640248563298</v>
      </c>
      <c r="Z675" s="2">
        <v>10009.831434447104</v>
      </c>
      <c r="AA675" s="2">
        <v>378.85043916477252</v>
      </c>
      <c r="AB675" s="2">
        <v>7105.5427549283231</v>
      </c>
      <c r="AC675" s="2">
        <v>865.50456504504302</v>
      </c>
      <c r="AD675" s="2">
        <v>205.90840407863786</v>
      </c>
      <c r="AE675" s="2">
        <v>597.12913557541435</v>
      </c>
      <c r="AF675" s="2">
        <v>1027.8219956300704</v>
      </c>
      <c r="AG675" s="2">
        <v>115.08316057085509</v>
      </c>
      <c r="AH675" s="2">
        <v>375.47221931451952</v>
      </c>
      <c r="AI675" s="2">
        <v>731909.05079073959</v>
      </c>
      <c r="AJ675" s="2">
        <v>709122.63080786809</v>
      </c>
      <c r="AL675" s="27">
        <v>0.91795266688777599</v>
      </c>
      <c r="AM675" s="27">
        <v>0.91767764975151334</v>
      </c>
      <c r="AN675" s="27">
        <v>0.91294111606082062</v>
      </c>
      <c r="AO675" s="27">
        <v>0.8844602917342872</v>
      </c>
      <c r="AP675" s="27">
        <v>0.76120756685176838</v>
      </c>
      <c r="AQ675" s="27">
        <v>0.91795266688777599</v>
      </c>
      <c r="AR675" s="27">
        <v>0.91767764975151334</v>
      </c>
      <c r="AS675" s="27">
        <v>0.91294111606082062</v>
      </c>
      <c r="AT675" s="27">
        <v>0.8844602917342872</v>
      </c>
      <c r="AU675" s="27">
        <v>0.76120756685176838</v>
      </c>
      <c r="AW675" s="1">
        <v>13.850997761973675</v>
      </c>
      <c r="AX675" s="1">
        <v>15.669551188873076</v>
      </c>
      <c r="AY675" s="2">
        <v>2979744.6614843737</v>
      </c>
      <c r="AZ675" s="1">
        <v>15.455095409263125</v>
      </c>
      <c r="BA675" s="1">
        <v>17.272054618883203</v>
      </c>
      <c r="BB675" s="2">
        <v>2201531.3786391802</v>
      </c>
      <c r="BC675" s="2">
        <f t="shared" si="77"/>
        <v>-778213.28284519352</v>
      </c>
      <c r="BD675" s="292">
        <f t="shared" si="78"/>
        <v>1.6040976472894499</v>
      </c>
      <c r="BF675" s="170">
        <f t="shared" si="73"/>
        <v>-763585.01956858579</v>
      </c>
      <c r="BG675" s="2">
        <f t="shared" si="74"/>
        <v>271283.88684291998</v>
      </c>
      <c r="BI675">
        <f t="shared" si="75"/>
        <v>0</v>
      </c>
      <c r="BJ675" s="95">
        <f t="shared" si="76"/>
        <v>1</v>
      </c>
      <c r="BP675" s="217">
        <f t="shared" si="79"/>
        <v>271283.88684291998</v>
      </c>
    </row>
    <row r="676" spans="1:68">
      <c r="A676" s="11">
        <v>670</v>
      </c>
      <c r="C676" s="27">
        <v>0.92415261362650336</v>
      </c>
      <c r="D676" s="27">
        <v>7.5847386373496639E-2</v>
      </c>
      <c r="E676" s="27">
        <v>0</v>
      </c>
      <c r="F676" s="27">
        <v>0.85841561919853038</v>
      </c>
      <c r="G676" s="27">
        <v>0.14158438080146959</v>
      </c>
      <c r="H676" s="27">
        <v>0</v>
      </c>
      <c r="I676" s="27">
        <v>0.75297587515203745</v>
      </c>
      <c r="J676" s="27">
        <v>0.24702412484796249</v>
      </c>
      <c r="K676" s="27">
        <v>0</v>
      </c>
      <c r="L676" s="27">
        <v>5.4365519390165429E-2</v>
      </c>
      <c r="M676" s="27">
        <v>0.55755718667827858</v>
      </c>
      <c r="N676" s="27">
        <v>0.38807729393155599</v>
      </c>
      <c r="O676" s="27">
        <v>-10.849501189748796</v>
      </c>
      <c r="P676" s="27">
        <v>3.0417404989384597E-2</v>
      </c>
      <c r="Q676" s="27">
        <v>6.9654017356781303E-5</v>
      </c>
      <c r="R676" s="27">
        <v>1.0688459545122106</v>
      </c>
      <c r="S676" s="154"/>
      <c r="T676">
        <v>0.99732936171465303</v>
      </c>
      <c r="U676">
        <v>2.2201482886372981</v>
      </c>
      <c r="V676">
        <v>2.8286519880489291</v>
      </c>
      <c r="W676">
        <v>1</v>
      </c>
      <c r="Y676" s="2">
        <v>74.136969374012025</v>
      </c>
      <c r="Z676" s="2">
        <v>8481.8849857880232</v>
      </c>
      <c r="AA676" s="2">
        <v>1035.5637637657492</v>
      </c>
      <c r="AB676" s="2">
        <v>3142.2248587702261</v>
      </c>
      <c r="AC676" s="2">
        <v>345.69810499835324</v>
      </c>
      <c r="AD676" s="2">
        <v>187.2494207954561</v>
      </c>
      <c r="AE676" s="2">
        <v>552.88734031395506</v>
      </c>
      <c r="AF676" s="2">
        <v>972.59649730263891</v>
      </c>
      <c r="AG676" s="2">
        <v>125.30675560717341</v>
      </c>
      <c r="AH676" s="2">
        <v>386.09776740685243</v>
      </c>
      <c r="AI676" s="2">
        <v>417546.76182682515</v>
      </c>
      <c r="AJ676" s="2">
        <v>384096.78373975307</v>
      </c>
      <c r="AL676" s="27">
        <v>0.91140826984095669</v>
      </c>
      <c r="AM676" s="27">
        <v>0.92241767231112959</v>
      </c>
      <c r="AN676" s="27">
        <v>0.90135976961084818</v>
      </c>
      <c r="AO676" s="27">
        <v>0.8483161874245525</v>
      </c>
      <c r="AP676" s="27">
        <v>0.7935061533642338</v>
      </c>
      <c r="AQ676" s="27">
        <v>0.91140826984095669</v>
      </c>
      <c r="AR676" s="27">
        <v>0.92241767231112959</v>
      </c>
      <c r="AS676" s="27">
        <v>0.90135976961084818</v>
      </c>
      <c r="AT676" s="27">
        <v>0.8483161874245525</v>
      </c>
      <c r="AU676" s="27">
        <v>0.7935061533642338</v>
      </c>
      <c r="AW676" s="1">
        <v>13.852981240444885</v>
      </c>
      <c r="AX676" s="1">
        <v>15.634980027536246</v>
      </c>
      <c r="AY676" s="2">
        <v>1616336.2858102845</v>
      </c>
      <c r="AZ676" s="1">
        <v>15.573458923796757</v>
      </c>
      <c r="BA676" s="1">
        <v>17.385138787338754</v>
      </c>
      <c r="BB676" s="2">
        <v>1144843.0096694857</v>
      </c>
      <c r="BC676" s="2">
        <f t="shared" si="77"/>
        <v>-471493.27614079881</v>
      </c>
      <c r="BD676" s="292">
        <f t="shared" si="78"/>
        <v>1.7204776833518718</v>
      </c>
      <c r="BF676" s="170">
        <f t="shared" si="73"/>
        <v>600140.71266089729</v>
      </c>
      <c r="BG676" s="2">
        <f t="shared" si="74"/>
        <v>1346910.4181379953</v>
      </c>
      <c r="BI676">
        <f t="shared" si="75"/>
        <v>0</v>
      </c>
      <c r="BJ676" s="95">
        <f t="shared" si="76"/>
        <v>1</v>
      </c>
      <c r="BP676" s="217">
        <f t="shared" si="79"/>
        <v>1346910.4181379953</v>
      </c>
    </row>
    <row r="677" spans="1:68">
      <c r="A677" s="11">
        <v>671</v>
      </c>
      <c r="C677" s="27">
        <v>0.9252106845682283</v>
      </c>
      <c r="D677" s="27">
        <v>7.4789315431771669E-2</v>
      </c>
      <c r="E677" s="27">
        <v>0</v>
      </c>
      <c r="F677" s="27">
        <v>0.85481253872043672</v>
      </c>
      <c r="G677" s="27">
        <v>0.14518746127956328</v>
      </c>
      <c r="H677" s="27">
        <v>0</v>
      </c>
      <c r="I677" s="27">
        <v>0.76089189451294525</v>
      </c>
      <c r="J677" s="27">
        <v>0.23910810548705477</v>
      </c>
      <c r="K677" s="27">
        <v>0</v>
      </c>
      <c r="L677" s="27">
        <v>0.11202154683246446</v>
      </c>
      <c r="M677" s="27">
        <v>0.48630959077981939</v>
      </c>
      <c r="N677" s="27">
        <v>0.40166886238771615</v>
      </c>
      <c r="O677" s="27">
        <v>-10.744566137673816</v>
      </c>
      <c r="P677" s="27">
        <v>2.9598706825857794E-2</v>
      </c>
      <c r="Q677" s="27">
        <v>7.4745582009814871E-5</v>
      </c>
      <c r="R677" s="27">
        <v>1.0604178341263024</v>
      </c>
      <c r="S677" s="154"/>
      <c r="T677">
        <v>1.0444367548604181</v>
      </c>
      <c r="U677">
        <v>2.2535768416516895</v>
      </c>
      <c r="V677">
        <v>2.7494137236825043</v>
      </c>
      <c r="W677">
        <v>1</v>
      </c>
      <c r="Y677" s="2">
        <v>901.59746297599088</v>
      </c>
      <c r="Z677" s="2">
        <v>2945.6874170957449</v>
      </c>
      <c r="AA677" s="2">
        <v>37.174524188839733</v>
      </c>
      <c r="AB677" s="2">
        <v>5231.1771482282757</v>
      </c>
      <c r="AC677" s="2">
        <v>453.33282804425789</v>
      </c>
      <c r="AD677" s="2">
        <v>937.25029999110586</v>
      </c>
      <c r="AE677" s="2">
        <v>566.50779128927127</v>
      </c>
      <c r="AF677" s="2">
        <v>1269.1497886072716</v>
      </c>
      <c r="AG677" s="2">
        <v>111.70685201098965</v>
      </c>
      <c r="AH677" s="2">
        <v>288.74735689336495</v>
      </c>
      <c r="AI677" s="2">
        <v>461983.45001576829</v>
      </c>
      <c r="AJ677" s="2">
        <v>434941.47437287791</v>
      </c>
      <c r="AL677" s="27">
        <v>0.91692507724080086</v>
      </c>
      <c r="AM677" s="27">
        <v>0.91744945341457285</v>
      </c>
      <c r="AN677" s="27">
        <v>0.90026664876458795</v>
      </c>
      <c r="AO677" s="27">
        <v>0.83062557410354332</v>
      </c>
      <c r="AP677" s="27">
        <v>0.78086059510760042</v>
      </c>
      <c r="AQ677" s="27">
        <v>0.91692507724080086</v>
      </c>
      <c r="AR677" s="27">
        <v>0.91744945341457285</v>
      </c>
      <c r="AS677" s="27">
        <v>0.90026664876458795</v>
      </c>
      <c r="AT677" s="27">
        <v>0.83062557410354332</v>
      </c>
      <c r="AU677" s="27">
        <v>0.78086059510760042</v>
      </c>
      <c r="AW677" s="1">
        <v>13.594350487731543</v>
      </c>
      <c r="AX677" s="1">
        <v>15.344305314710041</v>
      </c>
      <c r="AY677" s="2">
        <v>1656837.5019694783</v>
      </c>
      <c r="AZ677" s="1">
        <v>15.488251893892997</v>
      </c>
      <c r="BA677" s="1">
        <v>17.277639101317853</v>
      </c>
      <c r="BB677" s="2">
        <v>1226771.8303132609</v>
      </c>
      <c r="BC677" s="2">
        <f t="shared" si="77"/>
        <v>-430065.67165621743</v>
      </c>
      <c r="BD677" s="292">
        <f t="shared" si="78"/>
        <v>1.8939014061614543</v>
      </c>
      <c r="BF677" s="170">
        <f t="shared" si="73"/>
        <v>518258.5760675685</v>
      </c>
      <c r="BG677" s="2">
        <f t="shared" si="74"/>
        <v>1251348.4727096187</v>
      </c>
      <c r="BI677">
        <f t="shared" si="75"/>
        <v>0</v>
      </c>
      <c r="BJ677" s="95">
        <f t="shared" si="76"/>
        <v>1</v>
      </c>
      <c r="BP677" s="217">
        <f t="shared" si="79"/>
        <v>1251348.4727096187</v>
      </c>
    </row>
    <row r="678" spans="1:68">
      <c r="A678" s="11">
        <v>672</v>
      </c>
      <c r="C678" s="27">
        <v>0.92274281784407286</v>
      </c>
      <c r="D678" s="27">
        <v>7.725718215592714E-2</v>
      </c>
      <c r="E678" s="27">
        <v>0</v>
      </c>
      <c r="F678" s="27">
        <v>0.85920687883479951</v>
      </c>
      <c r="G678" s="27">
        <v>0.14079312116520046</v>
      </c>
      <c r="H678" s="27">
        <v>0</v>
      </c>
      <c r="I678" s="27">
        <v>0.75030083208403897</v>
      </c>
      <c r="J678" s="27">
        <v>0.24969916791596103</v>
      </c>
      <c r="K678" s="27">
        <v>0</v>
      </c>
      <c r="L678" s="27">
        <v>5.5038482662791433E-2</v>
      </c>
      <c r="M678" s="27">
        <v>0.54121040609617665</v>
      </c>
      <c r="N678" s="27">
        <v>0.40375111124103191</v>
      </c>
      <c r="O678" s="27">
        <v>-11.389112889617502</v>
      </c>
      <c r="P678" s="27">
        <v>3.4311682360974927E-2</v>
      </c>
      <c r="Q678" s="27">
        <v>4.7822121604198625E-5</v>
      </c>
      <c r="R678" s="27">
        <v>1.1060850519358734</v>
      </c>
      <c r="S678" s="154"/>
      <c r="T678">
        <v>1.0317463008226142</v>
      </c>
      <c r="U678">
        <v>2.1807469150039394</v>
      </c>
      <c r="V678">
        <v>3.3054522986873001</v>
      </c>
      <c r="W678">
        <v>1</v>
      </c>
      <c r="Y678" s="2">
        <v>257.7007592948197</v>
      </c>
      <c r="Z678" s="2">
        <v>5090.8650757590694</v>
      </c>
      <c r="AA678" s="2">
        <v>522.76571465623692</v>
      </c>
      <c r="AB678" s="2">
        <v>7751.1564371280374</v>
      </c>
      <c r="AC678" s="2">
        <v>186.96775209313736</v>
      </c>
      <c r="AD678" s="2">
        <v>906.70110921590606</v>
      </c>
      <c r="AE678" s="2">
        <v>584.74731569872415</v>
      </c>
      <c r="AF678" s="2">
        <v>1153.7528361233592</v>
      </c>
      <c r="AG678" s="2">
        <v>109.85168715312757</v>
      </c>
      <c r="AH678" s="2">
        <v>271.42063278180035</v>
      </c>
      <c r="AI678" s="2">
        <v>660942.98936989822</v>
      </c>
      <c r="AJ678" s="2">
        <v>633752.62593358138</v>
      </c>
      <c r="AL678" s="27">
        <v>0.92556024951491156</v>
      </c>
      <c r="AM678" s="27">
        <v>0.91237463509702432</v>
      </c>
      <c r="AN678" s="27">
        <v>0.90860181173800814</v>
      </c>
      <c r="AO678" s="27">
        <v>0.84344010641937472</v>
      </c>
      <c r="AP678" s="27">
        <v>0.65915591767271431</v>
      </c>
      <c r="AQ678" s="27">
        <v>0.92556024951491156</v>
      </c>
      <c r="AR678" s="27">
        <v>0.91237463509702432</v>
      </c>
      <c r="AS678" s="27">
        <v>0.90860181173800814</v>
      </c>
      <c r="AT678" s="27">
        <v>0.84344010641937472</v>
      </c>
      <c r="AU678" s="27">
        <v>0.65915591767271431</v>
      </c>
      <c r="AW678" s="1">
        <v>13.275988525498374</v>
      </c>
      <c r="AX678" s="1">
        <v>15.359059899174662</v>
      </c>
      <c r="AY678" s="2">
        <v>2558314.8167112651</v>
      </c>
      <c r="AZ678" s="1">
        <v>15.292002760296675</v>
      </c>
      <c r="BA678" s="1">
        <v>17.289309321192224</v>
      </c>
      <c r="BB678" s="2">
        <v>1879967.2063442459</v>
      </c>
      <c r="BC678" s="2">
        <f t="shared" si="77"/>
        <v>-678347.6103670192</v>
      </c>
      <c r="BD678" s="292">
        <f t="shared" si="78"/>
        <v>2.0160142347983019</v>
      </c>
      <c r="BF678" s="170">
        <f t="shared" si="73"/>
        <v>-434156.65263152542</v>
      </c>
      <c r="BG678" s="2">
        <f t="shared" si="74"/>
        <v>566753.2353032222</v>
      </c>
      <c r="BI678">
        <f t="shared" si="75"/>
        <v>0</v>
      </c>
      <c r="BJ678" s="95">
        <f t="shared" si="76"/>
        <v>1</v>
      </c>
      <c r="BP678" s="217">
        <f t="shared" si="79"/>
        <v>566753.2353032222</v>
      </c>
    </row>
    <row r="679" spans="1:68">
      <c r="A679" s="11">
        <v>673</v>
      </c>
      <c r="C679" s="27">
        <v>0.92338928865024827</v>
      </c>
      <c r="D679" s="27">
        <v>7.6610711349751739E-2</v>
      </c>
      <c r="E679" s="27">
        <v>0</v>
      </c>
      <c r="F679" s="27">
        <v>0.86330526894344151</v>
      </c>
      <c r="G679" s="27">
        <v>0.13669473105655849</v>
      </c>
      <c r="H679" s="27">
        <v>0</v>
      </c>
      <c r="I679" s="27">
        <v>0.74897598826491107</v>
      </c>
      <c r="J679" s="27">
        <v>0.25102401173508893</v>
      </c>
      <c r="K679" s="27">
        <v>0</v>
      </c>
      <c r="L679" s="27">
        <v>0.1395671047602246</v>
      </c>
      <c r="M679" s="27">
        <v>0.48082515859092601</v>
      </c>
      <c r="N679" s="27">
        <v>0.37960773664884939</v>
      </c>
      <c r="O679" s="27">
        <v>-10.887735900616462</v>
      </c>
      <c r="P679" s="27">
        <v>3.2390491214136653E-2</v>
      </c>
      <c r="Q679" s="27">
        <v>7.2833447133613052E-5</v>
      </c>
      <c r="R679" s="27">
        <v>1.0574523744277768</v>
      </c>
      <c r="S679" s="154"/>
      <c r="T679">
        <v>0.96312587830649743</v>
      </c>
      <c r="U679">
        <v>2.3488813788596303</v>
      </c>
      <c r="V679">
        <v>3.0172052760129078</v>
      </c>
      <c r="W679">
        <v>1</v>
      </c>
      <c r="Y679" s="2">
        <v>404.53679272976473</v>
      </c>
      <c r="Z679" s="2">
        <v>3392.8004935282493</v>
      </c>
      <c r="AA679" s="2">
        <v>336.8639746576406</v>
      </c>
      <c r="AB679" s="2">
        <v>1248.5468005251787</v>
      </c>
      <c r="AC679" s="2">
        <v>35.303697258000049</v>
      </c>
      <c r="AD679" s="2">
        <v>1375.7192150894464</v>
      </c>
      <c r="AE679" s="2">
        <v>538.74012123836349</v>
      </c>
      <c r="AF679" s="2">
        <v>1142.0444227709345</v>
      </c>
      <c r="AG679" s="2">
        <v>103.4180092474195</v>
      </c>
      <c r="AH679" s="2">
        <v>435.46358141927766</v>
      </c>
      <c r="AI679" s="2">
        <v>482112.01914317918</v>
      </c>
      <c r="AJ679" s="2">
        <v>457716.18042176275</v>
      </c>
      <c r="AL679" s="27">
        <v>0.9148426105161469</v>
      </c>
      <c r="AM679" s="27">
        <v>0.9188961690259444</v>
      </c>
      <c r="AN679" s="27">
        <v>0.90770281161839073</v>
      </c>
      <c r="AO679" s="27">
        <v>0.82483402905471304</v>
      </c>
      <c r="AP679" s="27">
        <v>0.64714288430914835</v>
      </c>
      <c r="AQ679" s="27">
        <v>0.9148426105161469</v>
      </c>
      <c r="AR679" s="27">
        <v>0.9188961690259444</v>
      </c>
      <c r="AS679" s="27">
        <v>0.90770281161839073</v>
      </c>
      <c r="AT679" s="27">
        <v>0.82483402905471304</v>
      </c>
      <c r="AU679" s="27">
        <v>0.64714288430914835</v>
      </c>
      <c r="AW679" s="1">
        <v>13.393752705470803</v>
      </c>
      <c r="AX679" s="1">
        <v>15.592761889228488</v>
      </c>
      <c r="AY679" s="2">
        <v>1769081.5629544391</v>
      </c>
      <c r="AZ679" s="1">
        <v>15.261493450492448</v>
      </c>
      <c r="BA679" s="1">
        <v>17.361526077133938</v>
      </c>
      <c r="BB679" s="2">
        <v>1278910.0671601882</v>
      </c>
      <c r="BC679" s="2">
        <f t="shared" si="77"/>
        <v>-490171.49579425086</v>
      </c>
      <c r="BD679" s="292">
        <f t="shared" si="78"/>
        <v>1.8677407450216457</v>
      </c>
      <c r="BF679" s="170">
        <f t="shared" si="73"/>
        <v>373918.86992088915</v>
      </c>
      <c r="BG679" s="2">
        <f t="shared" si="74"/>
        <v>1162928.8849186036</v>
      </c>
      <c r="BI679">
        <f t="shared" si="75"/>
        <v>0</v>
      </c>
      <c r="BJ679" s="95">
        <f t="shared" si="76"/>
        <v>1</v>
      </c>
      <c r="BP679" s="217">
        <f t="shared" si="79"/>
        <v>1162928.8849186036</v>
      </c>
    </row>
    <row r="680" spans="1:68">
      <c r="A680" s="11">
        <v>674</v>
      </c>
      <c r="C680" s="27">
        <v>0.92255981052645231</v>
      </c>
      <c r="D680" s="27">
        <v>7.7440189473547694E-2</v>
      </c>
      <c r="E680" s="27">
        <v>0</v>
      </c>
      <c r="F680" s="27">
        <v>0.86253379705373889</v>
      </c>
      <c r="G680" s="27">
        <v>0.13746620294626113</v>
      </c>
      <c r="H680" s="27">
        <v>0</v>
      </c>
      <c r="I680" s="27">
        <v>0.74695908565583302</v>
      </c>
      <c r="J680" s="27">
        <v>0.25304091434416698</v>
      </c>
      <c r="K680" s="27">
        <v>0</v>
      </c>
      <c r="L680" s="27">
        <v>0.13544156206953428</v>
      </c>
      <c r="M680" s="27">
        <v>0.53008861568084242</v>
      </c>
      <c r="N680" s="27">
        <v>0.33446982224962329</v>
      </c>
      <c r="O680" s="27">
        <v>-11.299974087596549</v>
      </c>
      <c r="P680" s="27">
        <v>3.6103888299164388E-2</v>
      </c>
      <c r="Q680" s="27">
        <v>5.636789613268442E-5</v>
      </c>
      <c r="R680" s="27">
        <v>1.0797009348887985</v>
      </c>
      <c r="S680" s="154"/>
      <c r="T680">
        <v>1.0610396531072754</v>
      </c>
      <c r="U680">
        <v>2.2779268696871013</v>
      </c>
      <c r="V680">
        <v>2.8107515442125757</v>
      </c>
      <c r="W680">
        <v>1</v>
      </c>
      <c r="Y680" s="2">
        <v>139.06396841153315</v>
      </c>
      <c r="Z680" s="2">
        <v>1509.4104750402548</v>
      </c>
      <c r="AA680" s="2">
        <v>133.89396292232738</v>
      </c>
      <c r="AB680" s="2">
        <v>1451.8075228061041</v>
      </c>
      <c r="AC680" s="2">
        <v>653.28159711586204</v>
      </c>
      <c r="AD680" s="2">
        <v>3506.1775168418735</v>
      </c>
      <c r="AE680" s="2">
        <v>533.23063096050601</v>
      </c>
      <c r="AF680" s="2">
        <v>1153.6642093923774</v>
      </c>
      <c r="AG680" s="2">
        <v>142.03058591700122</v>
      </c>
      <c r="AH680" s="2">
        <v>315.08161350163374</v>
      </c>
      <c r="AI680" s="2">
        <v>450634.9595177329</v>
      </c>
      <c r="AJ680" s="2">
        <v>422038.12732881366</v>
      </c>
      <c r="AL680" s="27">
        <v>0.91982550376169148</v>
      </c>
      <c r="AM680" s="27">
        <v>0.90698888691036794</v>
      </c>
      <c r="AN680" s="27">
        <v>0.91525415471291238</v>
      </c>
      <c r="AO680" s="27">
        <v>0.87669516413144211</v>
      </c>
      <c r="AP680" s="27">
        <v>0.71849623166839494</v>
      </c>
      <c r="AQ680" s="27">
        <v>0.91982550376169148</v>
      </c>
      <c r="AR680" s="27">
        <v>0.90698888691036794</v>
      </c>
      <c r="AS680" s="27">
        <v>0.91525415471291238</v>
      </c>
      <c r="AT680" s="27">
        <v>0.87669516413144211</v>
      </c>
      <c r="AU680" s="27">
        <v>0.71849623166839494</v>
      </c>
      <c r="AW680" s="1">
        <v>13.670899314441767</v>
      </c>
      <c r="AX680" s="1">
        <v>15.701141956550924</v>
      </c>
      <c r="AY680" s="2">
        <v>1874527.9138947809</v>
      </c>
      <c r="AZ680" s="1">
        <v>15.588681437633774</v>
      </c>
      <c r="BA680" s="1">
        <v>17.565636674701501</v>
      </c>
      <c r="BB680" s="2">
        <v>1356204.3046368829</v>
      </c>
      <c r="BC680" s="2">
        <f t="shared" si="77"/>
        <v>-518323.60925789806</v>
      </c>
      <c r="BD680" s="292">
        <f t="shared" si="78"/>
        <v>1.9177821231920067</v>
      </c>
      <c r="BF680" s="170">
        <f t="shared" si="73"/>
        <v>312815.97641590191</v>
      </c>
      <c r="BG680" s="2">
        <f t="shared" si="74"/>
        <v>1137984.7253845211</v>
      </c>
      <c r="BI680">
        <f t="shared" si="75"/>
        <v>0</v>
      </c>
      <c r="BJ680" s="95">
        <f t="shared" si="76"/>
        <v>1</v>
      </c>
      <c r="BP680" s="217">
        <f t="shared" si="79"/>
        <v>1137984.7253845211</v>
      </c>
    </row>
    <row r="681" spans="1:68">
      <c r="A681" s="11">
        <v>675</v>
      </c>
      <c r="C681" s="27">
        <v>0.91993409648426661</v>
      </c>
      <c r="D681" s="27">
        <v>8.0065903515733394E-2</v>
      </c>
      <c r="E681" s="27">
        <v>0</v>
      </c>
      <c r="F681" s="27">
        <v>0.8588457331874324</v>
      </c>
      <c r="G681" s="27">
        <v>0.1411542668125676</v>
      </c>
      <c r="H681" s="27">
        <v>0</v>
      </c>
      <c r="I681" s="27">
        <v>0.75443170293169093</v>
      </c>
      <c r="J681" s="27">
        <v>0.24556829706830902</v>
      </c>
      <c r="K681" s="27">
        <v>0</v>
      </c>
      <c r="L681" s="27">
        <v>0.12396887138489021</v>
      </c>
      <c r="M681" s="27">
        <v>0.491456181201125</v>
      </c>
      <c r="N681" s="27">
        <v>0.38457494741398479</v>
      </c>
      <c r="O681" s="27">
        <v>-10.970259937534143</v>
      </c>
      <c r="P681" s="27">
        <v>3.0551425695048814E-2</v>
      </c>
      <c r="Q681" s="27">
        <v>6.2079169607781067E-5</v>
      </c>
      <c r="R681" s="27">
        <v>1.0881864100495786</v>
      </c>
      <c r="S681" s="154"/>
      <c r="T681">
        <v>1.0214921294069792</v>
      </c>
      <c r="U681">
        <v>2.1903089657200319</v>
      </c>
      <c r="V681">
        <v>2.893831339361288</v>
      </c>
      <c r="W681">
        <v>1</v>
      </c>
      <c r="Y681" s="2">
        <v>454.2329564756422</v>
      </c>
      <c r="Z681" s="2">
        <v>861.56423314100391</v>
      </c>
      <c r="AA681" s="2">
        <v>1850.7417724804286</v>
      </c>
      <c r="AB681" s="2">
        <v>1292.0893857634683</v>
      </c>
      <c r="AC681" s="2">
        <v>381.94801313169819</v>
      </c>
      <c r="AD681" s="2">
        <v>971.61051933608223</v>
      </c>
      <c r="AE681" s="2">
        <v>597.13452218902648</v>
      </c>
      <c r="AF681" s="2">
        <v>1183.3268257104478</v>
      </c>
      <c r="AG681" s="2">
        <v>149.45033066386918</v>
      </c>
      <c r="AH681" s="2">
        <v>326.96716025830489</v>
      </c>
      <c r="AI681" s="2">
        <v>408592.6887310046</v>
      </c>
      <c r="AJ681" s="2">
        <v>373876.52637645858</v>
      </c>
      <c r="AL681" s="27">
        <v>0.92087422690232668</v>
      </c>
      <c r="AM681" s="27">
        <v>0.9148229333953839</v>
      </c>
      <c r="AN681" s="27">
        <v>0.91246137055581855</v>
      </c>
      <c r="AO681" s="27">
        <v>0.83928981875894781</v>
      </c>
      <c r="AP681" s="27">
        <v>0.67678582683833177</v>
      </c>
      <c r="AQ681" s="27">
        <v>0.92087422690232668</v>
      </c>
      <c r="AR681" s="27">
        <v>0.9148229333953839</v>
      </c>
      <c r="AS681" s="27">
        <v>0.91246137055581855</v>
      </c>
      <c r="AT681" s="27">
        <v>0.83928981875894781</v>
      </c>
      <c r="AU681" s="27">
        <v>0.67678582683833177</v>
      </c>
      <c r="AW681" s="1">
        <v>13.196694330084409</v>
      </c>
      <c r="AX681" s="1">
        <v>15.209048010066914</v>
      </c>
      <c r="AY681" s="2">
        <v>1407893.286294674</v>
      </c>
      <c r="AZ681" s="1">
        <v>15.183116341054603</v>
      </c>
      <c r="BA681" s="1">
        <v>17.139050239506663</v>
      </c>
      <c r="BB681" s="2">
        <v>1055054.3781950541</v>
      </c>
      <c r="BC681" s="2">
        <f t="shared" si="77"/>
        <v>-352838.9080996199</v>
      </c>
      <c r="BD681" s="292">
        <f t="shared" si="78"/>
        <v>1.9864220109701947</v>
      </c>
      <c r="BF681" s="170">
        <f t="shared" si="73"/>
        <v>703577.80651883129</v>
      </c>
      <c r="BG681" s="2">
        <f t="shared" si="74"/>
        <v>1374244.2363736823</v>
      </c>
      <c r="BI681">
        <f t="shared" si="75"/>
        <v>0</v>
      </c>
      <c r="BJ681" s="95">
        <f t="shared" si="76"/>
        <v>1</v>
      </c>
      <c r="BP681" s="217">
        <f t="shared" si="79"/>
        <v>1374244.2363736823</v>
      </c>
    </row>
    <row r="682" spans="1:68">
      <c r="A682" s="11">
        <v>676</v>
      </c>
      <c r="C682" s="27">
        <v>0.92606563772194794</v>
      </c>
      <c r="D682" s="27">
        <v>7.3934362278052043E-2</v>
      </c>
      <c r="E682" s="27">
        <v>0</v>
      </c>
      <c r="F682" s="27">
        <v>0.85801162109993567</v>
      </c>
      <c r="G682" s="27">
        <v>0.1419883789000643</v>
      </c>
      <c r="H682" s="27">
        <v>0</v>
      </c>
      <c r="I682" s="27">
        <v>0.75257567954378624</v>
      </c>
      <c r="J682" s="27">
        <v>0.24742432045621376</v>
      </c>
      <c r="K682" s="27">
        <v>0</v>
      </c>
      <c r="L682" s="27">
        <v>2.5166766349217995E-2</v>
      </c>
      <c r="M682" s="27">
        <v>0.53017510309127125</v>
      </c>
      <c r="N682" s="27">
        <v>0.44465813055951076</v>
      </c>
      <c r="O682" s="27">
        <v>-11.075709360615281</v>
      </c>
      <c r="P682" s="27">
        <v>3.5018987079407891E-2</v>
      </c>
      <c r="Q682" s="27">
        <v>6.7396875190457801E-5</v>
      </c>
      <c r="R682" s="27">
        <v>1.0545578479984792</v>
      </c>
      <c r="S682" s="154"/>
      <c r="T682">
        <v>0.97413256041451879</v>
      </c>
      <c r="U682">
        <v>2.2337876246730284</v>
      </c>
      <c r="V682">
        <v>3.0498526863374078</v>
      </c>
      <c r="W682">
        <v>1</v>
      </c>
      <c r="Y682" s="2">
        <v>363.3329330793897</v>
      </c>
      <c r="Z682" s="2">
        <v>2970.5201447261206</v>
      </c>
      <c r="AA682" s="2">
        <v>4375.2355984313763</v>
      </c>
      <c r="AB682" s="2">
        <v>1161.6795515498363</v>
      </c>
      <c r="AC682" s="2">
        <v>1947.6849062884637</v>
      </c>
      <c r="AD682" s="2">
        <v>2977.8602896968769</v>
      </c>
      <c r="AE682" s="2">
        <v>576.82323931194378</v>
      </c>
      <c r="AF682" s="2">
        <v>994.9952164640705</v>
      </c>
      <c r="AG682" s="2">
        <v>120.78362972218926</v>
      </c>
      <c r="AH682" s="2">
        <v>630.34113757379669</v>
      </c>
      <c r="AI682" s="2">
        <v>422453.69495558093</v>
      </c>
      <c r="AJ682" s="2">
        <v>394431.25355613034</v>
      </c>
      <c r="AL682" s="27">
        <v>0.92088395528323785</v>
      </c>
      <c r="AM682" s="27">
        <v>0.91476053559969828</v>
      </c>
      <c r="AN682" s="27">
        <v>0.91485015461430019</v>
      </c>
      <c r="AO682" s="27">
        <v>0.88489969067953012</v>
      </c>
      <c r="AP682" s="27">
        <v>0.76707109677721919</v>
      </c>
      <c r="AQ682" s="27">
        <v>0.92088395528323785</v>
      </c>
      <c r="AR682" s="27">
        <v>0.91476053559969828</v>
      </c>
      <c r="AS682" s="27">
        <v>0.91485015461430019</v>
      </c>
      <c r="AT682" s="27">
        <v>0.88489969067953012</v>
      </c>
      <c r="AU682" s="27">
        <v>0.76707109677721919</v>
      </c>
      <c r="AW682" s="1">
        <v>13.913745160375477</v>
      </c>
      <c r="AX682" s="1">
        <v>15.659411155294739</v>
      </c>
      <c r="AY682" s="2">
        <v>1565858.1182896709</v>
      </c>
      <c r="AZ682" s="1">
        <v>15.612597175164129</v>
      </c>
      <c r="BA682" s="1">
        <v>17.372090398933032</v>
      </c>
      <c r="BB682" s="2">
        <v>1219030.814534656</v>
      </c>
      <c r="BC682" s="2">
        <f t="shared" si="77"/>
        <v>-346827.3037550149</v>
      </c>
      <c r="BD682" s="292">
        <f t="shared" si="78"/>
        <v>1.6988520147886526</v>
      </c>
      <c r="BF682" s="170">
        <f t="shared" si="73"/>
        <v>660341.10737040546</v>
      </c>
      <c r="BG682" s="2">
        <f t="shared" si="74"/>
        <v>1278984.7334916049</v>
      </c>
      <c r="BI682">
        <f t="shared" si="75"/>
        <v>0</v>
      </c>
      <c r="BJ682" s="95">
        <f t="shared" si="76"/>
        <v>1</v>
      </c>
      <c r="BP682" s="217">
        <f t="shared" si="79"/>
        <v>1278984.7334916049</v>
      </c>
    </row>
    <row r="683" spans="1:68">
      <c r="A683" s="11">
        <v>677</v>
      </c>
      <c r="C683" s="27">
        <v>0.92138576185960031</v>
      </c>
      <c r="D683" s="27">
        <v>7.8614238140399695E-2</v>
      </c>
      <c r="E683" s="27">
        <v>0</v>
      </c>
      <c r="F683" s="27">
        <v>0.85960045101741089</v>
      </c>
      <c r="G683" s="27">
        <v>0.14039954898258905</v>
      </c>
      <c r="H683" s="27">
        <v>0</v>
      </c>
      <c r="I683" s="27">
        <v>0.74985957481919396</v>
      </c>
      <c r="J683" s="27">
        <v>0.25014042518080604</v>
      </c>
      <c r="K683" s="27">
        <v>0</v>
      </c>
      <c r="L683" s="27">
        <v>4.4483244297559565E-2</v>
      </c>
      <c r="M683" s="27">
        <v>0.53550581525578811</v>
      </c>
      <c r="N683" s="27">
        <v>0.42001094044665233</v>
      </c>
      <c r="O683" s="27">
        <v>-11.06865282170123</v>
      </c>
      <c r="P683" s="27">
        <v>3.2043744103536706E-2</v>
      </c>
      <c r="Q683" s="27">
        <v>5.9901107171294071E-5</v>
      </c>
      <c r="R683" s="27">
        <v>1.0837667132168782</v>
      </c>
      <c r="S683" s="154"/>
      <c r="T683">
        <v>0.90342042598488559</v>
      </c>
      <c r="U683">
        <v>2.2108084913502659</v>
      </c>
      <c r="V683">
        <v>2.883528050258322</v>
      </c>
      <c r="W683">
        <v>1</v>
      </c>
      <c r="Y683" s="2">
        <v>2081.9796321797953</v>
      </c>
      <c r="Z683" s="2">
        <v>1270.6635255316037</v>
      </c>
      <c r="AA683" s="2">
        <v>77.73645353509508</v>
      </c>
      <c r="AB683" s="2">
        <v>3586.0118422985706</v>
      </c>
      <c r="AC683" s="2">
        <v>3043.6829223816562</v>
      </c>
      <c r="AD683" s="2">
        <v>997.36782930042204</v>
      </c>
      <c r="AE683" s="2">
        <v>564.33601344101601</v>
      </c>
      <c r="AF683" s="2">
        <v>909.37253998281608</v>
      </c>
      <c r="AG683" s="2">
        <v>73.495072042493575</v>
      </c>
      <c r="AH683" s="2">
        <v>455.42038602587701</v>
      </c>
      <c r="AI683" s="2">
        <v>552148.04330943502</v>
      </c>
      <c r="AJ683" s="2">
        <v>518306.7988599799</v>
      </c>
      <c r="AL683" s="27">
        <v>0.91501997392529133</v>
      </c>
      <c r="AM683" s="27">
        <v>0.91745488854060853</v>
      </c>
      <c r="AN683" s="27">
        <v>0.90027220088222837</v>
      </c>
      <c r="AO683" s="27">
        <v>0.85007632098116537</v>
      </c>
      <c r="AP683" s="27">
        <v>0.71472837817324608</v>
      </c>
      <c r="AQ683" s="27">
        <v>0.91501997392529133</v>
      </c>
      <c r="AR683" s="27">
        <v>0.91745488854060853</v>
      </c>
      <c r="AS683" s="27">
        <v>0.90027220088222837</v>
      </c>
      <c r="AT683" s="27">
        <v>0.85007632098116537</v>
      </c>
      <c r="AU683" s="27">
        <v>0.71472837817324608</v>
      </c>
      <c r="AW683" s="1">
        <v>13.702017792523117</v>
      </c>
      <c r="AX683" s="1">
        <v>15.662400915127204</v>
      </c>
      <c r="AY683" s="2">
        <v>1949457.7614403879</v>
      </c>
      <c r="AZ683" s="1">
        <v>15.252978412983882</v>
      </c>
      <c r="BA683" s="1">
        <v>17.200183937839832</v>
      </c>
      <c r="BB683" s="2">
        <v>1473371.5930277335</v>
      </c>
      <c r="BC683" s="2">
        <f t="shared" si="77"/>
        <v>-476086.16841265443</v>
      </c>
      <c r="BD683" s="292">
        <f t="shared" si="78"/>
        <v>1.5509606204607653</v>
      </c>
      <c r="BF683" s="170">
        <f t="shared" si="73"/>
        <v>242865.08536331076</v>
      </c>
      <c r="BG683" s="2">
        <f t="shared" si="74"/>
        <v>967104.9530496879</v>
      </c>
      <c r="BI683">
        <f t="shared" si="75"/>
        <v>0</v>
      </c>
      <c r="BJ683" s="95">
        <f t="shared" si="76"/>
        <v>1</v>
      </c>
      <c r="BP683" s="217">
        <f t="shared" si="79"/>
        <v>967104.9530496879</v>
      </c>
    </row>
    <row r="684" spans="1:68">
      <c r="A684" s="11">
        <v>678</v>
      </c>
      <c r="C684" s="27">
        <v>0.92277144105291975</v>
      </c>
      <c r="D684" s="27">
        <v>7.722855894708025E-2</v>
      </c>
      <c r="E684" s="27">
        <v>0</v>
      </c>
      <c r="F684" s="27">
        <v>0.8561643445443472</v>
      </c>
      <c r="G684" s="27">
        <v>0.1438356554556528</v>
      </c>
      <c r="H684" s="27">
        <v>0</v>
      </c>
      <c r="I684" s="27">
        <v>0.74382759853015079</v>
      </c>
      <c r="J684" s="27">
        <v>0.25617240146984921</v>
      </c>
      <c r="K684" s="27">
        <v>0</v>
      </c>
      <c r="L684" s="27">
        <v>0.10804646776523452</v>
      </c>
      <c r="M684" s="27">
        <v>0.52442688325464959</v>
      </c>
      <c r="N684" s="27">
        <v>0.36752664898011589</v>
      </c>
      <c r="O684" s="27">
        <v>-11.235886923736544</v>
      </c>
      <c r="P684" s="27">
        <v>3.2512449022702131E-2</v>
      </c>
      <c r="Q684" s="27">
        <v>5.168390889779159E-5</v>
      </c>
      <c r="R684" s="27">
        <v>1.1047383255942371</v>
      </c>
      <c r="S684" s="154"/>
      <c r="T684">
        <v>0.90071410994149248</v>
      </c>
      <c r="U684">
        <v>2.3197868000195814</v>
      </c>
      <c r="V684">
        <v>3.1607013866882352</v>
      </c>
      <c r="W684">
        <v>1</v>
      </c>
      <c r="Y684" s="2">
        <v>545.04752202255486</v>
      </c>
      <c r="Z684" s="2">
        <v>160.26260032179277</v>
      </c>
      <c r="AA684" s="2">
        <v>448.45641959121735</v>
      </c>
      <c r="AB684" s="2">
        <v>11334.69908849664</v>
      </c>
      <c r="AC684" s="2">
        <v>88.903563822860633</v>
      </c>
      <c r="AD684" s="2">
        <v>3870.6624071781084</v>
      </c>
      <c r="AE684" s="2">
        <v>490.98088361275683</v>
      </c>
      <c r="AF684" s="2">
        <v>1031.1471257589924</v>
      </c>
      <c r="AG684" s="2">
        <v>123.5680270379181</v>
      </c>
      <c r="AH684" s="2">
        <v>510.62382508055526</v>
      </c>
      <c r="AI684" s="2">
        <v>475703.99459342076</v>
      </c>
      <c r="AJ684" s="2">
        <v>433015.44639841048</v>
      </c>
      <c r="AL684" s="27">
        <v>0.91283934115456156</v>
      </c>
      <c r="AM684" s="27">
        <v>0.90981991791891825</v>
      </c>
      <c r="AN684" s="27">
        <v>0.9066233316421759</v>
      </c>
      <c r="AO684" s="27">
        <v>0.86618827367740625</v>
      </c>
      <c r="AP684" s="27">
        <v>0.67267770271292771</v>
      </c>
      <c r="AQ684" s="27">
        <v>0.91283934115456156</v>
      </c>
      <c r="AR684" s="27">
        <v>0.90981991791891825</v>
      </c>
      <c r="AS684" s="27">
        <v>0.9066233316421759</v>
      </c>
      <c r="AT684" s="27">
        <v>0.86618827367740625</v>
      </c>
      <c r="AU684" s="27">
        <v>0.67267770271292771</v>
      </c>
      <c r="AW684" s="1">
        <v>13.570503094057145</v>
      </c>
      <c r="AX684" s="1">
        <v>15.7022473738204</v>
      </c>
      <c r="AY684" s="2">
        <v>1613808.8937123166</v>
      </c>
      <c r="AZ684" s="1">
        <v>15.169775193054203</v>
      </c>
      <c r="BA684" s="1">
        <v>17.259129281618442</v>
      </c>
      <c r="BB684" s="2">
        <v>1461195.3657784993</v>
      </c>
      <c r="BC684" s="2">
        <f t="shared" si="77"/>
        <v>-152613.52793381736</v>
      </c>
      <c r="BD684" s="292">
        <f t="shared" si="78"/>
        <v>1.5992720989970586</v>
      </c>
      <c r="BF684" s="170">
        <f t="shared" si="73"/>
        <v>557471.60133682657</v>
      </c>
      <c r="BG684" s="2">
        <f t="shared" si="74"/>
        <v>965968.66511017317</v>
      </c>
      <c r="BI684">
        <f t="shared" si="75"/>
        <v>0</v>
      </c>
      <c r="BJ684" s="95">
        <f t="shared" si="76"/>
        <v>1</v>
      </c>
      <c r="BP684" s="217">
        <f t="shared" si="79"/>
        <v>965968.66511017317</v>
      </c>
    </row>
    <row r="685" spans="1:68">
      <c r="A685" s="11">
        <v>679</v>
      </c>
      <c r="C685" s="27">
        <v>0.91959104039297801</v>
      </c>
      <c r="D685" s="27">
        <v>8.040895960702199E-2</v>
      </c>
      <c r="E685" s="27">
        <v>0</v>
      </c>
      <c r="F685" s="27">
        <v>0.85905250095150787</v>
      </c>
      <c r="G685" s="27">
        <v>0.14094749904849213</v>
      </c>
      <c r="H685" s="27">
        <v>0</v>
      </c>
      <c r="I685" s="27">
        <v>0.75211380701627495</v>
      </c>
      <c r="J685" s="27">
        <v>0.24788619298372505</v>
      </c>
      <c r="K685" s="27">
        <v>0</v>
      </c>
      <c r="L685" s="27">
        <v>6.3862491818193368E-2</v>
      </c>
      <c r="M685" s="27">
        <v>0.50387806755730757</v>
      </c>
      <c r="N685" s="27">
        <v>0.43225944062449906</v>
      </c>
      <c r="O685" s="27">
        <v>-11.623726868703155</v>
      </c>
      <c r="P685" s="27">
        <v>3.8010796481830839E-2</v>
      </c>
      <c r="Q685" s="27">
        <v>4.4178451231244348E-5</v>
      </c>
      <c r="R685" s="27">
        <v>1.1096450743092388</v>
      </c>
      <c r="S685" s="154"/>
      <c r="T685">
        <v>0.92707431933460116</v>
      </c>
      <c r="U685">
        <v>2.3107180381842789</v>
      </c>
      <c r="V685">
        <v>3.0280711389947474</v>
      </c>
      <c r="W685">
        <v>1</v>
      </c>
      <c r="Y685" s="2">
        <v>2381.6050062094878</v>
      </c>
      <c r="Z685" s="2">
        <v>13418.808348136437</v>
      </c>
      <c r="AA685" s="2">
        <v>1213.6379981564903</v>
      </c>
      <c r="AB685" s="2">
        <v>10943.170658467241</v>
      </c>
      <c r="AC685" s="2">
        <v>881.37045068047996</v>
      </c>
      <c r="AD685" s="2">
        <v>1717.4612154475049</v>
      </c>
      <c r="AE685" s="2">
        <v>609.86188392717304</v>
      </c>
      <c r="AF685" s="2">
        <v>1007.7887881399897</v>
      </c>
      <c r="AG685" s="2">
        <v>116.03204997803195</v>
      </c>
      <c r="AH685" s="2">
        <v>619.42375948884637</v>
      </c>
      <c r="AI685" s="2">
        <v>430394.62651802751</v>
      </c>
      <c r="AJ685" s="2">
        <v>394808.40172616224</v>
      </c>
      <c r="AL685" s="27">
        <v>0.91374840823116266</v>
      </c>
      <c r="AM685" s="27">
        <v>0.91282526372209993</v>
      </c>
      <c r="AN685" s="27">
        <v>0.91066900158856479</v>
      </c>
      <c r="AO685" s="27">
        <v>0.85523784888221754</v>
      </c>
      <c r="AP685" s="27">
        <v>0.70480691847295485</v>
      </c>
      <c r="AQ685" s="27">
        <v>0.91374840823116266</v>
      </c>
      <c r="AR685" s="27">
        <v>0.91282526372209993</v>
      </c>
      <c r="AS685" s="27">
        <v>0.91066900158856479</v>
      </c>
      <c r="AT685" s="27">
        <v>0.85523784888221754</v>
      </c>
      <c r="AU685" s="27">
        <v>0.70480691847295485</v>
      </c>
      <c r="AW685" s="1">
        <v>13.413540918868092</v>
      </c>
      <c r="AX685" s="1">
        <v>15.400131860550657</v>
      </c>
      <c r="AY685" s="2">
        <v>1672581.655485857</v>
      </c>
      <c r="AZ685" s="1">
        <v>15.149253297642627</v>
      </c>
      <c r="BA685" s="1">
        <v>17.113257144259521</v>
      </c>
      <c r="BB685" s="2">
        <v>1290830.8287539997</v>
      </c>
      <c r="BC685" s="2">
        <f t="shared" si="77"/>
        <v>-381750.82673185738</v>
      </c>
      <c r="BD685" s="292">
        <f t="shared" si="78"/>
        <v>1.7357123787745348</v>
      </c>
      <c r="BF685" s="170">
        <f t="shared" si="73"/>
        <v>473584.89153303788</v>
      </c>
      <c r="BG685" s="2">
        <f t="shared" si="74"/>
        <v>1133049.6988688207</v>
      </c>
      <c r="BI685">
        <f t="shared" si="75"/>
        <v>0</v>
      </c>
      <c r="BJ685" s="95">
        <f t="shared" si="76"/>
        <v>1</v>
      </c>
      <c r="BP685" s="217">
        <f t="shared" si="79"/>
        <v>1133049.6988688207</v>
      </c>
    </row>
    <row r="686" spans="1:68">
      <c r="A686" s="11">
        <v>680</v>
      </c>
      <c r="C686" s="27">
        <v>0.92484935255387635</v>
      </c>
      <c r="D686" s="27">
        <v>7.5150647446123695E-2</v>
      </c>
      <c r="E686" s="27">
        <v>0</v>
      </c>
      <c r="F686" s="27">
        <v>0.85419094714711363</v>
      </c>
      <c r="G686" s="27">
        <v>0.14580905285288637</v>
      </c>
      <c r="H686" s="27">
        <v>0</v>
      </c>
      <c r="I686" s="27">
        <v>0.74731565973580782</v>
      </c>
      <c r="J686" s="27">
        <v>0.25268434026419218</v>
      </c>
      <c r="K686" s="27">
        <v>0</v>
      </c>
      <c r="L686" s="27">
        <v>0.17960888011273085</v>
      </c>
      <c r="M686" s="27">
        <v>0.48410008459467585</v>
      </c>
      <c r="N686" s="27">
        <v>0.33629103529259324</v>
      </c>
      <c r="O686" s="27">
        <v>-11.162711057089462</v>
      </c>
      <c r="P686" s="27">
        <v>3.6609125093164739E-2</v>
      </c>
      <c r="Q686" s="27">
        <v>6.6048066336576438E-5</v>
      </c>
      <c r="R686" s="27">
        <v>1.0600885426326772</v>
      </c>
      <c r="S686" s="154"/>
      <c r="T686">
        <v>1.0649122131457207</v>
      </c>
      <c r="U686">
        <v>2.263672624918331</v>
      </c>
      <c r="V686">
        <v>2.8395237019281012</v>
      </c>
      <c r="W686">
        <v>1</v>
      </c>
      <c r="Y686" s="2">
        <v>3574.261381048454</v>
      </c>
      <c r="Z686" s="2">
        <v>290.21084688146266</v>
      </c>
      <c r="AA686" s="2">
        <v>2210.0025545782214</v>
      </c>
      <c r="AB686" s="2">
        <v>16827.295311469181</v>
      </c>
      <c r="AC686" s="2">
        <v>574.94446881834051</v>
      </c>
      <c r="AD686" s="2">
        <v>140.06084596656282</v>
      </c>
      <c r="AE686" s="2">
        <v>562.16943504111373</v>
      </c>
      <c r="AF686" s="2">
        <v>906.00822809928945</v>
      </c>
      <c r="AG686" s="2">
        <v>124.8085183332428</v>
      </c>
      <c r="AH686" s="2">
        <v>547.68249175719882</v>
      </c>
      <c r="AI686" s="2">
        <v>535419.68347150937</v>
      </c>
      <c r="AJ686" s="2">
        <v>487971.17466433375</v>
      </c>
      <c r="AL686" s="27">
        <v>0.91731627461197773</v>
      </c>
      <c r="AM686" s="27">
        <v>0.91551030314124848</v>
      </c>
      <c r="AN686" s="27">
        <v>0.9106960497502008</v>
      </c>
      <c r="AO686" s="27">
        <v>0.89286899142572229</v>
      </c>
      <c r="AP686" s="27">
        <v>0.74191246916939391</v>
      </c>
      <c r="AQ686" s="27">
        <v>0.91731627461197773</v>
      </c>
      <c r="AR686" s="27">
        <v>0.91551030314124848</v>
      </c>
      <c r="AS686" s="27">
        <v>0.9106960497502008</v>
      </c>
      <c r="AT686" s="27">
        <v>0.89286899142572229</v>
      </c>
      <c r="AU686" s="27">
        <v>0.74191246916939391</v>
      </c>
      <c r="AW686" s="1">
        <v>13.722616708672263</v>
      </c>
      <c r="AX686" s="1">
        <v>15.642585079215561</v>
      </c>
      <c r="AY686" s="2">
        <v>2123746.3878581193</v>
      </c>
      <c r="AZ686" s="1">
        <v>15.602733005765142</v>
      </c>
      <c r="BA686" s="1">
        <v>17.495952117659403</v>
      </c>
      <c r="BB686" s="2">
        <v>1751206.3881632714</v>
      </c>
      <c r="BC686" s="2">
        <f t="shared" si="77"/>
        <v>-372539.99969484797</v>
      </c>
      <c r="BD686" s="292">
        <f t="shared" si="78"/>
        <v>1.8801162970928793</v>
      </c>
      <c r="BF686" s="170">
        <f t="shared" si="73"/>
        <v>71872.285529442597</v>
      </c>
      <c r="BG686" s="2">
        <f t="shared" si="74"/>
        <v>745230.89275915129</v>
      </c>
      <c r="BI686">
        <f t="shared" si="75"/>
        <v>0</v>
      </c>
      <c r="BJ686" s="95">
        <f t="shared" si="76"/>
        <v>1</v>
      </c>
      <c r="BP686" s="217">
        <f t="shared" si="79"/>
        <v>745230.89275915129</v>
      </c>
    </row>
    <row r="687" spans="1:68">
      <c r="A687" s="11">
        <v>681</v>
      </c>
      <c r="C687" s="27">
        <v>0.92487849198196126</v>
      </c>
      <c r="D687" s="27">
        <v>7.5121508018038755E-2</v>
      </c>
      <c r="E687" s="27">
        <v>0</v>
      </c>
      <c r="F687" s="27">
        <v>0.85720399672170156</v>
      </c>
      <c r="G687" s="27">
        <v>0.14279600327829847</v>
      </c>
      <c r="H687" s="27">
        <v>0</v>
      </c>
      <c r="I687" s="27">
        <v>0.74767243447054887</v>
      </c>
      <c r="J687" s="27">
        <v>0.25232756552945113</v>
      </c>
      <c r="K687" s="27">
        <v>0</v>
      </c>
      <c r="L687" s="27">
        <v>9.8731403002447649E-2</v>
      </c>
      <c r="M687" s="27">
        <v>0.51054880375896317</v>
      </c>
      <c r="N687" s="27">
        <v>0.39071979323858919</v>
      </c>
      <c r="O687" s="27">
        <v>-10.980779530054503</v>
      </c>
      <c r="P687" s="27">
        <v>3.6069594654153464E-2</v>
      </c>
      <c r="Q687" s="27">
        <v>7.7451660276372952E-5</v>
      </c>
      <c r="R687" s="27">
        <v>1.0383399677189467</v>
      </c>
      <c r="S687" s="154"/>
      <c r="T687">
        <v>0.99237839307202602</v>
      </c>
      <c r="U687">
        <v>2.2137055647805584</v>
      </c>
      <c r="V687">
        <v>2.9345744021520894</v>
      </c>
      <c r="W687">
        <v>1</v>
      </c>
      <c r="Y687" s="2">
        <v>420.0263320770332</v>
      </c>
      <c r="Z687" s="2">
        <v>646.13462224535249</v>
      </c>
      <c r="AA687" s="2">
        <v>631.08370556986313</v>
      </c>
      <c r="AB687" s="2">
        <v>4924.7443242665704</v>
      </c>
      <c r="AC687" s="2">
        <v>486.11845013071604</v>
      </c>
      <c r="AD687" s="2">
        <v>558.46509575175435</v>
      </c>
      <c r="AE687" s="2">
        <v>576.13693662645937</v>
      </c>
      <c r="AF687" s="2">
        <v>1013.2047387309462</v>
      </c>
      <c r="AG687" s="2">
        <v>157.63705963639234</v>
      </c>
      <c r="AH687" s="2">
        <v>743.09810842072875</v>
      </c>
      <c r="AI687" s="2">
        <v>458673.28066997929</v>
      </c>
      <c r="AJ687" s="2">
        <v>430439.71467979427</v>
      </c>
      <c r="AL687" s="27">
        <v>0.90620008516222295</v>
      </c>
      <c r="AM687" s="27">
        <v>0.91134899631386668</v>
      </c>
      <c r="AN687" s="27">
        <v>0.90425006250239137</v>
      </c>
      <c r="AO687" s="27">
        <v>0.79629561029564133</v>
      </c>
      <c r="AP687" s="27">
        <v>0.72932472503923063</v>
      </c>
      <c r="AQ687" s="27">
        <v>0.90620008516222295</v>
      </c>
      <c r="AR687" s="27">
        <v>0.91134899631386668</v>
      </c>
      <c r="AS687" s="27">
        <v>0.90425006250239137</v>
      </c>
      <c r="AT687" s="27">
        <v>0.79629561029564133</v>
      </c>
      <c r="AU687" s="27">
        <v>0.72932472503923063</v>
      </c>
      <c r="AW687" s="1">
        <v>13.641985411459286</v>
      </c>
      <c r="AX687" s="1">
        <v>15.751384476073623</v>
      </c>
      <c r="AY687" s="2">
        <v>1746633.756943133</v>
      </c>
      <c r="AZ687" s="1">
        <v>15.361373246475468</v>
      </c>
      <c r="BA687" s="1">
        <v>17.442804728155664</v>
      </c>
      <c r="BB687" s="2">
        <v>1344149.6238596679</v>
      </c>
      <c r="BC687" s="2">
        <f t="shared" si="77"/>
        <v>-402484.13308346504</v>
      </c>
      <c r="BD687" s="292">
        <f t="shared" si="78"/>
        <v>1.7193878350161818</v>
      </c>
      <c r="BF687" s="170">
        <f t="shared" si="73"/>
        <v>436083.90889035282</v>
      </c>
      <c r="BG687" s="2">
        <f t="shared" si="74"/>
        <v>1113670.0955764072</v>
      </c>
      <c r="BI687">
        <f t="shared" si="75"/>
        <v>0</v>
      </c>
      <c r="BJ687" s="95">
        <f t="shared" si="76"/>
        <v>1</v>
      </c>
      <c r="BP687" s="217">
        <f t="shared" si="79"/>
        <v>1113670.0955764072</v>
      </c>
    </row>
    <row r="688" spans="1:68">
      <c r="A688" s="11">
        <v>682</v>
      </c>
      <c r="C688" s="27">
        <v>0.91985816883377758</v>
      </c>
      <c r="D688" s="27">
        <v>8.0141831166222421E-2</v>
      </c>
      <c r="E688" s="27">
        <v>0</v>
      </c>
      <c r="F688" s="27">
        <v>0.85530081803215241</v>
      </c>
      <c r="G688" s="27">
        <v>0.14469918196784759</v>
      </c>
      <c r="H688" s="27">
        <v>0</v>
      </c>
      <c r="I688" s="27">
        <v>0.7613554368390083</v>
      </c>
      <c r="J688" s="27">
        <v>0.23864456316099167</v>
      </c>
      <c r="K688" s="27">
        <v>0</v>
      </c>
      <c r="L688" s="27">
        <v>0.11916598480664953</v>
      </c>
      <c r="M688" s="27">
        <v>0.5010830697643287</v>
      </c>
      <c r="N688" s="27">
        <v>0.37975094542902177</v>
      </c>
      <c r="O688" s="27">
        <v>-10.817734077740676</v>
      </c>
      <c r="P688" s="27">
        <v>2.9693321461983536E-2</v>
      </c>
      <c r="Q688" s="27">
        <v>6.974850464057844E-5</v>
      </c>
      <c r="R688" s="27">
        <v>1.0541403231538764</v>
      </c>
      <c r="S688" s="154"/>
      <c r="T688">
        <v>0.97815265906486715</v>
      </c>
      <c r="U688">
        <v>2.2813879887855406</v>
      </c>
      <c r="V688">
        <v>2.9324868333324305</v>
      </c>
      <c r="W688">
        <v>1</v>
      </c>
      <c r="Y688" s="2">
        <v>252.0985142030309</v>
      </c>
      <c r="Z688" s="2">
        <v>861.51986076805122</v>
      </c>
      <c r="AA688" s="2">
        <v>2606.432790385511</v>
      </c>
      <c r="AB688" s="2">
        <v>154.48039676372954</v>
      </c>
      <c r="AC688" s="2">
        <v>521.59538672464589</v>
      </c>
      <c r="AD688" s="2">
        <v>509.16178842568144</v>
      </c>
      <c r="AE688" s="2">
        <v>523.86310711708063</v>
      </c>
      <c r="AF688" s="2">
        <v>876.27462275009725</v>
      </c>
      <c r="AG688" s="2">
        <v>160.9956241829104</v>
      </c>
      <c r="AH688" s="2">
        <v>570.02986101075953</v>
      </c>
      <c r="AI688" s="2">
        <v>694697.06479424424</v>
      </c>
      <c r="AJ688" s="2">
        <v>659887.31994650606</v>
      </c>
      <c r="AL688" s="27">
        <v>0.9192930867593222</v>
      </c>
      <c r="AM688" s="27">
        <v>0.91728032481986244</v>
      </c>
      <c r="AN688" s="27">
        <v>0.91007416042958345</v>
      </c>
      <c r="AO688" s="27">
        <v>0.87023214156515671</v>
      </c>
      <c r="AP688" s="27">
        <v>0.52912820295913798</v>
      </c>
      <c r="AQ688" s="27">
        <v>0.9192930867593222</v>
      </c>
      <c r="AR688" s="27">
        <v>0.91728032481986244</v>
      </c>
      <c r="AS688" s="27">
        <v>0.91007416042958345</v>
      </c>
      <c r="AT688" s="27">
        <v>0.87023214156515671</v>
      </c>
      <c r="AU688" s="27">
        <v>0.52912820295913798</v>
      </c>
      <c r="AW688" s="1">
        <v>12.983720417405337</v>
      </c>
      <c r="AX688" s="1">
        <v>15.563320841736237</v>
      </c>
      <c r="AY688" s="2">
        <v>2690926.9085279</v>
      </c>
      <c r="AZ688" s="1">
        <v>14.967855974301308</v>
      </c>
      <c r="BA688" s="1">
        <v>17.328344840374562</v>
      </c>
      <c r="BB688" s="2">
        <v>1955884.6675315716</v>
      </c>
      <c r="BC688" s="2">
        <f t="shared" si="77"/>
        <v>-735042.24099632842</v>
      </c>
      <c r="BD688" s="292">
        <f t="shared" si="78"/>
        <v>1.9841355568959713</v>
      </c>
      <c r="BF688" s="170">
        <f t="shared" si="73"/>
        <v>-613531.641743046</v>
      </c>
      <c r="BG688" s="2">
        <f t="shared" si="74"/>
        <v>438972.28835663782</v>
      </c>
      <c r="BI688">
        <f t="shared" si="75"/>
        <v>0</v>
      </c>
      <c r="BJ688" s="95">
        <f t="shared" si="76"/>
        <v>1</v>
      </c>
      <c r="BP688" s="217">
        <f t="shared" si="79"/>
        <v>438972.28835663782</v>
      </c>
    </row>
    <row r="689" spans="1:68">
      <c r="A689" s="11">
        <v>683</v>
      </c>
      <c r="C689" s="27">
        <v>0.92432060524535065</v>
      </c>
      <c r="D689" s="27">
        <v>7.567939475464934E-2</v>
      </c>
      <c r="E689" s="27">
        <v>0</v>
      </c>
      <c r="F689" s="27">
        <v>0.85897298810257716</v>
      </c>
      <c r="G689" s="27">
        <v>0.14102701189742281</v>
      </c>
      <c r="H689" s="27">
        <v>0</v>
      </c>
      <c r="I689" s="27">
        <v>0.7546854813057976</v>
      </c>
      <c r="J689" s="27">
        <v>0.24531451869420243</v>
      </c>
      <c r="K689" s="27">
        <v>0</v>
      </c>
      <c r="L689" s="27">
        <v>0.11482812165443557</v>
      </c>
      <c r="M689" s="27">
        <v>0.45155913076154969</v>
      </c>
      <c r="N689" s="27">
        <v>0.4336127475840148</v>
      </c>
      <c r="O689" s="27">
        <v>-10.893795810351705</v>
      </c>
      <c r="P689" s="27">
        <v>3.0132239504748599E-2</v>
      </c>
      <c r="Q689" s="27">
        <v>6.5842715985197479E-5</v>
      </c>
      <c r="R689" s="27">
        <v>1.0642080712980801</v>
      </c>
      <c r="S689" s="154"/>
      <c r="T689">
        <v>0.90946573453588386</v>
      </c>
      <c r="U689">
        <v>2.2360383743585421</v>
      </c>
      <c r="V689">
        <v>2.8097115760968552</v>
      </c>
      <c r="W689">
        <v>1</v>
      </c>
      <c r="Y689" s="2">
        <v>301.62241755422025</v>
      </c>
      <c r="Z689" s="2">
        <v>9430.7055751863627</v>
      </c>
      <c r="AA689" s="2">
        <v>469.63821522327146</v>
      </c>
      <c r="AB689" s="2">
        <v>4797.4800460627202</v>
      </c>
      <c r="AC689" s="2">
        <v>1558.9745450092009</v>
      </c>
      <c r="AD689" s="2">
        <v>2870.1989747866828</v>
      </c>
      <c r="AE689" s="2">
        <v>514.68913481125389</v>
      </c>
      <c r="AF689" s="2">
        <v>1071.6286924801086</v>
      </c>
      <c r="AG689" s="2">
        <v>53.43178220550346</v>
      </c>
      <c r="AH689" s="2">
        <v>359.18996077682118</v>
      </c>
      <c r="AI689" s="2">
        <v>416645.2104884882</v>
      </c>
      <c r="AJ689" s="2">
        <v>368556.44898018346</v>
      </c>
      <c r="AL689" s="27">
        <v>0.91626461610815202</v>
      </c>
      <c r="AM689" s="27">
        <v>0.91389661982950399</v>
      </c>
      <c r="AN689" s="27">
        <v>0.89938591875565532</v>
      </c>
      <c r="AO689" s="27">
        <v>0.82584905687090882</v>
      </c>
      <c r="AP689" s="27">
        <v>0.70560877504142105</v>
      </c>
      <c r="AQ689" s="27">
        <v>0.91626461610815202</v>
      </c>
      <c r="AR689" s="27">
        <v>0.91389661982950399</v>
      </c>
      <c r="AS689" s="27">
        <v>0.89938591875565532</v>
      </c>
      <c r="AT689" s="27">
        <v>0.82584905687090882</v>
      </c>
      <c r="AU689" s="27">
        <v>0.70560877504142105</v>
      </c>
      <c r="AW689" s="1">
        <v>13.675485923369854</v>
      </c>
      <c r="AX689" s="1">
        <v>15.624538284551798</v>
      </c>
      <c r="AY689" s="2">
        <v>1389354.6561534023</v>
      </c>
      <c r="AZ689" s="1">
        <v>15.243449744919744</v>
      </c>
      <c r="BA689" s="1">
        <v>17.188141989026086</v>
      </c>
      <c r="BB689" s="2">
        <v>1059090.9480109971</v>
      </c>
      <c r="BC689" s="2">
        <f t="shared" si="77"/>
        <v>-330263.70814240514</v>
      </c>
      <c r="BD689" s="292">
        <f t="shared" si="78"/>
        <v>1.5679638215498901</v>
      </c>
      <c r="BF689" s="170">
        <f t="shared" si="73"/>
        <v>798723.09158577444</v>
      </c>
      <c r="BG689" s="2">
        <f t="shared" si="74"/>
        <v>1379861.0111761617</v>
      </c>
      <c r="BI689">
        <f t="shared" si="75"/>
        <v>0</v>
      </c>
      <c r="BJ689" s="95">
        <f t="shared" si="76"/>
        <v>1</v>
      </c>
      <c r="BP689" s="217">
        <f t="shared" si="79"/>
        <v>1379861.0111761617</v>
      </c>
    </row>
    <row r="690" spans="1:68">
      <c r="A690" s="11">
        <v>684</v>
      </c>
      <c r="C690" s="27">
        <v>0.92663119967775631</v>
      </c>
      <c r="D690" s="27">
        <v>7.336880032224366E-2</v>
      </c>
      <c r="E690" s="27">
        <v>0</v>
      </c>
      <c r="F690" s="27">
        <v>0.85749684646879198</v>
      </c>
      <c r="G690" s="27">
        <v>0.14250315353120802</v>
      </c>
      <c r="H690" s="27">
        <v>0</v>
      </c>
      <c r="I690" s="27">
        <v>0.75366685438049497</v>
      </c>
      <c r="J690" s="27">
        <v>0.24633314561950506</v>
      </c>
      <c r="K690" s="27">
        <v>0</v>
      </c>
      <c r="L690" s="27">
        <v>0.12631871449612786</v>
      </c>
      <c r="M690" s="27">
        <v>0.45624059529127614</v>
      </c>
      <c r="N690" s="27">
        <v>0.417440690212596</v>
      </c>
      <c r="O690" s="27">
        <v>-11.928130427339926</v>
      </c>
      <c r="P690" s="27">
        <v>3.7896835358016946E-2</v>
      </c>
      <c r="Q690" s="27">
        <v>3.242880968978072E-5</v>
      </c>
      <c r="R690" s="27">
        <v>1.1507090505500481</v>
      </c>
      <c r="S690" s="154"/>
      <c r="T690">
        <v>0.9920916219439686</v>
      </c>
      <c r="U690">
        <v>2.2434851922631829</v>
      </c>
      <c r="V690">
        <v>2.9654063468339111</v>
      </c>
      <c r="W690">
        <v>1</v>
      </c>
      <c r="Y690" s="2">
        <v>108.55540734395264</v>
      </c>
      <c r="Z690" s="2">
        <v>17644.396953852836</v>
      </c>
      <c r="AA690" s="2">
        <v>207.79316323704626</v>
      </c>
      <c r="AB690" s="2">
        <v>2322.5468274742011</v>
      </c>
      <c r="AC690" s="2">
        <v>448.96153422229992</v>
      </c>
      <c r="AD690" s="2">
        <v>268.26195498613663</v>
      </c>
      <c r="AE690" s="2">
        <v>486.06882975719077</v>
      </c>
      <c r="AF690" s="2">
        <v>984.15989144480704</v>
      </c>
      <c r="AG690" s="2">
        <v>125.06441885237285</v>
      </c>
      <c r="AH690" s="2">
        <v>618.58813859827922</v>
      </c>
      <c r="AI690" s="2">
        <v>520505.20178817393</v>
      </c>
      <c r="AJ690" s="2">
        <v>487699.14153074875</v>
      </c>
      <c r="AL690" s="27">
        <v>0.92124425164284585</v>
      </c>
      <c r="AM690" s="27">
        <v>0.9168645251698968</v>
      </c>
      <c r="AN690" s="27">
        <v>0.91480040858000788</v>
      </c>
      <c r="AO690" s="27">
        <v>0.86801611924841349</v>
      </c>
      <c r="AP690" s="27">
        <v>0.77587990443621746</v>
      </c>
      <c r="AQ690" s="27">
        <v>0.92124425164284585</v>
      </c>
      <c r="AR690" s="27">
        <v>0.9168645251698968</v>
      </c>
      <c r="AS690" s="27">
        <v>0.91480040858000788</v>
      </c>
      <c r="AT690" s="27">
        <v>0.86801611924841349</v>
      </c>
      <c r="AU690" s="27">
        <v>0.77587990443621746</v>
      </c>
      <c r="AW690" s="1">
        <v>13.700938559492037</v>
      </c>
      <c r="AX690" s="1">
        <v>15.352871840980351</v>
      </c>
      <c r="AY690" s="2">
        <v>1882629.1990427917</v>
      </c>
      <c r="AZ690" s="1">
        <v>15.501178079935617</v>
      </c>
      <c r="BA690" s="1">
        <v>17.188794224195892</v>
      </c>
      <c r="BB690" s="2">
        <v>1210565.9355638553</v>
      </c>
      <c r="BC690" s="2">
        <f t="shared" si="77"/>
        <v>-672063.26347893639</v>
      </c>
      <c r="BD690" s="292">
        <f t="shared" si="78"/>
        <v>1.8002395204435793</v>
      </c>
      <c r="BF690" s="170">
        <f t="shared" si="73"/>
        <v>309520.97047593421</v>
      </c>
      <c r="BG690" s="2">
        <f t="shared" si="74"/>
        <v>1269622.5572258434</v>
      </c>
      <c r="BI690">
        <f t="shared" si="75"/>
        <v>0</v>
      </c>
      <c r="BJ690" s="95">
        <f t="shared" si="76"/>
        <v>1</v>
      </c>
      <c r="BP690" s="217">
        <f t="shared" si="79"/>
        <v>1269622.5572258434</v>
      </c>
    </row>
    <row r="691" spans="1:68">
      <c r="A691" s="11">
        <v>685</v>
      </c>
      <c r="C691" s="27">
        <v>0.92303855207961383</v>
      </c>
      <c r="D691" s="27">
        <v>7.6961447920386172E-2</v>
      </c>
      <c r="E691" s="27">
        <v>0</v>
      </c>
      <c r="F691" s="27">
        <v>0.86412690308167206</v>
      </c>
      <c r="G691" s="27">
        <v>0.135873096918328</v>
      </c>
      <c r="H691" s="27">
        <v>0</v>
      </c>
      <c r="I691" s="27">
        <v>0.74526588336785371</v>
      </c>
      <c r="J691" s="27">
        <v>0.25473411663214629</v>
      </c>
      <c r="K691" s="27">
        <v>0</v>
      </c>
      <c r="L691" s="27">
        <v>0.11639273382037818</v>
      </c>
      <c r="M691" s="27">
        <v>0.49588830539411161</v>
      </c>
      <c r="N691" s="27">
        <v>0.38771896078551016</v>
      </c>
      <c r="O691" s="27">
        <v>-11.00954758463774</v>
      </c>
      <c r="P691" s="27">
        <v>3.3962176987470186E-2</v>
      </c>
      <c r="Q691" s="27">
        <v>6.8880588697889608E-5</v>
      </c>
      <c r="R691" s="27">
        <v>1.0716032289698518</v>
      </c>
      <c r="S691" s="154"/>
      <c r="T691">
        <v>1.0393550984956725</v>
      </c>
      <c r="U691">
        <v>2.2014149482780803</v>
      </c>
      <c r="V691">
        <v>2.9317697591792018</v>
      </c>
      <c r="W691">
        <v>1</v>
      </c>
      <c r="Y691" s="2">
        <v>754.18907572871353</v>
      </c>
      <c r="Z691" s="2">
        <v>3628.5619761892008</v>
      </c>
      <c r="AA691" s="2">
        <v>302.50967016462624</v>
      </c>
      <c r="AB691" s="2">
        <v>2421.6419575644868</v>
      </c>
      <c r="AC691" s="2">
        <v>1172.089357294215</v>
      </c>
      <c r="AD691" s="2">
        <v>226.38060784276402</v>
      </c>
      <c r="AE691" s="2">
        <v>598.71937732452943</v>
      </c>
      <c r="AF691" s="2">
        <v>861.42956563465259</v>
      </c>
      <c r="AG691" s="2">
        <v>128.82270813238466</v>
      </c>
      <c r="AH691" s="2">
        <v>619.10644069079615</v>
      </c>
      <c r="AI691" s="2">
        <v>670692.81197090982</v>
      </c>
      <c r="AJ691" s="2">
        <v>639911.85214744043</v>
      </c>
      <c r="AL691" s="27">
        <v>0.91306428725970357</v>
      </c>
      <c r="AM691" s="27">
        <v>0.91611021887616317</v>
      </c>
      <c r="AN691" s="27">
        <v>0.90966345421299688</v>
      </c>
      <c r="AO691" s="27">
        <v>0.8723241791927423</v>
      </c>
      <c r="AP691" s="27">
        <v>0.6837463036171707</v>
      </c>
      <c r="AQ691" s="27">
        <v>0.91306428725970357</v>
      </c>
      <c r="AR691" s="27">
        <v>0.91611021887616317</v>
      </c>
      <c r="AS691" s="27">
        <v>0.90966345421299688</v>
      </c>
      <c r="AT691" s="27">
        <v>0.8723241791927423</v>
      </c>
      <c r="AU691" s="27">
        <v>0.6837463036171707</v>
      </c>
      <c r="AW691" s="1">
        <v>13.294168147439324</v>
      </c>
      <c r="AX691" s="1">
        <v>15.350796548339828</v>
      </c>
      <c r="AY691" s="2">
        <v>2467501.7748678471</v>
      </c>
      <c r="AZ691" s="1">
        <v>15.282067667507773</v>
      </c>
      <c r="BA691" s="1">
        <v>17.285884446174276</v>
      </c>
      <c r="BB691" s="2">
        <v>1717563.6846947221</v>
      </c>
      <c r="BC691" s="2">
        <f t="shared" si="77"/>
        <v>-749938.09017312503</v>
      </c>
      <c r="BD691" s="292">
        <f t="shared" si="78"/>
        <v>1.9878995200684493</v>
      </c>
      <c r="BF691" s="170">
        <f t="shared" si="73"/>
        <v>-340434.87127755536</v>
      </c>
      <c r="BG691" s="2">
        <f t="shared" si="74"/>
        <v>727567.14210652164</v>
      </c>
      <c r="BI691">
        <f t="shared" si="75"/>
        <v>0</v>
      </c>
      <c r="BJ691" s="95">
        <f t="shared" si="76"/>
        <v>1</v>
      </c>
      <c r="BP691" s="217">
        <f t="shared" si="79"/>
        <v>727567.14210652164</v>
      </c>
    </row>
    <row r="692" spans="1:68">
      <c r="A692" s="11">
        <v>686</v>
      </c>
      <c r="C692" s="27">
        <v>0.92017385048722156</v>
      </c>
      <c r="D692" s="27">
        <v>7.9826149512778444E-2</v>
      </c>
      <c r="E692" s="27">
        <v>0</v>
      </c>
      <c r="F692" s="27">
        <v>0.85906351932638736</v>
      </c>
      <c r="G692" s="27">
        <v>0.14093648067361259</v>
      </c>
      <c r="H692" s="27">
        <v>0</v>
      </c>
      <c r="I692" s="27">
        <v>0.75385824957987435</v>
      </c>
      <c r="J692" s="27">
        <v>0.24614175042012562</v>
      </c>
      <c r="K692" s="27">
        <v>0</v>
      </c>
      <c r="L692" s="27">
        <v>0.21679786013068236</v>
      </c>
      <c r="M692" s="27">
        <v>0.48297561881072443</v>
      </c>
      <c r="N692" s="27">
        <v>0.30022652105859327</v>
      </c>
      <c r="O692" s="27">
        <v>-11.19385615531994</v>
      </c>
      <c r="P692" s="27">
        <v>3.711724071816843E-2</v>
      </c>
      <c r="Q692" s="27">
        <v>6.5403679137597054E-5</v>
      </c>
      <c r="R692" s="27">
        <v>1.0559231234238737</v>
      </c>
      <c r="S692" s="154"/>
      <c r="T692">
        <v>0.99884868055160614</v>
      </c>
      <c r="U692">
        <v>2.2786739693311988</v>
      </c>
      <c r="V692">
        <v>3.0151705948040721</v>
      </c>
      <c r="W692">
        <v>1</v>
      </c>
      <c r="Y692" s="2">
        <v>373.51627930949769</v>
      </c>
      <c r="Z692" s="2">
        <v>3087.4839893466033</v>
      </c>
      <c r="AA692" s="2">
        <v>1154.6873092303961</v>
      </c>
      <c r="AB692" s="2">
        <v>10726.385009539334</v>
      </c>
      <c r="AC692" s="2">
        <v>352.47656446360605</v>
      </c>
      <c r="AD692" s="2">
        <v>634.47170269400169</v>
      </c>
      <c r="AE692" s="2">
        <v>571.67181436130113</v>
      </c>
      <c r="AF692" s="2">
        <v>920.35876490984322</v>
      </c>
      <c r="AG692" s="2">
        <v>125.22330976773152</v>
      </c>
      <c r="AH692" s="2">
        <v>235.4686503076725</v>
      </c>
      <c r="AI692" s="2">
        <v>435618.01370385895</v>
      </c>
      <c r="AJ692" s="2">
        <v>418231.68789746525</v>
      </c>
      <c r="AL692" s="27">
        <v>0.91360028404599714</v>
      </c>
      <c r="AM692" s="27">
        <v>0.91255413963537702</v>
      </c>
      <c r="AN692" s="27">
        <v>0.90915068515512254</v>
      </c>
      <c r="AO692" s="27">
        <v>0.86741909645734805</v>
      </c>
      <c r="AP692" s="27">
        <v>0.66327143879047479</v>
      </c>
      <c r="AQ692" s="27">
        <v>0.91360028404599714</v>
      </c>
      <c r="AR692" s="27">
        <v>0.91255413963537702</v>
      </c>
      <c r="AS692" s="27">
        <v>0.90915068515512254</v>
      </c>
      <c r="AT692" s="27">
        <v>0.86741909645734805</v>
      </c>
      <c r="AU692" s="27">
        <v>0.66327143879047479</v>
      </c>
      <c r="AW692" s="1">
        <v>13.581235814974495</v>
      </c>
      <c r="AX692" s="1">
        <v>15.899311677032546</v>
      </c>
      <c r="AY692" s="2">
        <v>1921101.9546071624</v>
      </c>
      <c r="AZ692" s="1">
        <v>15.417297515806222</v>
      </c>
      <c r="BA692" s="1">
        <v>17.612495351648299</v>
      </c>
      <c r="BB692" s="2">
        <v>1520891.2109357181</v>
      </c>
      <c r="BC692" s="2">
        <f t="shared" si="77"/>
        <v>-400210.74367144424</v>
      </c>
      <c r="BD692" s="292">
        <f t="shared" si="78"/>
        <v>1.8360617008317277</v>
      </c>
      <c r="BF692" s="170">
        <f t="shared" si="73"/>
        <v>251895.77578875679</v>
      </c>
      <c r="BG692" s="2">
        <f t="shared" si="74"/>
        <v>945876.39159327722</v>
      </c>
      <c r="BI692">
        <f t="shared" si="75"/>
        <v>0</v>
      </c>
      <c r="BJ692" s="95">
        <f t="shared" si="76"/>
        <v>1</v>
      </c>
      <c r="BP692" s="217">
        <f t="shared" si="79"/>
        <v>945876.39159327722</v>
      </c>
    </row>
    <row r="693" spans="1:68">
      <c r="A693" s="11">
        <v>687</v>
      </c>
      <c r="C693" s="27">
        <v>0.92260821751770616</v>
      </c>
      <c r="D693" s="27">
        <v>7.7391782482293836E-2</v>
      </c>
      <c r="E693" s="27">
        <v>0</v>
      </c>
      <c r="F693" s="27">
        <v>0.85318200918519305</v>
      </c>
      <c r="G693" s="27">
        <v>0.14681799081480695</v>
      </c>
      <c r="H693" s="27">
        <v>0</v>
      </c>
      <c r="I693" s="27">
        <v>0.7442144526925073</v>
      </c>
      <c r="J693" s="27">
        <v>0.2557855473074927</v>
      </c>
      <c r="K693" s="27">
        <v>0</v>
      </c>
      <c r="L693" s="27">
        <v>7.6641290171236442E-2</v>
      </c>
      <c r="M693" s="27">
        <v>0.54698312010017069</v>
      </c>
      <c r="N693" s="27">
        <v>0.37637558972859286</v>
      </c>
      <c r="O693" s="27">
        <v>-11.342200765886817</v>
      </c>
      <c r="P693" s="27">
        <v>3.9073147475624834E-2</v>
      </c>
      <c r="Q693" s="27">
        <v>6.1214371235059729E-5</v>
      </c>
      <c r="R693" s="27">
        <v>1.0656258565499275</v>
      </c>
      <c r="S693" s="154"/>
      <c r="T693">
        <v>1.0148308032317039</v>
      </c>
      <c r="U693">
        <v>2.2141927260255048</v>
      </c>
      <c r="V693">
        <v>2.8780982303718088</v>
      </c>
      <c r="W693">
        <v>1</v>
      </c>
      <c r="Y693" s="2">
        <v>109.42689965044023</v>
      </c>
      <c r="Z693" s="2">
        <v>11202.132283633919</v>
      </c>
      <c r="AA693" s="2">
        <v>1375.1160688880204</v>
      </c>
      <c r="AB693" s="2">
        <v>1967.2216286754649</v>
      </c>
      <c r="AC693" s="2">
        <v>118.61333783677362</v>
      </c>
      <c r="AD693" s="2">
        <v>759.19503932350483</v>
      </c>
      <c r="AE693" s="2">
        <v>583.70410004241535</v>
      </c>
      <c r="AF693" s="2">
        <v>1266.0376505364791</v>
      </c>
      <c r="AG693" s="2">
        <v>108.19610123154092</v>
      </c>
      <c r="AH693" s="2">
        <v>370.37483376844324</v>
      </c>
      <c r="AI693" s="2">
        <v>410888.07124838221</v>
      </c>
      <c r="AJ693" s="2">
        <v>380570.28018604644</v>
      </c>
      <c r="AL693" s="27">
        <v>0.91886183320253256</v>
      </c>
      <c r="AM693" s="27">
        <v>0.91169681716062057</v>
      </c>
      <c r="AN693" s="27">
        <v>0.91182102519135388</v>
      </c>
      <c r="AO693" s="27">
        <v>0.89548228149055631</v>
      </c>
      <c r="AP693" s="27">
        <v>0.6667116471762573</v>
      </c>
      <c r="AQ693" s="27">
        <v>0.91886183320253256</v>
      </c>
      <c r="AR693" s="27">
        <v>0.91169681716062057</v>
      </c>
      <c r="AS693" s="27">
        <v>0.91182102519135388</v>
      </c>
      <c r="AT693" s="27">
        <v>0.89548228149055631</v>
      </c>
      <c r="AU693" s="27">
        <v>0.6667116471762573</v>
      </c>
      <c r="AW693" s="1">
        <v>13.510170399908347</v>
      </c>
      <c r="AX693" s="1">
        <v>15.688914861568897</v>
      </c>
      <c r="AY693" s="2">
        <v>1782041.6167004691</v>
      </c>
      <c r="AZ693" s="1">
        <v>15.325074834055616</v>
      </c>
      <c r="BA693" s="1">
        <v>17.408934338604855</v>
      </c>
      <c r="BB693" s="2">
        <v>1237512.9282573909</v>
      </c>
      <c r="BC693" s="2">
        <f t="shared" si="77"/>
        <v>-544528.68844307819</v>
      </c>
      <c r="BD693" s="292">
        <f t="shared" si="78"/>
        <v>1.8149044341472695</v>
      </c>
      <c r="BF693" s="170">
        <f t="shared" si="73"/>
        <v>379585.64728486631</v>
      </c>
      <c r="BG693" s="2">
        <f t="shared" si="74"/>
        <v>1214499.0451915078</v>
      </c>
      <c r="BI693">
        <f t="shared" si="75"/>
        <v>0</v>
      </c>
      <c r="BJ693" s="95">
        <f t="shared" si="76"/>
        <v>1</v>
      </c>
      <c r="BP693" s="217">
        <f t="shared" si="79"/>
        <v>1214499.0451915078</v>
      </c>
    </row>
    <row r="694" spans="1:68">
      <c r="A694" s="11">
        <v>688</v>
      </c>
      <c r="C694" s="27">
        <v>0.92349364297242353</v>
      </c>
      <c r="D694" s="27">
        <v>7.6506357027576508E-2</v>
      </c>
      <c r="E694" s="27">
        <v>0</v>
      </c>
      <c r="F694" s="27">
        <v>0.86531492322865899</v>
      </c>
      <c r="G694" s="27">
        <v>0.13468507677134103</v>
      </c>
      <c r="H694" s="27">
        <v>0</v>
      </c>
      <c r="I694" s="27">
        <v>0.75214503635544461</v>
      </c>
      <c r="J694" s="27">
        <v>0.24785496364455539</v>
      </c>
      <c r="K694" s="27">
        <v>0</v>
      </c>
      <c r="L694" s="27">
        <v>0.1225074687535026</v>
      </c>
      <c r="M694" s="27">
        <v>0.47724893267135204</v>
      </c>
      <c r="N694" s="27">
        <v>0.40024359857514535</v>
      </c>
      <c r="O694" s="27">
        <v>-11.216893926010796</v>
      </c>
      <c r="P694" s="27">
        <v>3.3564779292560611E-2</v>
      </c>
      <c r="Q694" s="27">
        <v>5.5055257474970056E-5</v>
      </c>
      <c r="R694" s="27">
        <v>1.0849324015693604</v>
      </c>
      <c r="S694" s="154"/>
      <c r="T694">
        <v>1.033416535170502</v>
      </c>
      <c r="U694">
        <v>2.2861351973902675</v>
      </c>
      <c r="V694">
        <v>3.0011236246334021</v>
      </c>
      <c r="W694">
        <v>1</v>
      </c>
      <c r="Y694" s="2">
        <v>722.68052859599493</v>
      </c>
      <c r="Z694" s="2">
        <v>1329.780852342084</v>
      </c>
      <c r="AA694" s="2">
        <v>120.67559092225449</v>
      </c>
      <c r="AB694" s="2">
        <v>6778.569399319782</v>
      </c>
      <c r="AC694" s="2">
        <v>1720.6212128607069</v>
      </c>
      <c r="AD694" s="2">
        <v>1082.1869546553253</v>
      </c>
      <c r="AE694" s="2">
        <v>546.35365692192443</v>
      </c>
      <c r="AF694" s="2">
        <v>1016.4440236885514</v>
      </c>
      <c r="AG694" s="2">
        <v>217.4082563555915</v>
      </c>
      <c r="AH694" s="2">
        <v>342.20198002299082</v>
      </c>
      <c r="AI694" s="2">
        <v>569810.90166976221</v>
      </c>
      <c r="AJ694" s="2">
        <v>541504.37462709146</v>
      </c>
      <c r="AL694" s="27">
        <v>0.9154777721553643</v>
      </c>
      <c r="AM694" s="27">
        <v>0.91984038921820199</v>
      </c>
      <c r="AN694" s="27">
        <v>0.91018924288865288</v>
      </c>
      <c r="AO694" s="27">
        <v>0.84272544821759499</v>
      </c>
      <c r="AP694" s="27">
        <v>0.6578775144910296</v>
      </c>
      <c r="AQ694" s="27">
        <v>0.9154777721553643</v>
      </c>
      <c r="AR694" s="27">
        <v>0.91984038921820199</v>
      </c>
      <c r="AS694" s="27">
        <v>0.91018924288865288</v>
      </c>
      <c r="AT694" s="27">
        <v>0.84272544821759499</v>
      </c>
      <c r="AU694" s="27">
        <v>0.6578775144910296</v>
      </c>
      <c r="AW694" s="1">
        <v>13.241002673998141</v>
      </c>
      <c r="AX694" s="1">
        <v>15.370726177941966</v>
      </c>
      <c r="AY694" s="2">
        <v>2091933.4864273164</v>
      </c>
      <c r="AZ694" s="1">
        <v>15.30653430331431</v>
      </c>
      <c r="BA694" s="1">
        <v>17.34052264989835</v>
      </c>
      <c r="BB694" s="2">
        <v>1536098.0987445433</v>
      </c>
      <c r="BC694" s="2">
        <f t="shared" si="77"/>
        <v>-555835.38768277317</v>
      </c>
      <c r="BD694" s="292">
        <f t="shared" si="78"/>
        <v>2.065531629316169</v>
      </c>
      <c r="BF694" s="170">
        <f t="shared" si="73"/>
        <v>26626.941412386019</v>
      </c>
      <c r="BG694" s="2">
        <f t="shared" si="74"/>
        <v>912947.38978574611</v>
      </c>
      <c r="BI694">
        <f t="shared" si="75"/>
        <v>0</v>
      </c>
      <c r="BJ694" s="95">
        <f t="shared" si="76"/>
        <v>1</v>
      </c>
      <c r="BP694" s="217">
        <f t="shared" si="79"/>
        <v>912947.38978574611</v>
      </c>
    </row>
    <row r="695" spans="1:68">
      <c r="A695" s="11">
        <v>689</v>
      </c>
      <c r="C695" s="27">
        <v>0.92139223119496061</v>
      </c>
      <c r="D695" s="27">
        <v>7.8607768805039391E-2</v>
      </c>
      <c r="E695" s="27">
        <v>0</v>
      </c>
      <c r="F695" s="27">
        <v>0.8502586682622294</v>
      </c>
      <c r="G695" s="27">
        <v>0.1497413317377706</v>
      </c>
      <c r="H695" s="27">
        <v>0</v>
      </c>
      <c r="I695" s="27">
        <v>0.75023279591490288</v>
      </c>
      <c r="J695" s="27">
        <v>0.24976720408509709</v>
      </c>
      <c r="K695" s="27">
        <v>0</v>
      </c>
      <c r="L695" s="27">
        <v>3.3044341912856878E-2</v>
      </c>
      <c r="M695" s="27">
        <v>0.52990905801467747</v>
      </c>
      <c r="N695" s="27">
        <v>0.43704660007246565</v>
      </c>
      <c r="O695" s="27">
        <v>-11.195260785816469</v>
      </c>
      <c r="P695" s="27">
        <v>3.6913393060799028E-2</v>
      </c>
      <c r="Q695" s="27">
        <v>6.4755088262796769E-5</v>
      </c>
      <c r="R695" s="27">
        <v>1.0619503828467518</v>
      </c>
      <c r="S695" s="154"/>
      <c r="T695">
        <v>1.005149749825325</v>
      </c>
      <c r="U695">
        <v>2.2260302180644191</v>
      </c>
      <c r="V695">
        <v>3.0895485190233809</v>
      </c>
      <c r="W695">
        <v>1</v>
      </c>
      <c r="Y695" s="2">
        <v>1054.4423413862212</v>
      </c>
      <c r="Z695" s="2">
        <v>5385.4291339288457</v>
      </c>
      <c r="AA695" s="2">
        <v>2733.9330758633241</v>
      </c>
      <c r="AB695" s="2">
        <v>1851.2819768360434</v>
      </c>
      <c r="AC695" s="2">
        <v>760.95044831365362</v>
      </c>
      <c r="AD695" s="2">
        <v>221.91468013727015</v>
      </c>
      <c r="AE695" s="2">
        <v>571.32770480875604</v>
      </c>
      <c r="AF695" s="2">
        <v>1169.6339471162094</v>
      </c>
      <c r="AG695" s="2">
        <v>116.86580695501888</v>
      </c>
      <c r="AH695" s="2">
        <v>380.88803777216862</v>
      </c>
      <c r="AI695" s="2">
        <v>422821.9128023205</v>
      </c>
      <c r="AJ695" s="2">
        <v>398055.96098713932</v>
      </c>
      <c r="AL695" s="27">
        <v>0.91318513400520906</v>
      </c>
      <c r="AM695" s="27">
        <v>0.91801076782116198</v>
      </c>
      <c r="AN695" s="27">
        <v>0.91065599861366908</v>
      </c>
      <c r="AO695" s="27">
        <v>0.8898570950946767</v>
      </c>
      <c r="AP695" s="27">
        <v>0.76648083891568086</v>
      </c>
      <c r="AQ695" s="27">
        <v>0.91318513400520906</v>
      </c>
      <c r="AR695" s="27">
        <v>0.91801076782116198</v>
      </c>
      <c r="AS695" s="27">
        <v>0.91065599861366908</v>
      </c>
      <c r="AT695" s="27">
        <v>0.8898570950946767</v>
      </c>
      <c r="AU695" s="27">
        <v>0.76648083891568086</v>
      </c>
      <c r="AW695" s="1">
        <v>13.513947884726166</v>
      </c>
      <c r="AX695" s="1">
        <v>15.322883981060748</v>
      </c>
      <c r="AY695" s="2">
        <v>1678880.436738336</v>
      </c>
      <c r="AZ695" s="1">
        <v>15.334998054968196</v>
      </c>
      <c r="BA695" s="1">
        <v>17.158690707991436</v>
      </c>
      <c r="BB695" s="2">
        <v>1215661.2584505884</v>
      </c>
      <c r="BC695" s="2">
        <f t="shared" si="77"/>
        <v>-463219.17828774755</v>
      </c>
      <c r="BD695" s="292">
        <f t="shared" si="78"/>
        <v>1.8210501702420299</v>
      </c>
      <c r="BF695" s="170">
        <f t="shared" si="73"/>
        <v>483351.22481785063</v>
      </c>
      <c r="BG695" s="2">
        <f t="shared" si="74"/>
        <v>1237938.4303443229</v>
      </c>
      <c r="BI695">
        <f t="shared" si="75"/>
        <v>0</v>
      </c>
      <c r="BJ695" s="95">
        <f t="shared" si="76"/>
        <v>1</v>
      </c>
      <c r="BP695" s="217">
        <f t="shared" si="79"/>
        <v>1237938.4303443229</v>
      </c>
    </row>
    <row r="696" spans="1:68">
      <c r="A696" s="11">
        <v>690</v>
      </c>
      <c r="C696" s="27">
        <v>0.92349900092034498</v>
      </c>
      <c r="D696" s="27">
        <v>7.6500999079655019E-2</v>
      </c>
      <c r="E696" s="27">
        <v>0</v>
      </c>
      <c r="F696" s="27">
        <v>0.86189296710139385</v>
      </c>
      <c r="G696" s="27">
        <v>0.13810703289860612</v>
      </c>
      <c r="H696" s="27">
        <v>0</v>
      </c>
      <c r="I696" s="27">
        <v>0.75087814853919221</v>
      </c>
      <c r="J696" s="27">
        <v>0.24912185146080781</v>
      </c>
      <c r="K696" s="27">
        <v>0</v>
      </c>
      <c r="L696" s="27">
        <v>0.14392708596465692</v>
      </c>
      <c r="M696" s="27">
        <v>0.49355248246769856</v>
      </c>
      <c r="N696" s="27">
        <v>0.36252043156764452</v>
      </c>
      <c r="O696" s="27">
        <v>-11.141022300189858</v>
      </c>
      <c r="P696" s="27">
        <v>3.2929018333155535E-2</v>
      </c>
      <c r="Q696" s="27">
        <v>5.7829962734176151E-5</v>
      </c>
      <c r="R696" s="27">
        <v>1.0847323628516605</v>
      </c>
      <c r="S696" s="154"/>
      <c r="T696">
        <v>0.9021020092108839</v>
      </c>
      <c r="U696">
        <v>2.2863725881921377</v>
      </c>
      <c r="V696">
        <v>3.0930874244754785</v>
      </c>
      <c r="W696">
        <v>1</v>
      </c>
      <c r="Y696" s="2">
        <v>2784.6598970066284</v>
      </c>
      <c r="Z696" s="2">
        <v>4850.5147389020995</v>
      </c>
      <c r="AA696" s="2">
        <v>1336.8567384578721</v>
      </c>
      <c r="AB696" s="2">
        <v>1320.9617405930028</v>
      </c>
      <c r="AC696" s="2">
        <v>304.84965785223415</v>
      </c>
      <c r="AD696" s="2">
        <v>1824.206609143218</v>
      </c>
      <c r="AE696" s="2">
        <v>543.00326087137933</v>
      </c>
      <c r="AF696" s="2">
        <v>1028.1316436995714</v>
      </c>
      <c r="AG696" s="2">
        <v>67.341864793017663</v>
      </c>
      <c r="AH696" s="2">
        <v>387.43979331713143</v>
      </c>
      <c r="AI696" s="2">
        <v>387221.47035996307</v>
      </c>
      <c r="AJ696" s="2">
        <v>359853.74273494614</v>
      </c>
      <c r="AL696" s="27">
        <v>0.9175694349829836</v>
      </c>
      <c r="AM696" s="27">
        <v>0.91311800110797281</v>
      </c>
      <c r="AN696" s="27">
        <v>0.91296324065484868</v>
      </c>
      <c r="AO696" s="27">
        <v>0.82808618407522749</v>
      </c>
      <c r="AP696" s="27">
        <v>0.67139248384949513</v>
      </c>
      <c r="AQ696" s="27">
        <v>0.9175694349829836</v>
      </c>
      <c r="AR696" s="27">
        <v>0.91311800110797281</v>
      </c>
      <c r="AS696" s="27">
        <v>0.91296324065484868</v>
      </c>
      <c r="AT696" s="27">
        <v>0.82808618407522749</v>
      </c>
      <c r="AU696" s="27">
        <v>0.67139248384949513</v>
      </c>
      <c r="AW696" s="1">
        <v>13.740047635594662</v>
      </c>
      <c r="AX696" s="1">
        <v>15.852063754332448</v>
      </c>
      <c r="AY696" s="2">
        <v>1439319.9118216545</v>
      </c>
      <c r="AZ696" s="1">
        <v>15.350489170555342</v>
      </c>
      <c r="BA696" s="1">
        <v>17.3982409129883</v>
      </c>
      <c r="BB696" s="2">
        <v>1061847.4620349086</v>
      </c>
      <c r="BC696" s="2">
        <f t="shared" si="77"/>
        <v>-377472.44978674594</v>
      </c>
      <c r="BD696" s="292">
        <f t="shared" si="78"/>
        <v>1.61044153496068</v>
      </c>
      <c r="BF696" s="170">
        <f t="shared" si="73"/>
        <v>759087.70987349143</v>
      </c>
      <c r="BG696" s="2">
        <f t="shared" si="74"/>
        <v>1394230.8052539462</v>
      </c>
      <c r="BI696">
        <f t="shared" si="75"/>
        <v>0</v>
      </c>
      <c r="BJ696" s="95">
        <f t="shared" si="76"/>
        <v>1</v>
      </c>
      <c r="BP696" s="217">
        <f t="shared" si="79"/>
        <v>1394230.8052539462</v>
      </c>
    </row>
    <row r="697" spans="1:68">
      <c r="A697" s="11">
        <v>691</v>
      </c>
      <c r="C697" s="27">
        <v>0.92677834398009262</v>
      </c>
      <c r="D697" s="27">
        <v>7.3221656019907363E-2</v>
      </c>
      <c r="E697" s="27">
        <v>0</v>
      </c>
      <c r="F697" s="27">
        <v>0.85319178400323581</v>
      </c>
      <c r="G697" s="27">
        <v>0.14680821599676419</v>
      </c>
      <c r="H697" s="27">
        <v>0</v>
      </c>
      <c r="I697" s="27">
        <v>0.76126622237031616</v>
      </c>
      <c r="J697" s="27">
        <v>0.23873377762968387</v>
      </c>
      <c r="K697" s="27">
        <v>0</v>
      </c>
      <c r="L697" s="27">
        <v>5.0539522254952618E-2</v>
      </c>
      <c r="M697" s="27">
        <v>0.53224874362403973</v>
      </c>
      <c r="N697" s="27">
        <v>0.41721173412100765</v>
      </c>
      <c r="O697" s="27">
        <v>-11.307445573201072</v>
      </c>
      <c r="P697" s="27">
        <v>3.6966016437679376E-2</v>
      </c>
      <c r="Q697" s="27">
        <v>5.8011291645766508E-5</v>
      </c>
      <c r="R697" s="27">
        <v>1.0695085550939381</v>
      </c>
      <c r="S697" s="154"/>
      <c r="T697">
        <v>0.91896709547250377</v>
      </c>
      <c r="U697">
        <v>2.2763775700416553</v>
      </c>
      <c r="V697">
        <v>2.9445989063692033</v>
      </c>
      <c r="W697">
        <v>1</v>
      </c>
      <c r="Y697" s="2">
        <v>1161.5514446454533</v>
      </c>
      <c r="Z697" s="2">
        <v>722.46485141259359</v>
      </c>
      <c r="AA697" s="2">
        <v>2251.7837947609228</v>
      </c>
      <c r="AB697" s="2">
        <v>2763.5012695189175</v>
      </c>
      <c r="AC697" s="2">
        <v>298.34012781073125</v>
      </c>
      <c r="AD697" s="2">
        <v>655.474214921971</v>
      </c>
      <c r="AE697" s="2">
        <v>589.28903496164583</v>
      </c>
      <c r="AF697" s="2">
        <v>1128.9603269167083</v>
      </c>
      <c r="AG697" s="2">
        <v>117.2470440385669</v>
      </c>
      <c r="AH697" s="2">
        <v>425.00251515624728</v>
      </c>
      <c r="AI697" s="2">
        <v>470502.91532565258</v>
      </c>
      <c r="AJ697" s="2">
        <v>433584.51996945543</v>
      </c>
      <c r="AL697" s="27">
        <v>0.92402221549657826</v>
      </c>
      <c r="AM697" s="27">
        <v>0.91799782901380944</v>
      </c>
      <c r="AN697" s="27">
        <v>0.91291320636098772</v>
      </c>
      <c r="AO697" s="27">
        <v>0.88090857175445547</v>
      </c>
      <c r="AP697" s="27">
        <v>0.67322941347555165</v>
      </c>
      <c r="AQ697" s="27">
        <v>0.92402221549657826</v>
      </c>
      <c r="AR697" s="27">
        <v>0.91799782901380944</v>
      </c>
      <c r="AS697" s="27">
        <v>0.91291320636098772</v>
      </c>
      <c r="AT697" s="27">
        <v>0.88090857175445547</v>
      </c>
      <c r="AU697" s="27">
        <v>0.67322941347555165</v>
      </c>
      <c r="AW697" s="1">
        <v>13.922022846667787</v>
      </c>
      <c r="AX697" s="1">
        <v>15.94275346416415</v>
      </c>
      <c r="AY697" s="2">
        <v>1668913.9332496189</v>
      </c>
      <c r="AZ697" s="1">
        <v>15.504670704897212</v>
      </c>
      <c r="BA697" s="1">
        <v>17.455420755478269</v>
      </c>
      <c r="BB697" s="2">
        <v>1307430.373849866</v>
      </c>
      <c r="BC697" s="2">
        <f t="shared" si="77"/>
        <v>-361483.55939975288</v>
      </c>
      <c r="BD697" s="292">
        <f t="shared" si="78"/>
        <v>1.582647858229425</v>
      </c>
      <c r="BF697" s="170">
        <f t="shared" si="73"/>
        <v>558609.72221722687</v>
      </c>
      <c r="BG697" s="2">
        <f t="shared" si="74"/>
        <v>1173316.9389336878</v>
      </c>
      <c r="BI697">
        <f t="shared" si="75"/>
        <v>0</v>
      </c>
      <c r="BJ697" s="95">
        <f t="shared" si="76"/>
        <v>1</v>
      </c>
      <c r="BP697" s="217">
        <f t="shared" si="79"/>
        <v>1173316.9389336878</v>
      </c>
    </row>
    <row r="698" spans="1:68">
      <c r="A698" s="11">
        <v>692</v>
      </c>
      <c r="C698" s="27">
        <v>0.91993366075840444</v>
      </c>
      <c r="D698" s="27">
        <v>8.0066339241595563E-2</v>
      </c>
      <c r="E698" s="27">
        <v>0</v>
      </c>
      <c r="F698" s="27">
        <v>0.8560654026874126</v>
      </c>
      <c r="G698" s="27">
        <v>0.1439345973125874</v>
      </c>
      <c r="H698" s="27">
        <v>0</v>
      </c>
      <c r="I698" s="27">
        <v>0.74140404527604387</v>
      </c>
      <c r="J698" s="27">
        <v>0.25859595472395613</v>
      </c>
      <c r="K698" s="27">
        <v>0</v>
      </c>
      <c r="L698" s="27">
        <v>7.2698698188458977E-2</v>
      </c>
      <c r="M698" s="27">
        <v>0.52876271388136264</v>
      </c>
      <c r="N698" s="27">
        <v>0.39853858793017838</v>
      </c>
      <c r="O698" s="27">
        <v>-10.481634963540854</v>
      </c>
      <c r="P698" s="27">
        <v>3.434408680522217E-2</v>
      </c>
      <c r="Q698" s="27">
        <v>1.1866771070757392E-4</v>
      </c>
      <c r="R698" s="27">
        <v>0.9899856629284679</v>
      </c>
      <c r="S698" s="154"/>
      <c r="T698">
        <v>0.96590160950732284</v>
      </c>
      <c r="U698">
        <v>2.3070971090835468</v>
      </c>
      <c r="V698">
        <v>3.1472029781455388</v>
      </c>
      <c r="W698">
        <v>1</v>
      </c>
      <c r="Y698" s="2">
        <v>1786.4728272096359</v>
      </c>
      <c r="Z698" s="2">
        <v>3926.8497563462402</v>
      </c>
      <c r="AA698" s="2">
        <v>719.73157586187858</v>
      </c>
      <c r="AB698" s="2">
        <v>14322.808895321539</v>
      </c>
      <c r="AC698" s="2">
        <v>21.168133425824038</v>
      </c>
      <c r="AD698" s="2">
        <v>4066.5137841687238</v>
      </c>
      <c r="AE698" s="2">
        <v>577.86745392470959</v>
      </c>
      <c r="AF698" s="2">
        <v>1240.4094690710263</v>
      </c>
      <c r="AG698" s="2">
        <v>87.268106246641835</v>
      </c>
      <c r="AH698" s="2">
        <v>238.715022584542</v>
      </c>
      <c r="AI698" s="2">
        <v>544092.98851098074</v>
      </c>
      <c r="AJ698" s="2">
        <v>518430.59490782028</v>
      </c>
      <c r="AL698" s="27">
        <v>0.91508350806672356</v>
      </c>
      <c r="AM698" s="27">
        <v>0.90960529535779677</v>
      </c>
      <c r="AN698" s="27">
        <v>0.90140527502722512</v>
      </c>
      <c r="AO698" s="27">
        <v>0.86700805120606195</v>
      </c>
      <c r="AP698" s="27">
        <v>0.64893788428173371</v>
      </c>
      <c r="AQ698" s="27">
        <v>0.91508350806672356</v>
      </c>
      <c r="AR698" s="27">
        <v>0.90960529535779677</v>
      </c>
      <c r="AS698" s="27">
        <v>0.90140527502722512</v>
      </c>
      <c r="AT698" s="27">
        <v>0.86700805120606195</v>
      </c>
      <c r="AU698" s="27">
        <v>0.64893788428173371</v>
      </c>
      <c r="AW698" s="1">
        <v>13.329976432887461</v>
      </c>
      <c r="AX698" s="1">
        <v>15.616646626483778</v>
      </c>
      <c r="AY698" s="2">
        <v>2272296.7624300998</v>
      </c>
      <c r="AZ698" s="1">
        <v>15.132453715597531</v>
      </c>
      <c r="BA698" s="1">
        <v>17.328677799855935</v>
      </c>
      <c r="BB698" s="2">
        <v>1899245.2170861193</v>
      </c>
      <c r="BC698" s="2">
        <f t="shared" si="77"/>
        <v>-373051.54534398043</v>
      </c>
      <c r="BD698" s="292">
        <f t="shared" si="78"/>
        <v>1.8024772827100701</v>
      </c>
      <c r="BF698" s="170">
        <f t="shared" si="73"/>
        <v>-139500.53316810587</v>
      </c>
      <c r="BG698" s="2">
        <f t="shared" si="74"/>
        <v>521947.37740948587</v>
      </c>
      <c r="BI698">
        <f t="shared" si="75"/>
        <v>0</v>
      </c>
      <c r="BJ698" s="95">
        <f t="shared" si="76"/>
        <v>1</v>
      </c>
      <c r="BP698" s="217">
        <f t="shared" si="79"/>
        <v>521947.37740948587</v>
      </c>
    </row>
    <row r="699" spans="1:68">
      <c r="A699" s="11">
        <v>693</v>
      </c>
      <c r="C699" s="27">
        <v>0.92600527173678726</v>
      </c>
      <c r="D699" s="27">
        <v>7.3994728263212683E-2</v>
      </c>
      <c r="E699" s="27">
        <v>0</v>
      </c>
      <c r="F699" s="27">
        <v>0.85936822597272089</v>
      </c>
      <c r="G699" s="27">
        <v>0.14063177402727911</v>
      </c>
      <c r="H699" s="27">
        <v>0</v>
      </c>
      <c r="I699" s="27">
        <v>0.74867451465794566</v>
      </c>
      <c r="J699" s="27">
        <v>0.25132548534205434</v>
      </c>
      <c r="K699" s="27">
        <v>0</v>
      </c>
      <c r="L699" s="27">
        <v>4.2407109293089329E-2</v>
      </c>
      <c r="M699" s="27">
        <v>0.55651714275804154</v>
      </c>
      <c r="N699" s="27">
        <v>0.40107574794886913</v>
      </c>
      <c r="O699" s="27">
        <v>-11.437975125224753</v>
      </c>
      <c r="P699" s="27">
        <v>3.5112815910138304E-2</v>
      </c>
      <c r="Q699" s="27">
        <v>4.710003296732482E-5</v>
      </c>
      <c r="R699" s="27">
        <v>1.1114127712898907</v>
      </c>
      <c r="S699" s="154"/>
      <c r="T699">
        <v>1.2050444020614277</v>
      </c>
      <c r="U699">
        <v>2.2606177979092594</v>
      </c>
      <c r="V699">
        <v>2.7973279677590264</v>
      </c>
      <c r="W699">
        <v>1</v>
      </c>
      <c r="Y699" s="2">
        <v>435.15636250019543</v>
      </c>
      <c r="Z699" s="2">
        <v>2268.1083426969885</v>
      </c>
      <c r="AA699" s="2">
        <v>1552.3446955570387</v>
      </c>
      <c r="AB699" s="2">
        <v>3601.3569866862395</v>
      </c>
      <c r="AC699" s="2">
        <v>475.56470001506744</v>
      </c>
      <c r="AD699" s="2">
        <v>3321.8022586362981</v>
      </c>
      <c r="AE699" s="2">
        <v>545.55860827829554</v>
      </c>
      <c r="AF699" s="2">
        <v>976.27920180509057</v>
      </c>
      <c r="AG699" s="2">
        <v>89.210519867200716</v>
      </c>
      <c r="AH699" s="2">
        <v>239.89103086069639</v>
      </c>
      <c r="AI699" s="2">
        <v>425542.03599847545</v>
      </c>
      <c r="AJ699" s="2">
        <v>393111.49447173171</v>
      </c>
      <c r="AL699" s="27">
        <v>0.91457005227381083</v>
      </c>
      <c r="AM699" s="27">
        <v>0.91974763228636713</v>
      </c>
      <c r="AN699" s="27">
        <v>0.90599996960198836</v>
      </c>
      <c r="AO699" s="27">
        <v>0.85944513759873309</v>
      </c>
      <c r="AP699" s="27">
        <v>0.67778595814847697</v>
      </c>
      <c r="AQ699" s="27">
        <v>0.91457005227381083</v>
      </c>
      <c r="AR699" s="27">
        <v>0.91974763228636713</v>
      </c>
      <c r="AS699" s="27">
        <v>0.90599996960198836</v>
      </c>
      <c r="AT699" s="27">
        <v>0.85944513759873309</v>
      </c>
      <c r="AU699" s="27">
        <v>0.67778595814847697</v>
      </c>
      <c r="AW699" s="1">
        <v>12.964428796021807</v>
      </c>
      <c r="AX699" s="1">
        <v>15.075799572911514</v>
      </c>
      <c r="AY699" s="2">
        <v>1657653.3202676619</v>
      </c>
      <c r="AZ699" s="1">
        <v>15.351317773835557</v>
      </c>
      <c r="BA699" s="1">
        <v>17.371638881032073</v>
      </c>
      <c r="BB699" s="2">
        <v>1198227.6499486694</v>
      </c>
      <c r="BC699" s="2">
        <f t="shared" si="77"/>
        <v>-459425.67031899258</v>
      </c>
      <c r="BD699" s="292">
        <f t="shared" si="78"/>
        <v>2.3868889778137508</v>
      </c>
      <c r="BF699" s="170">
        <f t="shared" si="73"/>
        <v>416655.28709582705</v>
      </c>
      <c r="BG699" s="2">
        <f t="shared" si="74"/>
        <v>1257983.1938650196</v>
      </c>
      <c r="BI699">
        <f t="shared" si="75"/>
        <v>0</v>
      </c>
      <c r="BJ699" s="95">
        <f t="shared" si="76"/>
        <v>1</v>
      </c>
      <c r="BP699" s="217">
        <f t="shared" si="79"/>
        <v>1257983.1938650196</v>
      </c>
    </row>
    <row r="700" spans="1:68">
      <c r="A700" s="11">
        <v>694</v>
      </c>
      <c r="C700" s="27">
        <v>0.9219552881059605</v>
      </c>
      <c r="D700" s="27">
        <v>7.8044711894039498E-2</v>
      </c>
      <c r="E700" s="27">
        <v>0</v>
      </c>
      <c r="F700" s="27">
        <v>0.85205178557687922</v>
      </c>
      <c r="G700" s="27">
        <v>0.14794821442312078</v>
      </c>
      <c r="H700" s="27">
        <v>0</v>
      </c>
      <c r="I700" s="27">
        <v>0.74463451324465724</v>
      </c>
      <c r="J700" s="27">
        <v>0.25536548675534276</v>
      </c>
      <c r="K700" s="27">
        <v>0</v>
      </c>
      <c r="L700" s="27">
        <v>8.5589213845739254E-2</v>
      </c>
      <c r="M700" s="27">
        <v>0.49442488070729251</v>
      </c>
      <c r="N700" s="27">
        <v>0.41998590544696823</v>
      </c>
      <c r="O700" s="27">
        <v>-10.817824505321148</v>
      </c>
      <c r="P700" s="27">
        <v>3.2150606979963983E-2</v>
      </c>
      <c r="Q700" s="27">
        <v>7.7324553621885322E-5</v>
      </c>
      <c r="R700" s="27">
        <v>1.0501859637377926</v>
      </c>
      <c r="S700" s="154"/>
      <c r="T700">
        <v>1.0660038248702846</v>
      </c>
      <c r="U700">
        <v>2.2307824989126659</v>
      </c>
      <c r="V700">
        <v>2.9165720801157007</v>
      </c>
      <c r="W700">
        <v>1</v>
      </c>
      <c r="Y700" s="2">
        <v>1961.4097572461731</v>
      </c>
      <c r="Z700" s="2">
        <v>4057.3390582818492</v>
      </c>
      <c r="AA700" s="2">
        <v>928.50023336555989</v>
      </c>
      <c r="AB700" s="2">
        <v>760.47809139689093</v>
      </c>
      <c r="AC700" s="2">
        <v>593.12143768377496</v>
      </c>
      <c r="AD700" s="2">
        <v>874.18311653907801</v>
      </c>
      <c r="AE700" s="2">
        <v>512.19662358771734</v>
      </c>
      <c r="AF700" s="2">
        <v>1003.3140050459373</v>
      </c>
      <c r="AG700" s="2">
        <v>113.16308659547308</v>
      </c>
      <c r="AH700" s="2">
        <v>537.22434785287169</v>
      </c>
      <c r="AI700" s="2">
        <v>718661.11130054051</v>
      </c>
      <c r="AJ700" s="2">
        <v>690450.64803349867</v>
      </c>
      <c r="AL700" s="27">
        <v>0.91959460953201966</v>
      </c>
      <c r="AM700" s="27">
        <v>0.91470710061339877</v>
      </c>
      <c r="AN700" s="27">
        <v>0.91834142670481966</v>
      </c>
      <c r="AO700" s="27">
        <v>0.91163720067683407</v>
      </c>
      <c r="AP700" s="27">
        <v>0.7464028540483163</v>
      </c>
      <c r="AQ700" s="27">
        <v>0.91959460953201966</v>
      </c>
      <c r="AR700" s="27">
        <v>0.91470710061339877</v>
      </c>
      <c r="AS700" s="27">
        <v>0.91834142670481966</v>
      </c>
      <c r="AT700" s="27">
        <v>0.91163720067683407</v>
      </c>
      <c r="AU700" s="27">
        <v>0.7464028540483163</v>
      </c>
      <c r="AW700" s="1">
        <v>13.330634535818612</v>
      </c>
      <c r="AX700" s="1">
        <v>15.107232548576615</v>
      </c>
      <c r="AY700" s="2">
        <v>2764417.6788049261</v>
      </c>
      <c r="AZ700" s="1">
        <v>15.329146724419365</v>
      </c>
      <c r="BA700" s="1">
        <v>17.110327915640152</v>
      </c>
      <c r="BB700" s="2">
        <v>1913589.0623388966</v>
      </c>
      <c r="BC700" s="2">
        <f t="shared" si="77"/>
        <v>-850828.61646602955</v>
      </c>
      <c r="BD700" s="292">
        <f t="shared" si="78"/>
        <v>1.9985121886007526</v>
      </c>
      <c r="BF700" s="170">
        <f t="shared" si="73"/>
        <v>-631516.15307394834</v>
      </c>
      <c r="BG700" s="2">
        <f t="shared" si="74"/>
        <v>539074.41356820194</v>
      </c>
      <c r="BI700">
        <f t="shared" si="75"/>
        <v>0</v>
      </c>
      <c r="BJ700" s="95">
        <f t="shared" si="76"/>
        <v>1</v>
      </c>
      <c r="BP700" s="217">
        <f t="shared" si="79"/>
        <v>539074.41356820194</v>
      </c>
    </row>
    <row r="701" spans="1:68">
      <c r="A701" s="11">
        <v>695</v>
      </c>
      <c r="C701" s="27">
        <v>0.92405393234027022</v>
      </c>
      <c r="D701" s="27">
        <v>7.5946067659729791E-2</v>
      </c>
      <c r="E701" s="27">
        <v>0</v>
      </c>
      <c r="F701" s="27">
        <v>0.85987636360088859</v>
      </c>
      <c r="G701" s="27">
        <v>0.14012363639911146</v>
      </c>
      <c r="H701" s="27">
        <v>0</v>
      </c>
      <c r="I701" s="27">
        <v>0.74509399585122993</v>
      </c>
      <c r="J701" s="27">
        <v>0.25490600414877007</v>
      </c>
      <c r="K701" s="27">
        <v>0</v>
      </c>
      <c r="L701" s="27">
        <v>0.13918492708529573</v>
      </c>
      <c r="M701" s="27">
        <v>0.47034993404648739</v>
      </c>
      <c r="N701" s="27">
        <v>0.39046513886821688</v>
      </c>
      <c r="O701" s="27">
        <v>-11.58388282652022</v>
      </c>
      <c r="P701" s="27">
        <v>3.6833727346985701E-2</v>
      </c>
      <c r="Q701" s="27">
        <v>4.3756679700477704E-5</v>
      </c>
      <c r="R701" s="27">
        <v>1.1153464734990508</v>
      </c>
      <c r="S701" s="154"/>
      <c r="T701">
        <v>1.0485775550369245</v>
      </c>
      <c r="U701">
        <v>2.2797084263466614</v>
      </c>
      <c r="V701">
        <v>2.845987390968344</v>
      </c>
      <c r="W701">
        <v>1</v>
      </c>
      <c r="Y701" s="2">
        <v>884.60594770504485</v>
      </c>
      <c r="Z701" s="2">
        <v>334.03081415032568</v>
      </c>
      <c r="AA701" s="2">
        <v>120.9054136066264</v>
      </c>
      <c r="AB701" s="2">
        <v>2379.15362485269</v>
      </c>
      <c r="AC701" s="2">
        <v>1961.3504284233802</v>
      </c>
      <c r="AD701" s="2">
        <v>2656.9128312188536</v>
      </c>
      <c r="AE701" s="2">
        <v>506.92091190516101</v>
      </c>
      <c r="AF701" s="2">
        <v>857.28016580571943</v>
      </c>
      <c r="AG701" s="2">
        <v>97.998545179989904</v>
      </c>
      <c r="AH701" s="2">
        <v>495.20417182525767</v>
      </c>
      <c r="AI701" s="2">
        <v>485364.42126438906</v>
      </c>
      <c r="AJ701" s="2">
        <v>449721.0842727616</v>
      </c>
      <c r="AL701" s="27">
        <v>0.91443344451963482</v>
      </c>
      <c r="AM701" s="27">
        <v>0.90898100504438684</v>
      </c>
      <c r="AN701" s="27">
        <v>0.9102715117071507</v>
      </c>
      <c r="AO701" s="27">
        <v>0.88610777635097393</v>
      </c>
      <c r="AP701" s="27">
        <v>0.7381476656235606</v>
      </c>
      <c r="AQ701" s="27">
        <v>0.91443344451963482</v>
      </c>
      <c r="AR701" s="27">
        <v>0.90898100504438684</v>
      </c>
      <c r="AS701" s="27">
        <v>0.9102715117071507</v>
      </c>
      <c r="AT701" s="27">
        <v>0.88610777635097393</v>
      </c>
      <c r="AU701" s="27">
        <v>0.7381476656235606</v>
      </c>
      <c r="AW701" s="1">
        <v>13.399904715793021</v>
      </c>
      <c r="AX701" s="1">
        <v>15.27203762955255</v>
      </c>
      <c r="AY701" s="2">
        <v>1712892.522866701</v>
      </c>
      <c r="AZ701" s="1">
        <v>15.351547387361164</v>
      </c>
      <c r="BA701" s="1">
        <v>17.237320709064146</v>
      </c>
      <c r="BB701" s="2">
        <v>1247925.7457929843</v>
      </c>
      <c r="BC701" s="2">
        <f t="shared" si="77"/>
        <v>-464966.77707371674</v>
      </c>
      <c r="BD701" s="292">
        <f t="shared" si="78"/>
        <v>1.951642671568143</v>
      </c>
      <c r="BF701" s="170">
        <f t="shared" si="73"/>
        <v>431092.23166018235</v>
      </c>
      <c r="BG701" s="2">
        <f t="shared" si="74"/>
        <v>1208321.8361848018</v>
      </c>
      <c r="BI701">
        <f t="shared" si="75"/>
        <v>0</v>
      </c>
      <c r="BJ701" s="95">
        <f t="shared" si="76"/>
        <v>1</v>
      </c>
      <c r="BP701" s="217">
        <f t="shared" si="79"/>
        <v>1208321.8361848018</v>
      </c>
    </row>
    <row r="702" spans="1:68">
      <c r="A702" s="11">
        <v>696</v>
      </c>
      <c r="C702" s="27">
        <v>0.91875514705201067</v>
      </c>
      <c r="D702" s="27">
        <v>8.1244852947989332E-2</v>
      </c>
      <c r="E702" s="27">
        <v>0</v>
      </c>
      <c r="F702" s="27">
        <v>0.85616243680748583</v>
      </c>
      <c r="G702" s="27">
        <v>0.14383756319251417</v>
      </c>
      <c r="H702" s="27">
        <v>0</v>
      </c>
      <c r="I702" s="27">
        <v>0.75125485368874556</v>
      </c>
      <c r="J702" s="27">
        <v>0.24874514631125444</v>
      </c>
      <c r="K702" s="27">
        <v>0</v>
      </c>
      <c r="L702" s="27">
        <v>0.17049630931212734</v>
      </c>
      <c r="M702" s="27">
        <v>0.50539500881888055</v>
      </c>
      <c r="N702" s="27">
        <v>0.32410868186899211</v>
      </c>
      <c r="O702" s="27">
        <v>-11.48645581892484</v>
      </c>
      <c r="P702" s="27">
        <v>3.9679279460557638E-2</v>
      </c>
      <c r="Q702" s="27">
        <v>5.4357602075641284E-5</v>
      </c>
      <c r="R702" s="27">
        <v>1.0803343350502803</v>
      </c>
      <c r="S702" s="154"/>
      <c r="T702">
        <v>0.9009384548494318</v>
      </c>
      <c r="U702">
        <v>2.2195443207503831</v>
      </c>
      <c r="V702">
        <v>2.9816732498516711</v>
      </c>
      <c r="W702">
        <v>1</v>
      </c>
      <c r="Y702" s="2">
        <v>1223.8834987733308</v>
      </c>
      <c r="Z702" s="2">
        <v>15696.38435731523</v>
      </c>
      <c r="AA702" s="2">
        <v>336.0061794873252</v>
      </c>
      <c r="AB702" s="2">
        <v>596.79079302690059</v>
      </c>
      <c r="AC702" s="2">
        <v>1234.0565221702636</v>
      </c>
      <c r="AD702" s="2">
        <v>3043.5610763839491</v>
      </c>
      <c r="AE702" s="2">
        <v>599.46848363943923</v>
      </c>
      <c r="AF702" s="2">
        <v>1006.5371462029344</v>
      </c>
      <c r="AG702" s="2">
        <v>145.1811079171527</v>
      </c>
      <c r="AH702" s="2">
        <v>471.74089159169762</v>
      </c>
      <c r="AI702" s="2">
        <v>474445.53241963655</v>
      </c>
      <c r="AJ702" s="2">
        <v>426934.69642417034</v>
      </c>
      <c r="AL702" s="27">
        <v>0.91248519305938858</v>
      </c>
      <c r="AM702" s="27">
        <v>0.91595368133760713</v>
      </c>
      <c r="AN702" s="27">
        <v>0.9065325304784132</v>
      </c>
      <c r="AO702" s="27">
        <v>0.89140297650656986</v>
      </c>
      <c r="AP702" s="27">
        <v>0.68493455175307716</v>
      </c>
      <c r="AQ702" s="27">
        <v>0.91248519305938858</v>
      </c>
      <c r="AR702" s="27">
        <v>0.91595368133760713</v>
      </c>
      <c r="AS702" s="27">
        <v>0.9065325304784132</v>
      </c>
      <c r="AT702" s="27">
        <v>0.89140297650656986</v>
      </c>
      <c r="AU702" s="27">
        <v>0.68493455175307716</v>
      </c>
      <c r="AW702" s="1">
        <v>13.822978204536451</v>
      </c>
      <c r="AX702" s="1">
        <v>16.004202440728644</v>
      </c>
      <c r="AY702" s="2">
        <v>2035230.1049874192</v>
      </c>
      <c r="AZ702" s="1">
        <v>15.339772940132075</v>
      </c>
      <c r="BA702" s="1">
        <v>17.449925808917289</v>
      </c>
      <c r="BB702" s="2">
        <v>1402432.7135644688</v>
      </c>
      <c r="BC702" s="2">
        <f t="shared" si="77"/>
        <v>-632797.39142295043</v>
      </c>
      <c r="BD702" s="292">
        <f t="shared" si="78"/>
        <v>1.5167947355956244</v>
      </c>
      <c r="BF702" s="170">
        <f t="shared" si="73"/>
        <v>176446.40773841273</v>
      </c>
      <c r="BG702" s="2">
        <f t="shared" si="74"/>
        <v>1051930.9568566631</v>
      </c>
      <c r="BI702">
        <f t="shared" si="75"/>
        <v>0</v>
      </c>
      <c r="BJ702" s="95">
        <f t="shared" si="76"/>
        <v>1</v>
      </c>
      <c r="BP702" s="217">
        <f t="shared" si="79"/>
        <v>1051930.9568566631</v>
      </c>
    </row>
    <row r="703" spans="1:68">
      <c r="A703" s="11">
        <v>697</v>
      </c>
      <c r="C703" s="27">
        <v>0.92415077532846868</v>
      </c>
      <c r="D703" s="27">
        <v>7.5849224671531337E-2</v>
      </c>
      <c r="E703" s="27">
        <v>0</v>
      </c>
      <c r="F703" s="27">
        <v>0.86407719417252193</v>
      </c>
      <c r="G703" s="27">
        <v>0.13592280582747804</v>
      </c>
      <c r="H703" s="27">
        <v>0</v>
      </c>
      <c r="I703" s="27">
        <v>0.74644838198071783</v>
      </c>
      <c r="J703" s="27">
        <v>0.25355161801928217</v>
      </c>
      <c r="K703" s="27">
        <v>0</v>
      </c>
      <c r="L703" s="27">
        <v>0.12938958647461563</v>
      </c>
      <c r="M703" s="27">
        <v>0.49143895910843921</v>
      </c>
      <c r="N703" s="27">
        <v>0.37917145441694522</v>
      </c>
      <c r="O703" s="27">
        <v>-11.056729171367682</v>
      </c>
      <c r="P703" s="27">
        <v>3.4855064382293535E-2</v>
      </c>
      <c r="Q703" s="27">
        <v>6.8217019783148238E-5</v>
      </c>
      <c r="R703" s="27">
        <v>1.0603678503355527</v>
      </c>
      <c r="S703" s="154"/>
      <c r="T703">
        <v>0.87765483261127775</v>
      </c>
      <c r="U703">
        <v>2.2983312521513812</v>
      </c>
      <c r="V703">
        <v>3.0612485103896336</v>
      </c>
      <c r="W703">
        <v>1</v>
      </c>
      <c r="Y703" s="2">
        <v>497.60053307506524</v>
      </c>
      <c r="Z703" s="2">
        <v>646.14890182657473</v>
      </c>
      <c r="AA703" s="2">
        <v>2108.9116581779635</v>
      </c>
      <c r="AB703" s="2">
        <v>9738.4719889209027</v>
      </c>
      <c r="AC703" s="2">
        <v>107.04661135516839</v>
      </c>
      <c r="AD703" s="2">
        <v>722.42771369705736</v>
      </c>
      <c r="AE703" s="2">
        <v>510.4364453466743</v>
      </c>
      <c r="AF703" s="2">
        <v>1189.8582135109898</v>
      </c>
      <c r="AG703" s="2">
        <v>147.46783556132203</v>
      </c>
      <c r="AH703" s="2">
        <v>427.26485554382231</v>
      </c>
      <c r="AI703" s="2">
        <v>557079.8037409666</v>
      </c>
      <c r="AJ703" s="2">
        <v>528787.39104233088</v>
      </c>
      <c r="AL703" s="27">
        <v>0.91556318323505115</v>
      </c>
      <c r="AM703" s="27">
        <v>0.91567989571958086</v>
      </c>
      <c r="AN703" s="27">
        <v>0.90355797525341319</v>
      </c>
      <c r="AO703" s="27">
        <v>0.878909705185005</v>
      </c>
      <c r="AP703" s="27">
        <v>0.58135841498859131</v>
      </c>
      <c r="AQ703" s="27">
        <v>0.91556318323505115</v>
      </c>
      <c r="AR703" s="27">
        <v>0.91567989571958086</v>
      </c>
      <c r="AS703" s="27">
        <v>0.90355797525341319</v>
      </c>
      <c r="AT703" s="27">
        <v>0.878909705185005</v>
      </c>
      <c r="AU703" s="27">
        <v>0.58135841498859131</v>
      </c>
      <c r="AW703" s="1">
        <v>13.602854987514299</v>
      </c>
      <c r="AX703" s="1">
        <v>15.969277487516031</v>
      </c>
      <c r="AY703" s="2">
        <v>1940957.7492534949</v>
      </c>
      <c r="AZ703" s="1">
        <v>15.178305714405726</v>
      </c>
      <c r="BA703" s="1">
        <v>17.425570980257643</v>
      </c>
      <c r="BB703" s="2">
        <v>1654959.534355236</v>
      </c>
      <c r="BC703" s="2">
        <f t="shared" si="77"/>
        <v>-285998.21489825891</v>
      </c>
      <c r="BD703" s="292">
        <f t="shared" si="78"/>
        <v>1.5754507268914271</v>
      </c>
      <c r="BF703" s="170">
        <f t="shared" si="73"/>
        <v>235499.04874879285</v>
      </c>
      <c r="BG703" s="2">
        <f t="shared" si="74"/>
        <v>773569.3799496803</v>
      </c>
      <c r="BI703">
        <f t="shared" si="75"/>
        <v>0</v>
      </c>
      <c r="BJ703" s="95">
        <f t="shared" si="76"/>
        <v>1</v>
      </c>
      <c r="BP703" s="217">
        <f t="shared" si="79"/>
        <v>773569.3799496803</v>
      </c>
    </row>
    <row r="704" spans="1:68">
      <c r="A704" s="11">
        <v>698</v>
      </c>
      <c r="C704" s="27">
        <v>0.92322214408146497</v>
      </c>
      <c r="D704" s="27">
        <v>7.677785591853499E-2</v>
      </c>
      <c r="E704" s="27">
        <v>0</v>
      </c>
      <c r="F704" s="27">
        <v>0.85857002332724131</v>
      </c>
      <c r="G704" s="27">
        <v>0.14142997667275867</v>
      </c>
      <c r="H704" s="27">
        <v>0</v>
      </c>
      <c r="I704" s="27">
        <v>0.75001503651358326</v>
      </c>
      <c r="J704" s="27">
        <v>0.24998496348641674</v>
      </c>
      <c r="K704" s="27">
        <v>0</v>
      </c>
      <c r="L704" s="27">
        <v>7.3399274557554128E-2</v>
      </c>
      <c r="M704" s="27">
        <v>0.53606309296022814</v>
      </c>
      <c r="N704" s="27">
        <v>0.39053763248221773</v>
      </c>
      <c r="O704" s="27">
        <v>-11.430454444600963</v>
      </c>
      <c r="P704" s="27">
        <v>3.4231893096305512E-2</v>
      </c>
      <c r="Q704" s="27">
        <v>4.573187888940443E-5</v>
      </c>
      <c r="R704" s="27">
        <v>1.1166445678618679</v>
      </c>
      <c r="S704" s="154"/>
      <c r="T704">
        <v>1.0703944782282786</v>
      </c>
      <c r="U704">
        <v>2.2058224668088515</v>
      </c>
      <c r="V704">
        <v>2.7715073524905947</v>
      </c>
      <c r="W704">
        <v>1</v>
      </c>
      <c r="Y704" s="2">
        <v>89.716200866208339</v>
      </c>
      <c r="Z704" s="2">
        <v>1770.8413391067625</v>
      </c>
      <c r="AA704" s="2">
        <v>4672.1093700073789</v>
      </c>
      <c r="AB704" s="2">
        <v>15425.09661384233</v>
      </c>
      <c r="AC704" s="2">
        <v>1415.2140103638906</v>
      </c>
      <c r="AD704" s="2">
        <v>1096.0790074096503</v>
      </c>
      <c r="AE704" s="2">
        <v>644.7052755824061</v>
      </c>
      <c r="AF704" s="2">
        <v>912.86355111676596</v>
      </c>
      <c r="AG704" s="2">
        <v>106.78690577271217</v>
      </c>
      <c r="AH704" s="2">
        <v>465.99271683595651</v>
      </c>
      <c r="AI704" s="2">
        <v>841484.03787655116</v>
      </c>
      <c r="AJ704" s="2">
        <v>798157.40015059127</v>
      </c>
      <c r="AL704" s="27">
        <v>0.92508891664879833</v>
      </c>
      <c r="AM704" s="27">
        <v>0.91612412123136688</v>
      </c>
      <c r="AN704" s="27">
        <v>0.92032833356118204</v>
      </c>
      <c r="AO704" s="27">
        <v>0.88483874210584879</v>
      </c>
      <c r="AP704" s="27">
        <v>0.65831114266904933</v>
      </c>
      <c r="AQ704" s="27">
        <v>0.92508891664879833</v>
      </c>
      <c r="AR704" s="27">
        <v>0.91612412123136688</v>
      </c>
      <c r="AS704" s="27">
        <v>0.92032833356118204</v>
      </c>
      <c r="AT704" s="27">
        <v>0.88483874210584879</v>
      </c>
      <c r="AU704" s="27">
        <v>0.65831114266904933</v>
      </c>
      <c r="AW704" s="1">
        <v>13.269776190887283</v>
      </c>
      <c r="AX704" s="1">
        <v>15.308429996032299</v>
      </c>
      <c r="AY704" s="2">
        <v>3135882.3857323672</v>
      </c>
      <c r="AZ704" s="1">
        <v>15.335738986115256</v>
      </c>
      <c r="BA704" s="1">
        <v>17.275594187855567</v>
      </c>
      <c r="BB704" s="2">
        <v>2486699.1976830577</v>
      </c>
      <c r="BC704" s="2">
        <f t="shared" si="77"/>
        <v>-649183.18804930942</v>
      </c>
      <c r="BD704" s="292">
        <f t="shared" si="78"/>
        <v>2.0659627952279731</v>
      </c>
      <c r="BF704" s="170">
        <f t="shared" si="73"/>
        <v>-1012718.1951904017</v>
      </c>
      <c r="BG704" s="2">
        <f t="shared" si="74"/>
        <v>-32980.959904616699</v>
      </c>
      <c r="BI704">
        <f t="shared" si="75"/>
        <v>0</v>
      </c>
      <c r="BJ704" s="95">
        <f t="shared" si="76"/>
        <v>1</v>
      </c>
      <c r="BP704" s="217">
        <f t="shared" si="79"/>
        <v>-32980.959904616699</v>
      </c>
    </row>
    <row r="705" spans="1:68">
      <c r="A705" s="11">
        <v>699</v>
      </c>
      <c r="C705" s="27">
        <v>0.92306585621664439</v>
      </c>
      <c r="D705" s="27">
        <v>7.6934143783355613E-2</v>
      </c>
      <c r="E705" s="27">
        <v>0</v>
      </c>
      <c r="F705" s="27">
        <v>0.8540141353135724</v>
      </c>
      <c r="G705" s="27">
        <v>0.1459858646864276</v>
      </c>
      <c r="H705" s="27">
        <v>0</v>
      </c>
      <c r="I705" s="27">
        <v>0.74298063018254668</v>
      </c>
      <c r="J705" s="27">
        <v>0.25701936981745332</v>
      </c>
      <c r="K705" s="27">
        <v>0</v>
      </c>
      <c r="L705" s="27">
        <v>7.4141099649511322E-2</v>
      </c>
      <c r="M705" s="27">
        <v>0.52137088811589827</v>
      </c>
      <c r="N705" s="27">
        <v>0.40448801223459041</v>
      </c>
      <c r="O705" s="27">
        <v>-11.083353463068947</v>
      </c>
      <c r="P705" s="27">
        <v>3.3775482100773191E-2</v>
      </c>
      <c r="Q705" s="27">
        <v>6.3480155365559822E-5</v>
      </c>
      <c r="R705" s="27">
        <v>1.0723631177074762</v>
      </c>
      <c r="S705" s="154"/>
      <c r="T705">
        <v>1.0179370625264552</v>
      </c>
      <c r="U705">
        <v>2.2701047119721522</v>
      </c>
      <c r="V705">
        <v>3.0700474977574408</v>
      </c>
      <c r="W705">
        <v>1</v>
      </c>
      <c r="Y705" s="2">
        <v>1834.3249241682106</v>
      </c>
      <c r="Z705" s="2">
        <v>3624.8290963388145</v>
      </c>
      <c r="AA705" s="2">
        <v>1774.344609980029</v>
      </c>
      <c r="AB705" s="2">
        <v>172.6312145355148</v>
      </c>
      <c r="AC705" s="2">
        <v>2092.4427942131119</v>
      </c>
      <c r="AD705" s="2">
        <v>1048.6341924853812</v>
      </c>
      <c r="AE705" s="2">
        <v>542.5306988780228</v>
      </c>
      <c r="AF705" s="2">
        <v>906.36877131988456</v>
      </c>
      <c r="AG705" s="2">
        <v>72.49791655401259</v>
      </c>
      <c r="AH705" s="2">
        <v>302.69621415460921</v>
      </c>
      <c r="AI705" s="2">
        <v>484144.96556962095</v>
      </c>
      <c r="AJ705" s="2">
        <v>451610.39775730425</v>
      </c>
      <c r="AL705" s="27">
        <v>0.9197204890236057</v>
      </c>
      <c r="AM705" s="27">
        <v>0.91421841774809931</v>
      </c>
      <c r="AN705" s="27">
        <v>0.91061460105378844</v>
      </c>
      <c r="AO705" s="27">
        <v>0.85567288205385905</v>
      </c>
      <c r="AP705" s="27">
        <v>0.68350981086362328</v>
      </c>
      <c r="AQ705" s="27">
        <v>0.9197204890236057</v>
      </c>
      <c r="AR705" s="27">
        <v>0.91421841774809931</v>
      </c>
      <c r="AS705" s="27">
        <v>0.91061460105378844</v>
      </c>
      <c r="AT705" s="27">
        <v>0.85567288205385905</v>
      </c>
      <c r="AU705" s="27">
        <v>0.68350981086362328</v>
      </c>
      <c r="AW705" s="1">
        <v>13.311505216735767</v>
      </c>
      <c r="AX705" s="1">
        <v>15.354601334612973</v>
      </c>
      <c r="AY705" s="2">
        <v>1875298.1739105347</v>
      </c>
      <c r="AZ705" s="1">
        <v>15.241908635178243</v>
      </c>
      <c r="BA705" s="1">
        <v>17.224199877152866</v>
      </c>
      <c r="BB705" s="2">
        <v>1305952.7947146161</v>
      </c>
      <c r="BC705" s="2">
        <f t="shared" si="77"/>
        <v>-569345.37919591856</v>
      </c>
      <c r="BD705" s="292">
        <f t="shared" si="78"/>
        <v>1.9304034184424754</v>
      </c>
      <c r="BF705" s="170">
        <f t="shared" si="73"/>
        <v>254542.66076718806</v>
      </c>
      <c r="BG705" s="2">
        <f t="shared" si="74"/>
        <v>1132752.5869139028</v>
      </c>
      <c r="BI705">
        <f t="shared" si="75"/>
        <v>0</v>
      </c>
      <c r="BJ705" s="95">
        <f t="shared" si="76"/>
        <v>1</v>
      </c>
      <c r="BP705" s="217">
        <f t="shared" si="79"/>
        <v>1132752.5869139028</v>
      </c>
    </row>
    <row r="706" spans="1:68">
      <c r="A706" s="11">
        <v>700</v>
      </c>
      <c r="C706" s="27">
        <v>0.92428291439341403</v>
      </c>
      <c r="D706" s="27">
        <v>7.5717085606586007E-2</v>
      </c>
      <c r="E706" s="27">
        <v>0</v>
      </c>
      <c r="F706" s="27">
        <v>0.85029731417299714</v>
      </c>
      <c r="G706" s="27">
        <v>0.14970268582700286</v>
      </c>
      <c r="H706" s="27">
        <v>0</v>
      </c>
      <c r="I706" s="27">
        <v>0.75443011696130413</v>
      </c>
      <c r="J706" s="27">
        <v>0.2455698830386959</v>
      </c>
      <c r="K706" s="27">
        <v>0</v>
      </c>
      <c r="L706" s="27">
        <v>8.5103610241169414E-2</v>
      </c>
      <c r="M706" s="27">
        <v>0.4688018480465907</v>
      </c>
      <c r="N706" s="27">
        <v>0.44609454171223983</v>
      </c>
      <c r="O706" s="27">
        <v>-11.006483295474444</v>
      </c>
      <c r="P706" s="27">
        <v>3.3523086617862609E-2</v>
      </c>
      <c r="Q706" s="27">
        <v>6.7829479439446386E-5</v>
      </c>
      <c r="R706" s="27">
        <v>1.0590913472856638</v>
      </c>
      <c r="S706" s="154"/>
      <c r="T706">
        <v>1.1165534876581416</v>
      </c>
      <c r="U706">
        <v>2.1838044057918493</v>
      </c>
      <c r="V706">
        <v>3.1474027441818144</v>
      </c>
      <c r="W706">
        <v>1</v>
      </c>
      <c r="Y706" s="2">
        <v>1955.6438206683506</v>
      </c>
      <c r="Z706" s="2">
        <v>3176.6931798484052</v>
      </c>
      <c r="AA706" s="2">
        <v>1892.8314816397137</v>
      </c>
      <c r="AB706" s="2">
        <v>6669.0654213537646</v>
      </c>
      <c r="AC706" s="2">
        <v>224.80870841521374</v>
      </c>
      <c r="AD706" s="2">
        <v>687.1233769177926</v>
      </c>
      <c r="AE706" s="2">
        <v>633.56500176676377</v>
      </c>
      <c r="AF706" s="2">
        <v>905.47705357051018</v>
      </c>
      <c r="AG706" s="2">
        <v>101.20581207489829</v>
      </c>
      <c r="AH706" s="2">
        <v>557.68135811794468</v>
      </c>
      <c r="AI706" s="2">
        <v>504469.67598755105</v>
      </c>
      <c r="AJ706" s="2">
        <v>466025.70969112992</v>
      </c>
      <c r="AL706" s="27">
        <v>0.91126097208162027</v>
      </c>
      <c r="AM706" s="27">
        <v>0.91819655777610387</v>
      </c>
      <c r="AN706" s="27">
        <v>0.90480543649550305</v>
      </c>
      <c r="AO706" s="27">
        <v>0.88679539431072718</v>
      </c>
      <c r="AP706" s="27">
        <v>0.73190225604229187</v>
      </c>
      <c r="AQ706" s="27">
        <v>0.91126097208162027</v>
      </c>
      <c r="AR706" s="27">
        <v>0.91819655777610387</v>
      </c>
      <c r="AS706" s="27">
        <v>0.90480543649550305</v>
      </c>
      <c r="AT706" s="27">
        <v>0.88679539431072718</v>
      </c>
      <c r="AU706" s="27">
        <v>0.73190225604229187</v>
      </c>
      <c r="AW706" s="1">
        <v>13.052508156982482</v>
      </c>
      <c r="AX706" s="1">
        <v>14.934534488863067</v>
      </c>
      <c r="AY706" s="2">
        <v>1834948.2933801885</v>
      </c>
      <c r="AZ706" s="1">
        <v>15.222585179161154</v>
      </c>
      <c r="BA706" s="1">
        <v>17.111720575550191</v>
      </c>
      <c r="BB706" s="2">
        <v>1354242.6638166141</v>
      </c>
      <c r="BC706" s="2">
        <f t="shared" si="77"/>
        <v>-480705.62956357445</v>
      </c>
      <c r="BD706" s="292">
        <f t="shared" si="78"/>
        <v>2.1700770221786723</v>
      </c>
      <c r="BF706" s="170">
        <f t="shared" si="73"/>
        <v>253453.01173700858</v>
      </c>
      <c r="BG706" s="2">
        <f t="shared" si="74"/>
        <v>1081370.9648491708</v>
      </c>
      <c r="BI706">
        <f t="shared" si="75"/>
        <v>0</v>
      </c>
      <c r="BJ706" s="95">
        <f t="shared" si="76"/>
        <v>1</v>
      </c>
      <c r="BP706" s="217">
        <f t="shared" si="79"/>
        <v>1081370.9648491708</v>
      </c>
    </row>
    <row r="707" spans="1:68">
      <c r="A707" s="11">
        <v>701</v>
      </c>
      <c r="C707" s="27">
        <v>0.92295737695039759</v>
      </c>
      <c r="D707" s="27">
        <v>7.704262304960241E-2</v>
      </c>
      <c r="E707" s="27">
        <v>0</v>
      </c>
      <c r="F707" s="27">
        <v>0.85973209247688409</v>
      </c>
      <c r="G707" s="27">
        <v>0.14026790752311585</v>
      </c>
      <c r="H707" s="27">
        <v>0</v>
      </c>
      <c r="I707" s="27">
        <v>0.74713734489147499</v>
      </c>
      <c r="J707" s="27">
        <v>0.25286265510852501</v>
      </c>
      <c r="K707" s="27">
        <v>0</v>
      </c>
      <c r="L707" s="27">
        <v>8.2920336136440009E-2</v>
      </c>
      <c r="M707" s="27">
        <v>0.51943791661415628</v>
      </c>
      <c r="N707" s="27">
        <v>0.39764174724940371</v>
      </c>
      <c r="O707" s="27">
        <v>-10.774156635487863</v>
      </c>
      <c r="P707" s="27">
        <v>3.5171174241821541E-2</v>
      </c>
      <c r="Q707" s="27">
        <v>9.170191300762848E-5</v>
      </c>
      <c r="R707" s="27">
        <v>1.0190453128762635</v>
      </c>
      <c r="S707" s="154"/>
      <c r="T707">
        <v>1.0080549760293129</v>
      </c>
      <c r="U707">
        <v>2.2531077030478266</v>
      </c>
      <c r="V707">
        <v>2.8751339376610585</v>
      </c>
      <c r="W707">
        <v>1</v>
      </c>
      <c r="Y707" s="2">
        <v>1191.1068905763107</v>
      </c>
      <c r="Z707" s="2">
        <v>7015.1445574778836</v>
      </c>
      <c r="AA707" s="2">
        <v>1928.3039525328836</v>
      </c>
      <c r="AB707" s="2">
        <v>6016.6595528651806</v>
      </c>
      <c r="AC707" s="2">
        <v>2127.0178578417276</v>
      </c>
      <c r="AD707" s="2">
        <v>1273.3785942806089</v>
      </c>
      <c r="AE707" s="2">
        <v>513.21349364483547</v>
      </c>
      <c r="AF707" s="2">
        <v>1120.7962236096394</v>
      </c>
      <c r="AG707" s="2">
        <v>214.10079709539113</v>
      </c>
      <c r="AH707" s="2">
        <v>485.88720409551223</v>
      </c>
      <c r="AI707" s="2">
        <v>453164.88580657652</v>
      </c>
      <c r="AJ707" s="2">
        <v>421142.81739364186</v>
      </c>
      <c r="AL707" s="27">
        <v>0.92108421404084406</v>
      </c>
      <c r="AM707" s="27">
        <v>0.91183762908511889</v>
      </c>
      <c r="AN707" s="27">
        <v>0.91598791257681156</v>
      </c>
      <c r="AO707" s="27">
        <v>0.90231521270419168</v>
      </c>
      <c r="AP707" s="27">
        <v>0.7124424484169114</v>
      </c>
      <c r="AQ707" s="27">
        <v>0.92108421404084406</v>
      </c>
      <c r="AR707" s="27">
        <v>0.91183762908511889</v>
      </c>
      <c r="AS707" s="27">
        <v>0.91598791257681156</v>
      </c>
      <c r="AT707" s="27">
        <v>0.90231521270419168</v>
      </c>
      <c r="AU707" s="27">
        <v>0.7124424484169114</v>
      </c>
      <c r="AW707" s="1">
        <v>13.697058390207159</v>
      </c>
      <c r="AX707" s="1">
        <v>15.660028011209358</v>
      </c>
      <c r="AY707" s="2">
        <v>1874067.10974097</v>
      </c>
      <c r="AZ707" s="1">
        <v>15.508243756710378</v>
      </c>
      <c r="BA707" s="1">
        <v>17.426035209676581</v>
      </c>
      <c r="BB707" s="2">
        <v>1385908.8481532328</v>
      </c>
      <c r="BC707" s="2">
        <f t="shared" si="77"/>
        <v>-488158.26158773713</v>
      </c>
      <c r="BD707" s="292">
        <f t="shared" si="78"/>
        <v>1.8111853665032189</v>
      </c>
      <c r="BF707" s="170">
        <f t="shared" si="73"/>
        <v>317462.23269217531</v>
      </c>
      <c r="BG707" s="2">
        <f t="shared" si="74"/>
        <v>1095410.1529204275</v>
      </c>
      <c r="BI707">
        <f t="shared" si="75"/>
        <v>0</v>
      </c>
      <c r="BJ707" s="95">
        <f t="shared" si="76"/>
        <v>1</v>
      </c>
      <c r="BP707" s="217">
        <f t="shared" si="79"/>
        <v>1095410.1529204275</v>
      </c>
    </row>
    <row r="708" spans="1:68">
      <c r="A708" s="11">
        <v>702</v>
      </c>
      <c r="C708" s="27">
        <v>0.9233998808859426</v>
      </c>
      <c r="D708" s="27">
        <v>7.6600119114057424E-2</v>
      </c>
      <c r="E708" s="27">
        <v>0</v>
      </c>
      <c r="F708" s="27">
        <v>0.85672074105995344</v>
      </c>
      <c r="G708" s="27">
        <v>0.14327925894004656</v>
      </c>
      <c r="H708" s="27">
        <v>0</v>
      </c>
      <c r="I708" s="27">
        <v>0.74211126495795776</v>
      </c>
      <c r="J708" s="27">
        <v>0.25788873504204224</v>
      </c>
      <c r="K708" s="27">
        <v>0</v>
      </c>
      <c r="L708" s="27">
        <v>0.11123422976085523</v>
      </c>
      <c r="M708" s="27">
        <v>0.51873728708770939</v>
      </c>
      <c r="N708" s="27">
        <v>0.37002848315143538</v>
      </c>
      <c r="O708" s="27">
        <v>-11.233993981044897</v>
      </c>
      <c r="P708" s="27">
        <v>3.3965000743192607E-2</v>
      </c>
      <c r="Q708" s="27">
        <v>5.5039252259620337E-5</v>
      </c>
      <c r="R708" s="27">
        <v>1.0900109601411871</v>
      </c>
      <c r="S708" s="154"/>
      <c r="T708">
        <v>0.97722615621501807</v>
      </c>
      <c r="U708">
        <v>2.2832239762032636</v>
      </c>
      <c r="V708">
        <v>2.9868431008216043</v>
      </c>
      <c r="W708">
        <v>1</v>
      </c>
      <c r="Y708" s="2">
        <v>397.07094456566364</v>
      </c>
      <c r="Z708" s="2">
        <v>4981.7197626655525</v>
      </c>
      <c r="AA708" s="2">
        <v>1291.0012083154411</v>
      </c>
      <c r="AB708" s="2">
        <v>1688.7135443708496</v>
      </c>
      <c r="AC708" s="2">
        <v>1757.8295299611489</v>
      </c>
      <c r="AD708" s="2">
        <v>257.13333070626771</v>
      </c>
      <c r="AE708" s="2">
        <v>587.58678817638474</v>
      </c>
      <c r="AF708" s="2">
        <v>1237.6892470255768</v>
      </c>
      <c r="AG708" s="2">
        <v>137.25097145352811</v>
      </c>
      <c r="AH708" s="2">
        <v>581.08720647174266</v>
      </c>
      <c r="AI708" s="2">
        <v>440687.94167000405</v>
      </c>
      <c r="AJ708" s="2">
        <v>397907.09798328747</v>
      </c>
      <c r="AL708" s="27">
        <v>0.91514572716987164</v>
      </c>
      <c r="AM708" s="27">
        <v>0.91781981726331596</v>
      </c>
      <c r="AN708" s="27">
        <v>0.91125335045535627</v>
      </c>
      <c r="AO708" s="27">
        <v>0.84436389933667744</v>
      </c>
      <c r="AP708" s="27">
        <v>0.71930916118351274</v>
      </c>
      <c r="AQ708" s="27">
        <v>0.91514572716987164</v>
      </c>
      <c r="AR708" s="27">
        <v>0.91781981726331596</v>
      </c>
      <c r="AS708" s="27">
        <v>0.91125335045535627</v>
      </c>
      <c r="AT708" s="27">
        <v>0.84436389933667744</v>
      </c>
      <c r="AU708" s="27">
        <v>0.71930916118351274</v>
      </c>
      <c r="AW708" s="1">
        <v>13.616326666062125</v>
      </c>
      <c r="AX708" s="1">
        <v>15.606289092645392</v>
      </c>
      <c r="AY708" s="2">
        <v>1658611.1569749378</v>
      </c>
      <c r="AZ708" s="1">
        <v>15.376397186935543</v>
      </c>
      <c r="BA708" s="1">
        <v>17.326096166762312</v>
      </c>
      <c r="BB708" s="2">
        <v>1188651.4740812657</v>
      </c>
      <c r="BC708" s="2">
        <f t="shared" si="77"/>
        <v>-469959.68289367203</v>
      </c>
      <c r="BD708" s="292">
        <f t="shared" si="78"/>
        <v>1.760070520873418</v>
      </c>
      <c r="BF708" s="170">
        <f t="shared" si="73"/>
        <v>520001.10959500214</v>
      </c>
      <c r="BG708" s="2">
        <f t="shared" si="74"/>
        <v>1271572.0758284214</v>
      </c>
      <c r="BI708">
        <f t="shared" si="75"/>
        <v>0</v>
      </c>
      <c r="BJ708" s="95">
        <f t="shared" si="76"/>
        <v>1</v>
      </c>
      <c r="BP708" s="217">
        <f t="shared" si="79"/>
        <v>1271572.0758284214</v>
      </c>
    </row>
    <row r="709" spans="1:68">
      <c r="A709" s="11">
        <v>703</v>
      </c>
      <c r="C709" s="27">
        <v>0.92033130851220335</v>
      </c>
      <c r="D709" s="27">
        <v>7.966869148779665E-2</v>
      </c>
      <c r="E709" s="27">
        <v>0</v>
      </c>
      <c r="F709" s="27">
        <v>0.85312881777194516</v>
      </c>
      <c r="G709" s="27">
        <v>0.14687118222805484</v>
      </c>
      <c r="H709" s="27">
        <v>0</v>
      </c>
      <c r="I709" s="27">
        <v>0.75498547811072192</v>
      </c>
      <c r="J709" s="27">
        <v>0.24501452188927805</v>
      </c>
      <c r="K709" s="27">
        <v>0</v>
      </c>
      <c r="L709" s="27">
        <v>0.25286133000107963</v>
      </c>
      <c r="M709" s="27">
        <v>0.4375807913664807</v>
      </c>
      <c r="N709" s="27">
        <v>0.30955787863243972</v>
      </c>
      <c r="O709" s="27">
        <v>-11.160467315344464</v>
      </c>
      <c r="P709" s="27">
        <v>3.1806730620454575E-2</v>
      </c>
      <c r="Q709" s="27">
        <v>5.410496351459177E-5</v>
      </c>
      <c r="R709" s="27">
        <v>1.0981462527219852</v>
      </c>
      <c r="S709" s="154"/>
      <c r="T709">
        <v>0.99609504023037532</v>
      </c>
      <c r="U709">
        <v>2.1903407982513476</v>
      </c>
      <c r="V709">
        <v>2.7163949536303331</v>
      </c>
      <c r="W709">
        <v>1</v>
      </c>
      <c r="Y709" s="2">
        <v>918.84723401331632</v>
      </c>
      <c r="Z709" s="2">
        <v>1053.7205018369275</v>
      </c>
      <c r="AA709" s="2">
        <v>201.11291896636888</v>
      </c>
      <c r="AB709" s="2">
        <v>1393.8846449510872</v>
      </c>
      <c r="AC709" s="2">
        <v>632.24646097169102</v>
      </c>
      <c r="AD709" s="2">
        <v>1263.5776220658265</v>
      </c>
      <c r="AE709" s="2">
        <v>455.59535093098026</v>
      </c>
      <c r="AF709" s="2">
        <v>1193.353656880395</v>
      </c>
      <c r="AG709" s="2">
        <v>145.23681974269851</v>
      </c>
      <c r="AH709" s="2">
        <v>327.22347770200838</v>
      </c>
      <c r="AI709" s="2">
        <v>386827.92405304179</v>
      </c>
      <c r="AJ709" s="2">
        <v>354810.71782405488</v>
      </c>
      <c r="AL709" s="27">
        <v>0.91820569863206658</v>
      </c>
      <c r="AM709" s="27">
        <v>0.91495508193624686</v>
      </c>
      <c r="AN709" s="27">
        <v>0.9101559948275344</v>
      </c>
      <c r="AO709" s="27">
        <v>0.8614067068319099</v>
      </c>
      <c r="AP709" s="27">
        <v>0.6971176136711088</v>
      </c>
      <c r="AQ709" s="27">
        <v>0.91820569863206658</v>
      </c>
      <c r="AR709" s="27">
        <v>0.91495508193624686</v>
      </c>
      <c r="AS709" s="27">
        <v>0.9101559948275344</v>
      </c>
      <c r="AT709" s="27">
        <v>0.8614067068319099</v>
      </c>
      <c r="AU709" s="27">
        <v>0.6971176136711088</v>
      </c>
      <c r="AW709" s="1">
        <v>13.524256085958251</v>
      </c>
      <c r="AX709" s="1">
        <v>15.543145675772562</v>
      </c>
      <c r="AY709" s="2">
        <v>1398343.5126064867</v>
      </c>
      <c r="AZ709" s="1">
        <v>15.303150714436464</v>
      </c>
      <c r="BA709" s="1">
        <v>17.275030484728365</v>
      </c>
      <c r="BB709" s="2">
        <v>1039901.766008143</v>
      </c>
      <c r="BC709" s="2">
        <f t="shared" si="77"/>
        <v>-358441.74659834371</v>
      </c>
      <c r="BD709" s="292">
        <f t="shared" si="78"/>
        <v>1.7788946284782128</v>
      </c>
      <c r="BF709" s="170">
        <f t="shared" si="73"/>
        <v>765537.46114683338</v>
      </c>
      <c r="BG709" s="2">
        <f t="shared" si="74"/>
        <v>1408602.3483016915</v>
      </c>
      <c r="BI709">
        <f t="shared" si="75"/>
        <v>0</v>
      </c>
      <c r="BJ709" s="95">
        <f t="shared" si="76"/>
        <v>1</v>
      </c>
      <c r="BP709" s="217">
        <f t="shared" si="79"/>
        <v>1408602.3483016915</v>
      </c>
    </row>
    <row r="710" spans="1:68">
      <c r="A710" s="11">
        <v>704</v>
      </c>
      <c r="C710" s="27">
        <v>0.92520185631162355</v>
      </c>
      <c r="D710" s="27">
        <v>7.4798143688376478E-2</v>
      </c>
      <c r="E710" s="27">
        <v>0</v>
      </c>
      <c r="F710" s="27">
        <v>0.85469432052177652</v>
      </c>
      <c r="G710" s="27">
        <v>0.14530567947822348</v>
      </c>
      <c r="H710" s="27">
        <v>0</v>
      </c>
      <c r="I710" s="27">
        <v>0.74481952199070933</v>
      </c>
      <c r="J710" s="27">
        <v>0.25518047800929067</v>
      </c>
      <c r="K710" s="27">
        <v>0</v>
      </c>
      <c r="L710" s="27">
        <v>0.11317063839176345</v>
      </c>
      <c r="M710" s="27">
        <v>0.53364542505307799</v>
      </c>
      <c r="N710" s="27">
        <v>0.35318393655515856</v>
      </c>
      <c r="O710" s="27">
        <v>-11.219547281408001</v>
      </c>
      <c r="P710" s="27">
        <v>3.5219080052923527E-2</v>
      </c>
      <c r="Q710" s="27">
        <v>5.8860170457260837E-5</v>
      </c>
      <c r="R710" s="27">
        <v>1.0806508002704063</v>
      </c>
      <c r="S710" s="154"/>
      <c r="T710">
        <v>0.9901075714479044</v>
      </c>
      <c r="U710">
        <v>2.2030839740696377</v>
      </c>
      <c r="V710">
        <v>2.9394294069591167</v>
      </c>
      <c r="W710">
        <v>1</v>
      </c>
      <c r="Y710" s="2">
        <v>446.80873752801045</v>
      </c>
      <c r="Z710" s="2">
        <v>2835.4817622730511</v>
      </c>
      <c r="AA710" s="2">
        <v>177.67839646173042</v>
      </c>
      <c r="AB710" s="2">
        <v>7165.3631340573738</v>
      </c>
      <c r="AC710" s="2">
        <v>1293.9477770110245</v>
      </c>
      <c r="AD710" s="2">
        <v>228.7594891862928</v>
      </c>
      <c r="AE710" s="2">
        <v>607.96175171970003</v>
      </c>
      <c r="AF710" s="2">
        <v>1258.9627364798375</v>
      </c>
      <c r="AG710" s="2">
        <v>195.0391020563367</v>
      </c>
      <c r="AH710" s="2">
        <v>770.18165609457606</v>
      </c>
      <c r="AI710" s="2">
        <v>675792.74861411331</v>
      </c>
      <c r="AJ710" s="2">
        <v>648183.9682819451</v>
      </c>
      <c r="AL710" s="27">
        <v>0.91721717062050545</v>
      </c>
      <c r="AM710" s="27">
        <v>0.9125088535559166</v>
      </c>
      <c r="AN710" s="27">
        <v>0.9095702313435603</v>
      </c>
      <c r="AO710" s="27">
        <v>0.85809907695549825</v>
      </c>
      <c r="AP710" s="27">
        <v>0.74023256392364656</v>
      </c>
      <c r="AQ710" s="27">
        <v>0.91721717062050545</v>
      </c>
      <c r="AR710" s="27">
        <v>0.9125088535559166</v>
      </c>
      <c r="AS710" s="27">
        <v>0.9095702313435603</v>
      </c>
      <c r="AT710" s="27">
        <v>0.85809907695549825</v>
      </c>
      <c r="AU710" s="27">
        <v>0.74023256392364656</v>
      </c>
      <c r="AW710" s="1">
        <v>13.858725337684973</v>
      </c>
      <c r="AX710" s="1">
        <v>15.797876439120691</v>
      </c>
      <c r="AY710" s="2">
        <v>2671076.3058772306</v>
      </c>
      <c r="AZ710" s="1">
        <v>15.533774462190044</v>
      </c>
      <c r="BA710" s="1">
        <v>17.455171343763357</v>
      </c>
      <c r="BB710" s="2">
        <v>2010929.3339066412</v>
      </c>
      <c r="BC710" s="2">
        <f t="shared" si="77"/>
        <v>-660146.97197058937</v>
      </c>
      <c r="BD710" s="292">
        <f t="shared" si="78"/>
        <v>1.6750491245050707</v>
      </c>
      <c r="BF710" s="170">
        <f t="shared" si="73"/>
        <v>-453680.25184763502</v>
      </c>
      <c r="BG710" s="2">
        <f t="shared" si="74"/>
        <v>474474.58004376572</v>
      </c>
      <c r="BI710">
        <f t="shared" si="75"/>
        <v>0</v>
      </c>
      <c r="BJ710" s="95">
        <f t="shared" si="76"/>
        <v>1</v>
      </c>
      <c r="BP710" s="217">
        <f t="shared" si="79"/>
        <v>474474.58004376572</v>
      </c>
    </row>
    <row r="711" spans="1:68">
      <c r="A711" s="11">
        <v>705</v>
      </c>
      <c r="C711" s="27">
        <v>0.92340417286005771</v>
      </c>
      <c r="D711" s="27">
        <v>7.6595827139942271E-2</v>
      </c>
      <c r="E711" s="27">
        <v>0</v>
      </c>
      <c r="F711" s="27">
        <v>0.85243529976447552</v>
      </c>
      <c r="G711" s="27">
        <v>0.14756470023552448</v>
      </c>
      <c r="H711" s="27">
        <v>0</v>
      </c>
      <c r="I711" s="27">
        <v>0.75862203233601855</v>
      </c>
      <c r="J711" s="27">
        <v>0.24137796766398148</v>
      </c>
      <c r="K711" s="27">
        <v>0</v>
      </c>
      <c r="L711" s="27">
        <v>0.13758829163112163</v>
      </c>
      <c r="M711" s="27">
        <v>0.44347707621739335</v>
      </c>
      <c r="N711" s="27">
        <v>0.41893463215148496</v>
      </c>
      <c r="O711" s="27">
        <v>-11.489448031362894</v>
      </c>
      <c r="P711" s="27">
        <v>3.3713061675104621E-2</v>
      </c>
      <c r="Q711" s="27">
        <v>4.2182739338506972E-5</v>
      </c>
      <c r="R711" s="27">
        <v>1.1224356617537934</v>
      </c>
      <c r="S711" s="154"/>
      <c r="T711">
        <v>1.0053310076699116</v>
      </c>
      <c r="U711">
        <v>2.1918596252556592</v>
      </c>
      <c r="V711">
        <v>2.8448703285062109</v>
      </c>
      <c r="W711">
        <v>1</v>
      </c>
      <c r="Y711" s="2">
        <v>1976.150103635284</v>
      </c>
      <c r="Z711" s="2">
        <v>982.21914934676056</v>
      </c>
      <c r="AA711" s="2">
        <v>300.59971967193502</v>
      </c>
      <c r="AB711" s="2">
        <v>2085.4849003001759</v>
      </c>
      <c r="AC711" s="2">
        <v>151.31524679992881</v>
      </c>
      <c r="AD711" s="2">
        <v>1366.9616255603987</v>
      </c>
      <c r="AE711" s="2">
        <v>550.78519446987661</v>
      </c>
      <c r="AF711" s="2">
        <v>1196.3779510042823</v>
      </c>
      <c r="AG711" s="2">
        <v>171.02004606409758</v>
      </c>
      <c r="AH711" s="2">
        <v>565.90966016690254</v>
      </c>
      <c r="AI711" s="2">
        <v>401958.26766290033</v>
      </c>
      <c r="AJ711" s="2">
        <v>375938.52804465871</v>
      </c>
      <c r="AL711" s="27">
        <v>0.91304953183940762</v>
      </c>
      <c r="AM711" s="27">
        <v>0.92295496494238349</v>
      </c>
      <c r="AN711" s="27">
        <v>0.903778734252214</v>
      </c>
      <c r="AO711" s="27">
        <v>0.85317734676392676</v>
      </c>
      <c r="AP711" s="27">
        <v>0.73120201551048081</v>
      </c>
      <c r="AQ711" s="27">
        <v>0.91304953183940762</v>
      </c>
      <c r="AR711" s="27">
        <v>0.92295496494238349</v>
      </c>
      <c r="AS711" s="27">
        <v>0.903778734252214</v>
      </c>
      <c r="AT711" s="27">
        <v>0.85317734676392676</v>
      </c>
      <c r="AU711" s="27">
        <v>0.73120201551048081</v>
      </c>
      <c r="AW711" s="1">
        <v>13.327294104808026</v>
      </c>
      <c r="AX711" s="1">
        <v>15.176204625141622</v>
      </c>
      <c r="AY711" s="2">
        <v>1318255.7784240206</v>
      </c>
      <c r="AZ711" s="1">
        <v>15.198282931999799</v>
      </c>
      <c r="BA711" s="1">
        <v>17.049363310430785</v>
      </c>
      <c r="BB711" s="2">
        <v>985234.69324307842</v>
      </c>
      <c r="BC711" s="2">
        <f t="shared" si="77"/>
        <v>-333021.0851809422</v>
      </c>
      <c r="BD711" s="292">
        <f t="shared" si="78"/>
        <v>1.8709888271917734</v>
      </c>
      <c r="BF711" s="170">
        <f t="shared" ref="BF711:BF774" si="80">AW711*Threshold-AY711</f>
        <v>814111.27834526333</v>
      </c>
      <c r="BG711" s="2">
        <f t="shared" ref="BG711:BG774" si="81">AZ711*Threshold-BB711</f>
        <v>1446490.5758768893</v>
      </c>
      <c r="BI711">
        <f t="shared" ref="BI711:BI774" si="82">IF(MAX($BF711:$BG711)=$BF711,1,0)</f>
        <v>0</v>
      </c>
      <c r="BJ711" s="95">
        <f t="shared" ref="BJ711:BJ774" si="83">IF(MAX($BF711:$BG711)=$BF711,0,1)</f>
        <v>1</v>
      </c>
      <c r="BP711" s="217">
        <f t="shared" si="79"/>
        <v>1446490.5758768893</v>
      </c>
    </row>
    <row r="712" spans="1:68">
      <c r="A712" s="11">
        <v>706</v>
      </c>
      <c r="C712" s="27">
        <v>0.92433414197836261</v>
      </c>
      <c r="D712" s="27">
        <v>7.566585802163743E-2</v>
      </c>
      <c r="E712" s="27">
        <v>0</v>
      </c>
      <c r="F712" s="27">
        <v>0.85733940439051293</v>
      </c>
      <c r="G712" s="27">
        <v>0.14266059560948702</v>
      </c>
      <c r="H712" s="27">
        <v>0</v>
      </c>
      <c r="I712" s="27">
        <v>0.74490081066060065</v>
      </c>
      <c r="J712" s="27">
        <v>0.25509918933939935</v>
      </c>
      <c r="K712" s="27">
        <v>0</v>
      </c>
      <c r="L712" s="27">
        <v>0.1720371434350268</v>
      </c>
      <c r="M712" s="27">
        <v>0.45479312717936343</v>
      </c>
      <c r="N712" s="27">
        <v>0.37316972938560972</v>
      </c>
      <c r="O712" s="27">
        <v>-11.386390051961998</v>
      </c>
      <c r="P712" s="27">
        <v>3.6015357894469087E-2</v>
      </c>
      <c r="Q712" s="27">
        <v>5.1509462959152484E-5</v>
      </c>
      <c r="R712" s="27">
        <v>1.1005485256518848</v>
      </c>
      <c r="S712" s="154"/>
      <c r="T712">
        <v>1.0023655943179199</v>
      </c>
      <c r="U712">
        <v>2.2729512862544659</v>
      </c>
      <c r="V712">
        <v>3.0963069693689675</v>
      </c>
      <c r="W712">
        <v>1</v>
      </c>
      <c r="Y712" s="2">
        <v>925.10644231969002</v>
      </c>
      <c r="Z712" s="2">
        <v>5887.6735176674665</v>
      </c>
      <c r="AA712" s="2">
        <v>271.94197727013517</v>
      </c>
      <c r="AB712" s="2">
        <v>13170.557581499213</v>
      </c>
      <c r="AC712" s="2">
        <v>1565.5246701868775</v>
      </c>
      <c r="AD712" s="2">
        <v>411.56059750477891</v>
      </c>
      <c r="AE712" s="2">
        <v>612.42022181407458</v>
      </c>
      <c r="AF712" s="2">
        <v>1154.9726283065147</v>
      </c>
      <c r="AG712" s="2">
        <v>169.78950951636307</v>
      </c>
      <c r="AH712" s="2">
        <v>505.00706432231493</v>
      </c>
      <c r="AI712" s="2">
        <v>611354.6385246705</v>
      </c>
      <c r="AJ712" s="2">
        <v>570454.82982037298</v>
      </c>
      <c r="AL712" s="27">
        <v>0.91493691581811731</v>
      </c>
      <c r="AM712" s="27">
        <v>0.91652679806699877</v>
      </c>
      <c r="AN712" s="27">
        <v>0.91232103609609139</v>
      </c>
      <c r="AO712" s="27">
        <v>0.8370246795532692</v>
      </c>
      <c r="AP712" s="27">
        <v>0.57754481616676923</v>
      </c>
      <c r="AQ712" s="27">
        <v>0.91493691581811731</v>
      </c>
      <c r="AR712" s="27">
        <v>0.91652679806699877</v>
      </c>
      <c r="AS712" s="27">
        <v>0.91232103609609139</v>
      </c>
      <c r="AT712" s="27">
        <v>0.8370246795532692</v>
      </c>
      <c r="AU712" s="27">
        <v>0.57754481616676923</v>
      </c>
      <c r="AW712" s="1">
        <v>13.009465824193853</v>
      </c>
      <c r="AX712" s="1">
        <v>15.367552178662997</v>
      </c>
      <c r="AY712" s="2">
        <v>2189132.4891663818</v>
      </c>
      <c r="AZ712" s="1">
        <v>15.017908335558511</v>
      </c>
      <c r="BA712" s="1">
        <v>17.22854276420696</v>
      </c>
      <c r="BB712" s="2">
        <v>1703229.1400435017</v>
      </c>
      <c r="BC712" s="2">
        <f t="shared" ref="BC712:BC775" si="84">BB712-AY712</f>
        <v>-485903.34912288003</v>
      </c>
      <c r="BD712" s="292">
        <f t="shared" ref="BD712:BD775" si="85">AZ712-AW712</f>
        <v>2.0084425113646578</v>
      </c>
      <c r="BF712" s="170">
        <f t="shared" si="80"/>
        <v>-107617.95729536517</v>
      </c>
      <c r="BG712" s="2">
        <f t="shared" si="81"/>
        <v>699636.19364586007</v>
      </c>
      <c r="BI712">
        <f t="shared" si="82"/>
        <v>0</v>
      </c>
      <c r="BJ712" s="95">
        <f t="shared" si="83"/>
        <v>1</v>
      </c>
      <c r="BP712" s="217">
        <f t="shared" ref="BP712:BP775" si="86">MAX(BF712,BG712)</f>
        <v>699636.19364586007</v>
      </c>
    </row>
    <row r="713" spans="1:68">
      <c r="A713" s="11">
        <v>707</v>
      </c>
      <c r="C713" s="27">
        <v>0.9246368518572079</v>
      </c>
      <c r="D713" s="27">
        <v>7.5363148142792075E-2</v>
      </c>
      <c r="E713" s="27">
        <v>0</v>
      </c>
      <c r="F713" s="27">
        <v>0.86049890263881279</v>
      </c>
      <c r="G713" s="27">
        <v>0.13950109736118721</v>
      </c>
      <c r="H713" s="27">
        <v>0</v>
      </c>
      <c r="I713" s="27">
        <v>0.73736660399141063</v>
      </c>
      <c r="J713" s="27">
        <v>0.26263339600858937</v>
      </c>
      <c r="K713" s="27">
        <v>0</v>
      </c>
      <c r="L713" s="27">
        <v>0.14505068154302803</v>
      </c>
      <c r="M713" s="27">
        <v>0.45308810524985421</v>
      </c>
      <c r="N713" s="27">
        <v>0.40186121320711776</v>
      </c>
      <c r="O713" s="27">
        <v>-10.986319918312173</v>
      </c>
      <c r="P713" s="27">
        <v>3.143471190965029E-2</v>
      </c>
      <c r="Q713" s="27">
        <v>6.339902861890398E-5</v>
      </c>
      <c r="R713" s="27">
        <v>1.079224493605788</v>
      </c>
      <c r="S713" s="154"/>
      <c r="T713">
        <v>1.0663359294682691</v>
      </c>
      <c r="U713">
        <v>2.2856056502012043</v>
      </c>
      <c r="V713">
        <v>2.967782650798247</v>
      </c>
      <c r="W713">
        <v>1</v>
      </c>
      <c r="Y713" s="2">
        <v>719.41451669521143</v>
      </c>
      <c r="Z713" s="2">
        <v>8231.2364309602599</v>
      </c>
      <c r="AA713" s="2">
        <v>675.92324000217923</v>
      </c>
      <c r="AB713" s="2">
        <v>572.59861612623092</v>
      </c>
      <c r="AC713" s="2">
        <v>3867.0867374502136</v>
      </c>
      <c r="AD713" s="2">
        <v>2268.8484606797665</v>
      </c>
      <c r="AE713" s="2">
        <v>540.77714911452313</v>
      </c>
      <c r="AF713" s="2">
        <v>1145.2831062926005</v>
      </c>
      <c r="AG713" s="2">
        <v>141.89408663230876</v>
      </c>
      <c r="AH713" s="2">
        <v>563.21089545844006</v>
      </c>
      <c r="AI713" s="2">
        <v>452866.06557856809</v>
      </c>
      <c r="AJ713" s="2">
        <v>422819.70387286408</v>
      </c>
      <c r="AL713" s="27">
        <v>0.92316030327748033</v>
      </c>
      <c r="AM713" s="27">
        <v>0.91539049121367022</v>
      </c>
      <c r="AN713" s="27">
        <v>0.91171006993342374</v>
      </c>
      <c r="AO713" s="27">
        <v>0.87722872125195306</v>
      </c>
      <c r="AP713" s="27">
        <v>0.65634244871302605</v>
      </c>
      <c r="AQ713" s="27">
        <v>0.92316030327748033</v>
      </c>
      <c r="AR713" s="27">
        <v>0.91539049121367022</v>
      </c>
      <c r="AS713" s="27">
        <v>0.91171006993342374</v>
      </c>
      <c r="AT713" s="27">
        <v>0.87722872125195306</v>
      </c>
      <c r="AU713" s="27">
        <v>0.65634244871302605</v>
      </c>
      <c r="AW713" s="1">
        <v>13.101223303917921</v>
      </c>
      <c r="AX713" s="1">
        <v>15.098162280730184</v>
      </c>
      <c r="AY713" s="2">
        <v>1695176.0242118086</v>
      </c>
      <c r="AZ713" s="1">
        <v>15.230562822572761</v>
      </c>
      <c r="BA713" s="1">
        <v>17.159601448027658</v>
      </c>
      <c r="BB713" s="2">
        <v>1119635.8262837012</v>
      </c>
      <c r="BC713" s="2">
        <f t="shared" si="84"/>
        <v>-575540.19792810734</v>
      </c>
      <c r="BD713" s="292">
        <f t="shared" si="85"/>
        <v>2.1293395186548398</v>
      </c>
      <c r="BF713" s="170">
        <f t="shared" si="80"/>
        <v>401019.70441505872</v>
      </c>
      <c r="BG713" s="2">
        <f t="shared" si="81"/>
        <v>1317254.2253279407</v>
      </c>
      <c r="BI713">
        <f t="shared" si="82"/>
        <v>0</v>
      </c>
      <c r="BJ713" s="95">
        <f t="shared" si="83"/>
        <v>1</v>
      </c>
      <c r="BP713" s="217">
        <f t="shared" si="86"/>
        <v>1317254.2253279407</v>
      </c>
    </row>
    <row r="714" spans="1:68">
      <c r="A714" s="11">
        <v>708</v>
      </c>
      <c r="C714" s="27">
        <v>0.92064062042359396</v>
      </c>
      <c r="D714" s="27">
        <v>7.9359379576406042E-2</v>
      </c>
      <c r="E714" s="27">
        <v>0</v>
      </c>
      <c r="F714" s="27">
        <v>0.8607665269324265</v>
      </c>
      <c r="G714" s="27">
        <v>0.13923347306757347</v>
      </c>
      <c r="H714" s="27">
        <v>0</v>
      </c>
      <c r="I714" s="27">
        <v>0.74444753528088792</v>
      </c>
      <c r="J714" s="27">
        <v>0.25555246471911208</v>
      </c>
      <c r="K714" s="27">
        <v>0</v>
      </c>
      <c r="L714" s="27">
        <v>0.1268488276728944</v>
      </c>
      <c r="M714" s="27">
        <v>0.48062070554432201</v>
      </c>
      <c r="N714" s="27">
        <v>0.39253046678278358</v>
      </c>
      <c r="O714" s="27">
        <v>-11.298498095061895</v>
      </c>
      <c r="P714" s="27">
        <v>3.3609584328643763E-2</v>
      </c>
      <c r="Q714" s="27">
        <v>5.0836520547321955E-5</v>
      </c>
      <c r="R714" s="27">
        <v>1.1021702168704746</v>
      </c>
      <c r="S714" s="154"/>
      <c r="T714">
        <v>0.9000330317290115</v>
      </c>
      <c r="U714">
        <v>2.2336334552759984</v>
      </c>
      <c r="V714">
        <v>2.7931824973338131</v>
      </c>
      <c r="W714">
        <v>1</v>
      </c>
      <c r="Y714" s="2">
        <v>794.25337076259621</v>
      </c>
      <c r="Z714" s="2">
        <v>829.93403705804394</v>
      </c>
      <c r="AA714" s="2">
        <v>274.49862314415611</v>
      </c>
      <c r="AB714" s="2">
        <v>10796.866461736874</v>
      </c>
      <c r="AC714" s="2">
        <v>1704.262859030006</v>
      </c>
      <c r="AD714" s="2">
        <v>95.742592751117911</v>
      </c>
      <c r="AE714" s="2">
        <v>545.4483445783959</v>
      </c>
      <c r="AF714" s="2">
        <v>1106.5077173418993</v>
      </c>
      <c r="AG714" s="2">
        <v>102.1758452568219</v>
      </c>
      <c r="AH714" s="2">
        <v>354.13071578517469</v>
      </c>
      <c r="AI714" s="2">
        <v>414568.16431996494</v>
      </c>
      <c r="AJ714" s="2">
        <v>376340.91201424226</v>
      </c>
      <c r="AL714" s="27">
        <v>0.92014123087737043</v>
      </c>
      <c r="AM714" s="27">
        <v>0.9109316678650673</v>
      </c>
      <c r="AN714" s="27">
        <v>0.90203444661647803</v>
      </c>
      <c r="AO714" s="27">
        <v>0.86493242008311733</v>
      </c>
      <c r="AP714" s="27">
        <v>0.71934524387048593</v>
      </c>
      <c r="AQ714" s="27">
        <v>0.92014123087737043</v>
      </c>
      <c r="AR714" s="27">
        <v>0.9109316678650673</v>
      </c>
      <c r="AS714" s="27">
        <v>0.90203444661647803</v>
      </c>
      <c r="AT714" s="27">
        <v>0.86493242008311733</v>
      </c>
      <c r="AU714" s="27">
        <v>0.71934524387048593</v>
      </c>
      <c r="AW714" s="1">
        <v>13.731569435664948</v>
      </c>
      <c r="AX714" s="1">
        <v>15.616818885240567</v>
      </c>
      <c r="AY714" s="2">
        <v>1365150.6339169599</v>
      </c>
      <c r="AZ714" s="1">
        <v>15.254017184359302</v>
      </c>
      <c r="BA714" s="1">
        <v>17.148540749544186</v>
      </c>
      <c r="BB714" s="2">
        <v>1183340.5177304212</v>
      </c>
      <c r="BC714" s="2">
        <f t="shared" si="84"/>
        <v>-181810.11618653871</v>
      </c>
      <c r="BD714" s="292">
        <f t="shared" si="85"/>
        <v>1.5224477486943542</v>
      </c>
      <c r="BF714" s="170">
        <f t="shared" si="80"/>
        <v>831900.47578943172</v>
      </c>
      <c r="BG714" s="2">
        <f t="shared" si="81"/>
        <v>1257302.231767067</v>
      </c>
      <c r="BI714">
        <f t="shared" si="82"/>
        <v>0</v>
      </c>
      <c r="BJ714" s="95">
        <f t="shared" si="83"/>
        <v>1</v>
      </c>
      <c r="BP714" s="217">
        <f t="shared" si="86"/>
        <v>1257302.231767067</v>
      </c>
    </row>
    <row r="715" spans="1:68">
      <c r="A715" s="11">
        <v>709</v>
      </c>
      <c r="C715" s="27">
        <v>0.9222529597889878</v>
      </c>
      <c r="D715" s="27">
        <v>7.7747040211012197E-2</v>
      </c>
      <c r="E715" s="27">
        <v>0</v>
      </c>
      <c r="F715" s="27">
        <v>0.85930926389380535</v>
      </c>
      <c r="G715" s="27">
        <v>0.14069073610619467</v>
      </c>
      <c r="H715" s="27">
        <v>0</v>
      </c>
      <c r="I715" s="27">
        <v>0.75115019156342655</v>
      </c>
      <c r="J715" s="27">
        <v>0.24884980843657345</v>
      </c>
      <c r="K715" s="27">
        <v>0</v>
      </c>
      <c r="L715" s="27">
        <v>0.22495792466527192</v>
      </c>
      <c r="M715" s="27">
        <v>0.46486042767884883</v>
      </c>
      <c r="N715" s="27">
        <v>0.31018164765587924</v>
      </c>
      <c r="O715" s="27">
        <v>-11.081363787739301</v>
      </c>
      <c r="P715" s="27">
        <v>3.2349420159943111E-2</v>
      </c>
      <c r="Q715" s="27">
        <v>5.9908740755762993E-5</v>
      </c>
      <c r="R715" s="27">
        <v>1.0794343554868693</v>
      </c>
      <c r="S715" s="154"/>
      <c r="T715">
        <v>1.0743917500272011</v>
      </c>
      <c r="U715">
        <v>2.2965960419137597</v>
      </c>
      <c r="V715">
        <v>2.8558085309513821</v>
      </c>
      <c r="W715">
        <v>1</v>
      </c>
      <c r="Y715" s="2">
        <v>2385.029344102647</v>
      </c>
      <c r="Z715" s="2">
        <v>13278.018867318386</v>
      </c>
      <c r="AA715" s="2">
        <v>1848.3217998416305</v>
      </c>
      <c r="AB715" s="2">
        <v>1896.2440228925761</v>
      </c>
      <c r="AC715" s="2">
        <v>2085.2786199647594</v>
      </c>
      <c r="AD715" s="2">
        <v>820.34024256631051</v>
      </c>
      <c r="AE715" s="2">
        <v>554.69869912435036</v>
      </c>
      <c r="AF715" s="2">
        <v>1234.7235047998436</v>
      </c>
      <c r="AG715" s="2">
        <v>86.193808731540486</v>
      </c>
      <c r="AH715" s="2">
        <v>248.31492150019821</v>
      </c>
      <c r="AI715" s="2">
        <v>537856.28047552845</v>
      </c>
      <c r="AJ715" s="2">
        <v>492492.41419705725</v>
      </c>
      <c r="AL715" s="27">
        <v>0.91574357916152294</v>
      </c>
      <c r="AM715" s="27">
        <v>0.91159437679286215</v>
      </c>
      <c r="AN715" s="27">
        <v>0.91047802737378547</v>
      </c>
      <c r="AO715" s="27">
        <v>0.87978928556682534</v>
      </c>
      <c r="AP715" s="27">
        <v>0.71677493042841356</v>
      </c>
      <c r="AQ715" s="27">
        <v>0.91574357916152294</v>
      </c>
      <c r="AR715" s="27">
        <v>0.91159437679286215</v>
      </c>
      <c r="AS715" s="27">
        <v>0.91047802737378547</v>
      </c>
      <c r="AT715" s="27">
        <v>0.87978928556682534</v>
      </c>
      <c r="AU715" s="27">
        <v>0.71677493042841356</v>
      </c>
      <c r="AW715" s="1">
        <v>13.496028811728095</v>
      </c>
      <c r="AX715" s="1">
        <v>15.521588873606373</v>
      </c>
      <c r="AY715" s="2">
        <v>2303023.9559179549</v>
      </c>
      <c r="AZ715" s="1">
        <v>15.495708167201066</v>
      </c>
      <c r="BA715" s="1">
        <v>17.476621368945636</v>
      </c>
      <c r="BB715" s="2">
        <v>1491737.9539613146</v>
      </c>
      <c r="BC715" s="2">
        <f t="shared" si="84"/>
        <v>-811286.00195664028</v>
      </c>
      <c r="BD715" s="292">
        <f t="shared" si="85"/>
        <v>1.9996793554729706</v>
      </c>
      <c r="BF715" s="170">
        <f t="shared" si="80"/>
        <v>-143659.34604145959</v>
      </c>
      <c r="BG715" s="2">
        <f t="shared" si="81"/>
        <v>987575.3527908558</v>
      </c>
      <c r="BI715">
        <f t="shared" si="82"/>
        <v>0</v>
      </c>
      <c r="BJ715" s="95">
        <f t="shared" si="83"/>
        <v>1</v>
      </c>
      <c r="BP715" s="217">
        <f t="shared" si="86"/>
        <v>987575.3527908558</v>
      </c>
    </row>
    <row r="716" spans="1:68">
      <c r="A716" s="11">
        <v>710</v>
      </c>
      <c r="C716" s="27">
        <v>0.9252209985108073</v>
      </c>
      <c r="D716" s="27">
        <v>7.477900148919267E-2</v>
      </c>
      <c r="E716" s="27">
        <v>0</v>
      </c>
      <c r="F716" s="27">
        <v>0.85650460797142336</v>
      </c>
      <c r="G716" s="27">
        <v>0.14349539202857664</v>
      </c>
      <c r="H716" s="27">
        <v>0</v>
      </c>
      <c r="I716" s="27">
        <v>0.73729369503583375</v>
      </c>
      <c r="J716" s="27">
        <v>0.26270630496416625</v>
      </c>
      <c r="K716" s="27">
        <v>0</v>
      </c>
      <c r="L716" s="27">
        <v>0.14004864744379453</v>
      </c>
      <c r="M716" s="27">
        <v>0.47308682927120144</v>
      </c>
      <c r="N716" s="27">
        <v>0.38686452328500409</v>
      </c>
      <c r="O716" s="27">
        <v>-11.503436959789418</v>
      </c>
      <c r="P716" s="27">
        <v>3.6504285114106111E-2</v>
      </c>
      <c r="Q716" s="27">
        <v>4.6770542592651921E-5</v>
      </c>
      <c r="R716" s="27">
        <v>1.0999730179731413</v>
      </c>
      <c r="S716" s="154"/>
      <c r="T716">
        <v>1.0201451598997164</v>
      </c>
      <c r="U716">
        <v>2.2213567915153796</v>
      </c>
      <c r="V716">
        <v>2.9992464090077307</v>
      </c>
      <c r="W716">
        <v>1</v>
      </c>
      <c r="Y716" s="2">
        <v>512.77852416083533</v>
      </c>
      <c r="Z716" s="2">
        <v>361.36075560718746</v>
      </c>
      <c r="AA716" s="2">
        <v>329.83259223529751</v>
      </c>
      <c r="AB716" s="2">
        <v>3531.9108485842821</v>
      </c>
      <c r="AC716" s="2">
        <v>557.32327264417222</v>
      </c>
      <c r="AD716" s="2">
        <v>95.371240538041675</v>
      </c>
      <c r="AE716" s="2">
        <v>522.57523550609687</v>
      </c>
      <c r="AF716" s="2">
        <v>1029.8393142302823</v>
      </c>
      <c r="AG716" s="2">
        <v>164.18671981141651</v>
      </c>
      <c r="AH716" s="2">
        <v>293.6009934392805</v>
      </c>
      <c r="AI716" s="2">
        <v>365088.67986707645</v>
      </c>
      <c r="AJ716" s="2">
        <v>324460.12801675859</v>
      </c>
      <c r="AL716" s="27">
        <v>0.92570021392179092</v>
      </c>
      <c r="AM716" s="27">
        <v>0.91025023333464061</v>
      </c>
      <c r="AN716" s="27">
        <v>0.90427659851106001</v>
      </c>
      <c r="AO716" s="27">
        <v>0.84609144890390431</v>
      </c>
      <c r="AP716" s="27">
        <v>0.7136140173895793</v>
      </c>
      <c r="AQ716" s="27">
        <v>0.92570021392179092</v>
      </c>
      <c r="AR716" s="27">
        <v>0.91025023333464061</v>
      </c>
      <c r="AS716" s="27">
        <v>0.90427659851106001</v>
      </c>
      <c r="AT716" s="27">
        <v>0.84609144890390431</v>
      </c>
      <c r="AU716" s="27">
        <v>0.7136140173895793</v>
      </c>
      <c r="AW716" s="1">
        <v>13.570706016821612</v>
      </c>
      <c r="AX716" s="1">
        <v>15.47296899406423</v>
      </c>
      <c r="AY716" s="2">
        <v>1260048.2859648063</v>
      </c>
      <c r="AZ716" s="1">
        <v>15.402835773611459</v>
      </c>
      <c r="BA716" s="1">
        <v>17.283791324185756</v>
      </c>
      <c r="BB716" s="2">
        <v>949675.95558636799</v>
      </c>
      <c r="BC716" s="2">
        <f t="shared" si="84"/>
        <v>-310372.33037843835</v>
      </c>
      <c r="BD716" s="292">
        <f t="shared" si="85"/>
        <v>1.8321297567898469</v>
      </c>
      <c r="BF716" s="170">
        <f t="shared" si="80"/>
        <v>911264.67672665161</v>
      </c>
      <c r="BG716" s="2">
        <f t="shared" si="81"/>
        <v>1514777.7681914654</v>
      </c>
      <c r="BI716">
        <f t="shared" si="82"/>
        <v>0</v>
      </c>
      <c r="BJ716" s="95">
        <f t="shared" si="83"/>
        <v>1</v>
      </c>
      <c r="BP716" s="217">
        <f t="shared" si="86"/>
        <v>1514777.7681914654</v>
      </c>
    </row>
    <row r="717" spans="1:68">
      <c r="A717" s="11">
        <v>711</v>
      </c>
      <c r="C717" s="27">
        <v>0.92236151351615203</v>
      </c>
      <c r="D717" s="27">
        <v>7.7638486483847968E-2</v>
      </c>
      <c r="E717" s="27">
        <v>0</v>
      </c>
      <c r="F717" s="27">
        <v>0.8549097774094303</v>
      </c>
      <c r="G717" s="27">
        <v>0.1450902225905697</v>
      </c>
      <c r="H717" s="27">
        <v>0</v>
      </c>
      <c r="I717" s="27">
        <v>0.75162418723879187</v>
      </c>
      <c r="J717" s="27">
        <v>0.2483758127612081</v>
      </c>
      <c r="K717" s="27">
        <v>0</v>
      </c>
      <c r="L717" s="27">
        <v>0.1390716415137353</v>
      </c>
      <c r="M717" s="27">
        <v>0.44849553325863473</v>
      </c>
      <c r="N717" s="27">
        <v>0.41243282522763003</v>
      </c>
      <c r="O717" s="27">
        <v>-10.725832758335006</v>
      </c>
      <c r="P717" s="27">
        <v>3.1462122829523521E-2</v>
      </c>
      <c r="Q717" s="27">
        <v>8.2358935611742093E-5</v>
      </c>
      <c r="R717" s="27">
        <v>1.0440333049308466</v>
      </c>
      <c r="S717" s="154"/>
      <c r="T717">
        <v>0.93449515025070051</v>
      </c>
      <c r="U717">
        <v>2.2128988105228653</v>
      </c>
      <c r="V717">
        <v>3.1655163264209936</v>
      </c>
      <c r="W717">
        <v>1</v>
      </c>
      <c r="Y717" s="2">
        <v>1798.4657036646247</v>
      </c>
      <c r="Z717" s="2">
        <v>2539.4449263990791</v>
      </c>
      <c r="AA717" s="2">
        <v>223.6354256908036</v>
      </c>
      <c r="AB717" s="2">
        <v>1884.6579341512042</v>
      </c>
      <c r="AC717" s="2">
        <v>1185.6012448348597</v>
      </c>
      <c r="AD717" s="2">
        <v>170.55831083778489</v>
      </c>
      <c r="AE717" s="2">
        <v>588.80840632142247</v>
      </c>
      <c r="AF717" s="2">
        <v>1011.6543147621234</v>
      </c>
      <c r="AG717" s="2">
        <v>110.28395592086191</v>
      </c>
      <c r="AH717" s="2">
        <v>449.74140314526119</v>
      </c>
      <c r="AI717" s="2">
        <v>388764.30884185102</v>
      </c>
      <c r="AJ717" s="2">
        <v>360258.12941859051</v>
      </c>
      <c r="AL717" s="27">
        <v>0.91778082308507658</v>
      </c>
      <c r="AM717" s="27">
        <v>0.91164309667328625</v>
      </c>
      <c r="AN717" s="27">
        <v>0.904271159267934</v>
      </c>
      <c r="AO717" s="27">
        <v>0.85685468138230714</v>
      </c>
      <c r="AP717" s="27">
        <v>0.68395135655256756</v>
      </c>
      <c r="AQ717" s="27">
        <v>0.91778082308507658</v>
      </c>
      <c r="AR717" s="27">
        <v>0.91164309667328625</v>
      </c>
      <c r="AS717" s="27">
        <v>0.904271159267934</v>
      </c>
      <c r="AT717" s="27">
        <v>0.85685468138230714</v>
      </c>
      <c r="AU717" s="27">
        <v>0.68395135655256756</v>
      </c>
      <c r="AW717" s="1">
        <v>13.435370995028066</v>
      </c>
      <c r="AX717" s="1">
        <v>15.426167476656937</v>
      </c>
      <c r="AY717" s="2">
        <v>1336396.2517475577</v>
      </c>
      <c r="AZ717" s="1">
        <v>15.143194454350887</v>
      </c>
      <c r="BA717" s="1">
        <v>17.114887834009632</v>
      </c>
      <c r="BB717" s="2">
        <v>971713.94340545149</v>
      </c>
      <c r="BC717" s="2">
        <f t="shared" si="84"/>
        <v>-364682.30834210617</v>
      </c>
      <c r="BD717" s="292">
        <f t="shared" si="85"/>
        <v>1.707823459322821</v>
      </c>
      <c r="BF717" s="170">
        <f t="shared" si="80"/>
        <v>813263.10745693301</v>
      </c>
      <c r="BG717" s="2">
        <f t="shared" si="81"/>
        <v>1451197.1692906904</v>
      </c>
      <c r="BI717">
        <f t="shared" si="82"/>
        <v>0</v>
      </c>
      <c r="BJ717" s="95">
        <f t="shared" si="83"/>
        <v>1</v>
      </c>
      <c r="BP717" s="217">
        <f t="shared" si="86"/>
        <v>1451197.1692906904</v>
      </c>
    </row>
    <row r="718" spans="1:68">
      <c r="A718" s="11">
        <v>712</v>
      </c>
      <c r="C718" s="27">
        <v>0.92012394166346301</v>
      </c>
      <c r="D718" s="27">
        <v>7.9876058336536992E-2</v>
      </c>
      <c r="E718" s="27">
        <v>0</v>
      </c>
      <c r="F718" s="27">
        <v>0.85477780851379537</v>
      </c>
      <c r="G718" s="27">
        <v>0.14522219148620463</v>
      </c>
      <c r="H718" s="27">
        <v>0</v>
      </c>
      <c r="I718" s="27">
        <v>0.74191577269883247</v>
      </c>
      <c r="J718" s="27">
        <v>0.25808422730116753</v>
      </c>
      <c r="K718" s="27">
        <v>0</v>
      </c>
      <c r="L718" s="27">
        <v>3.1284291031096867E-2</v>
      </c>
      <c r="M718" s="27">
        <v>0.58805022033281951</v>
      </c>
      <c r="N718" s="27">
        <v>0.38066548863608363</v>
      </c>
      <c r="O718" s="27">
        <v>-11.062706779298669</v>
      </c>
      <c r="P718" s="27">
        <v>3.5893492194105481E-2</v>
      </c>
      <c r="Q718" s="27">
        <v>7.08333865378052E-5</v>
      </c>
      <c r="R718" s="27">
        <v>1.0508995921507009</v>
      </c>
      <c r="S718" s="154"/>
      <c r="T718">
        <v>1.0430879753092202</v>
      </c>
      <c r="U718">
        <v>2.2635127419290448</v>
      </c>
      <c r="V718">
        <v>3.0459895552407588</v>
      </c>
      <c r="W718">
        <v>1</v>
      </c>
      <c r="Y718" s="2">
        <v>120.62025621978141</v>
      </c>
      <c r="Z718" s="2">
        <v>585.28110326009414</v>
      </c>
      <c r="AA718" s="2">
        <v>110.6944095684366</v>
      </c>
      <c r="AB718" s="2">
        <v>8143.2500670564868</v>
      </c>
      <c r="AC718" s="2">
        <v>20.180455979895413</v>
      </c>
      <c r="AD718" s="2">
        <v>255.11546430119682</v>
      </c>
      <c r="AE718" s="2">
        <v>577.09840785060339</v>
      </c>
      <c r="AF718" s="2">
        <v>871.91967627598524</v>
      </c>
      <c r="AG718" s="2">
        <v>93.033499043135237</v>
      </c>
      <c r="AH718" s="2">
        <v>403.0053636404466</v>
      </c>
      <c r="AI718" s="2">
        <v>383888.67748701136</v>
      </c>
      <c r="AJ718" s="2">
        <v>350687.69018886192</v>
      </c>
      <c r="AL718" s="27">
        <v>0.91384382567253741</v>
      </c>
      <c r="AM718" s="27">
        <v>0.91222344920553411</v>
      </c>
      <c r="AN718" s="27">
        <v>0.90703600090273417</v>
      </c>
      <c r="AO718" s="27">
        <v>0.87012101604874048</v>
      </c>
      <c r="AP718" s="27">
        <v>0.72878211568829676</v>
      </c>
      <c r="AQ718" s="27">
        <v>0.91384382567253741</v>
      </c>
      <c r="AR718" s="27">
        <v>0.91222344920553411</v>
      </c>
      <c r="AS718" s="27">
        <v>0.90703600090273417</v>
      </c>
      <c r="AT718" s="27">
        <v>0.87012101604874048</v>
      </c>
      <c r="AU718" s="27">
        <v>0.72878211568829676</v>
      </c>
      <c r="AW718" s="1">
        <v>13.497134333395149</v>
      </c>
      <c r="AX718" s="1">
        <v>15.551230810283688</v>
      </c>
      <c r="AY718" s="2">
        <v>1603673.2164334792</v>
      </c>
      <c r="AZ718" s="1">
        <v>15.388528144014822</v>
      </c>
      <c r="BA718" s="1">
        <v>17.40146498303519</v>
      </c>
      <c r="BB718" s="2">
        <v>1258600.2486908641</v>
      </c>
      <c r="BC718" s="2">
        <f t="shared" si="84"/>
        <v>-345072.96774261515</v>
      </c>
      <c r="BD718" s="292">
        <f t="shared" si="85"/>
        <v>1.8913938106196735</v>
      </c>
      <c r="BF718" s="170">
        <f t="shared" si="80"/>
        <v>555868.2769097446</v>
      </c>
      <c r="BG718" s="2">
        <f t="shared" si="81"/>
        <v>1203564.2543515074</v>
      </c>
      <c r="BI718">
        <f t="shared" si="82"/>
        <v>0</v>
      </c>
      <c r="BJ718" s="95">
        <f t="shared" si="83"/>
        <v>1</v>
      </c>
      <c r="BP718" s="217">
        <f t="shared" si="86"/>
        <v>1203564.2543515074</v>
      </c>
    </row>
    <row r="719" spans="1:68">
      <c r="A719" s="11">
        <v>713</v>
      </c>
      <c r="C719" s="27">
        <v>0.92361416710040867</v>
      </c>
      <c r="D719" s="27">
        <v>7.6385832899591347E-2</v>
      </c>
      <c r="E719" s="27">
        <v>0</v>
      </c>
      <c r="F719" s="27">
        <v>0.85761753452913669</v>
      </c>
      <c r="G719" s="27">
        <v>0.14238246547086331</v>
      </c>
      <c r="H719" s="27">
        <v>0</v>
      </c>
      <c r="I719" s="27">
        <v>0.74661888861835479</v>
      </c>
      <c r="J719" s="27">
        <v>0.25338111138164521</v>
      </c>
      <c r="K719" s="27">
        <v>0</v>
      </c>
      <c r="L719" s="27">
        <v>0.1930661717080564</v>
      </c>
      <c r="M719" s="27">
        <v>0.51426424116884673</v>
      </c>
      <c r="N719" s="27">
        <v>0.29266958712309687</v>
      </c>
      <c r="O719" s="27">
        <v>-11.285506569052199</v>
      </c>
      <c r="P719" s="27">
        <v>3.2145723129200193E-2</v>
      </c>
      <c r="Q719" s="27">
        <v>4.8430237497589963E-5</v>
      </c>
      <c r="R719" s="27">
        <v>1.1093270350519351</v>
      </c>
      <c r="S719" s="154"/>
      <c r="T719">
        <v>1.0262788211456637</v>
      </c>
      <c r="U719">
        <v>2.2880221416319779</v>
      </c>
      <c r="V719">
        <v>3.160134404129475</v>
      </c>
      <c r="W719">
        <v>1</v>
      </c>
      <c r="Y719" s="2">
        <v>193.32824471806074</v>
      </c>
      <c r="Z719" s="2">
        <v>3049.5511848722504</v>
      </c>
      <c r="AA719" s="2">
        <v>101.37086975576722</v>
      </c>
      <c r="AB719" s="2">
        <v>130.84360270702788</v>
      </c>
      <c r="AC719" s="2">
        <v>452.61528244410113</v>
      </c>
      <c r="AD719" s="2">
        <v>867.29141548784071</v>
      </c>
      <c r="AE719" s="2">
        <v>557.93949817336443</v>
      </c>
      <c r="AF719" s="2">
        <v>1021.8070592723103</v>
      </c>
      <c r="AG719" s="2">
        <v>98.474869061687784</v>
      </c>
      <c r="AH719" s="2">
        <v>288.51042890598006</v>
      </c>
      <c r="AI719" s="2">
        <v>789305.8483871069</v>
      </c>
      <c r="AJ719" s="2">
        <v>754348.53212807805</v>
      </c>
      <c r="AL719" s="27">
        <v>0.92222797300586778</v>
      </c>
      <c r="AM719" s="27">
        <v>0.91130225337070125</v>
      </c>
      <c r="AN719" s="27">
        <v>0.90449573053249355</v>
      </c>
      <c r="AO719" s="27">
        <v>0.86408468892247281</v>
      </c>
      <c r="AP719" s="27">
        <v>0.63265058152381126</v>
      </c>
      <c r="AQ719" s="27">
        <v>0.92222797300586778</v>
      </c>
      <c r="AR719" s="27">
        <v>0.91130225337070125</v>
      </c>
      <c r="AS719" s="27">
        <v>0.90449573053249355</v>
      </c>
      <c r="AT719" s="27">
        <v>0.86408468892247281</v>
      </c>
      <c r="AU719" s="27">
        <v>0.63265058152381126</v>
      </c>
      <c r="AW719" s="1">
        <v>13.42192918264664</v>
      </c>
      <c r="AX719" s="1">
        <v>15.721432133632755</v>
      </c>
      <c r="AY719" s="2">
        <v>3242427.0674840542</v>
      </c>
      <c r="AZ719" s="1">
        <v>15.375606633784345</v>
      </c>
      <c r="BA719" s="1">
        <v>17.541009895656678</v>
      </c>
      <c r="BB719" s="2">
        <v>2234960.8421368487</v>
      </c>
      <c r="BC719" s="2">
        <f t="shared" si="84"/>
        <v>-1007466.2253472055</v>
      </c>
      <c r="BD719" s="292">
        <f t="shared" si="85"/>
        <v>1.9536774511377057</v>
      </c>
      <c r="BF719" s="170">
        <f t="shared" si="80"/>
        <v>-1094918.398260592</v>
      </c>
      <c r="BG719" s="2">
        <f t="shared" si="81"/>
        <v>225136.21926864656</v>
      </c>
      <c r="BI719">
        <f t="shared" si="82"/>
        <v>0</v>
      </c>
      <c r="BJ719" s="95">
        <f t="shared" si="83"/>
        <v>1</v>
      </c>
      <c r="BP719" s="217">
        <f t="shared" si="86"/>
        <v>225136.21926864656</v>
      </c>
    </row>
    <row r="720" spans="1:68">
      <c r="A720" s="11">
        <v>714</v>
      </c>
      <c r="C720" s="27">
        <v>0.9237316052992649</v>
      </c>
      <c r="D720" s="27">
        <v>7.6268394700735084E-2</v>
      </c>
      <c r="E720" s="27">
        <v>0</v>
      </c>
      <c r="F720" s="27">
        <v>0.86063943513285124</v>
      </c>
      <c r="G720" s="27">
        <v>0.13936056486714879</v>
      </c>
      <c r="H720" s="27">
        <v>0</v>
      </c>
      <c r="I720" s="27">
        <v>0.74774134822029925</v>
      </c>
      <c r="J720" s="27">
        <v>0.25225865177970075</v>
      </c>
      <c r="K720" s="27">
        <v>0</v>
      </c>
      <c r="L720" s="27">
        <v>9.6777688103846682E-2</v>
      </c>
      <c r="M720" s="27">
        <v>0.5546576862042758</v>
      </c>
      <c r="N720" s="27">
        <v>0.34856462569187752</v>
      </c>
      <c r="O720" s="27">
        <v>-11.072411314537106</v>
      </c>
      <c r="P720" s="27">
        <v>3.8690503872328683E-2</v>
      </c>
      <c r="Q720" s="27">
        <v>7.8893623418703872E-5</v>
      </c>
      <c r="R720" s="27">
        <v>1.0327448281448544</v>
      </c>
      <c r="S720" s="154"/>
      <c r="T720">
        <v>0.93896474273582298</v>
      </c>
      <c r="U720">
        <v>2.247930376675662</v>
      </c>
      <c r="V720">
        <v>3.0693398973118668</v>
      </c>
      <c r="W720">
        <v>1</v>
      </c>
      <c r="Y720" s="2">
        <v>788.13377655235911</v>
      </c>
      <c r="Z720" s="2">
        <v>1561.4305127836124</v>
      </c>
      <c r="AA720" s="2">
        <v>66.547698586774814</v>
      </c>
      <c r="AB720" s="2">
        <v>5386.5004365124478</v>
      </c>
      <c r="AC720" s="2">
        <v>745.88943339616355</v>
      </c>
      <c r="AD720" s="2">
        <v>173.49583980924609</v>
      </c>
      <c r="AE720" s="2">
        <v>546.13855737999768</v>
      </c>
      <c r="AF720" s="2">
        <v>886.85812623245647</v>
      </c>
      <c r="AG720" s="2">
        <v>98.735693226030477</v>
      </c>
      <c r="AH720" s="2">
        <v>410.01498097771923</v>
      </c>
      <c r="AI720" s="2">
        <v>392826.20022218325</v>
      </c>
      <c r="AJ720" s="2">
        <v>359151.0241861039</v>
      </c>
      <c r="AL720" s="27">
        <v>0.91763023910645725</v>
      </c>
      <c r="AM720" s="27">
        <v>0.92089617469143137</v>
      </c>
      <c r="AN720" s="27">
        <v>0.90903131238237211</v>
      </c>
      <c r="AO720" s="27">
        <v>0.83096751694643811</v>
      </c>
      <c r="AP720" s="27">
        <v>0.57348321131685875</v>
      </c>
      <c r="AQ720" s="27">
        <v>0.91763023910645725</v>
      </c>
      <c r="AR720" s="27">
        <v>0.92089617469143137</v>
      </c>
      <c r="AS720" s="27">
        <v>0.90903131238237211</v>
      </c>
      <c r="AT720" s="27">
        <v>0.83096751694643811</v>
      </c>
      <c r="AU720" s="27">
        <v>0.57348321131685875</v>
      </c>
      <c r="AW720" s="1">
        <v>13.57560586748026</v>
      </c>
      <c r="AX720" s="1">
        <v>16.160041622745641</v>
      </c>
      <c r="AY720" s="2">
        <v>1596654.2170542243</v>
      </c>
      <c r="AZ720" s="1">
        <v>15.297910429225144</v>
      </c>
      <c r="BA720" s="1">
        <v>17.66852300178374</v>
      </c>
      <c r="BB720" s="2">
        <v>1226463.1585598276</v>
      </c>
      <c r="BC720" s="2">
        <f t="shared" si="84"/>
        <v>-370191.05849439674</v>
      </c>
      <c r="BD720" s="292">
        <f t="shared" si="85"/>
        <v>1.7223045617448847</v>
      </c>
      <c r="BF720" s="170">
        <f t="shared" si="80"/>
        <v>575442.7217426172</v>
      </c>
      <c r="BG720" s="2">
        <f t="shared" si="81"/>
        <v>1221202.5101161953</v>
      </c>
      <c r="BI720">
        <f t="shared" si="82"/>
        <v>0</v>
      </c>
      <c r="BJ720" s="95">
        <f t="shared" si="83"/>
        <v>1</v>
      </c>
      <c r="BP720" s="217">
        <f t="shared" si="86"/>
        <v>1221202.5101161953</v>
      </c>
    </row>
    <row r="721" spans="1:68">
      <c r="A721" s="11">
        <v>715</v>
      </c>
      <c r="C721" s="27">
        <v>0.92217309216161936</v>
      </c>
      <c r="D721" s="27">
        <v>7.7826907838380643E-2</v>
      </c>
      <c r="E721" s="27">
        <v>0</v>
      </c>
      <c r="F721" s="27">
        <v>0.85439107639570722</v>
      </c>
      <c r="G721" s="27">
        <v>0.14560892360429278</v>
      </c>
      <c r="H721" s="27">
        <v>0</v>
      </c>
      <c r="I721" s="27">
        <v>0.7499627671482697</v>
      </c>
      <c r="J721" s="27">
        <v>0.2500372328517303</v>
      </c>
      <c r="K721" s="27">
        <v>0</v>
      </c>
      <c r="L721" s="27">
        <v>9.6223445326737989E-2</v>
      </c>
      <c r="M721" s="27">
        <v>0.50656112722415048</v>
      </c>
      <c r="N721" s="27">
        <v>0.39721542744911154</v>
      </c>
      <c r="O721" s="27">
        <v>-11.084007860533175</v>
      </c>
      <c r="P721" s="27">
        <v>3.4349558798476156E-2</v>
      </c>
      <c r="Q721" s="27">
        <v>6.4986799650205119E-5</v>
      </c>
      <c r="R721" s="27">
        <v>1.0618438565992208</v>
      </c>
      <c r="S721" s="154"/>
      <c r="T721">
        <v>0.96558690373502076</v>
      </c>
      <c r="U721">
        <v>2.1948890287139835</v>
      </c>
      <c r="V721">
        <v>2.9676182497552128</v>
      </c>
      <c r="W721">
        <v>1</v>
      </c>
      <c r="Y721" s="2">
        <v>985.37977195080623</v>
      </c>
      <c r="Z721" s="2">
        <v>1719.1749296851826</v>
      </c>
      <c r="AA721" s="2">
        <v>618.62322256011896</v>
      </c>
      <c r="AB721" s="2">
        <v>856.44299381658527</v>
      </c>
      <c r="AC721" s="2">
        <v>990.45272859304566</v>
      </c>
      <c r="AD721" s="2">
        <v>379.77774460285644</v>
      </c>
      <c r="AE721" s="2">
        <v>526.45584314694918</v>
      </c>
      <c r="AF721" s="2">
        <v>1125.0624752487793</v>
      </c>
      <c r="AG721" s="2">
        <v>116.32666528251714</v>
      </c>
      <c r="AH721" s="2">
        <v>493.62336911914531</v>
      </c>
      <c r="AI721" s="2">
        <v>464033.58056141285</v>
      </c>
      <c r="AJ721" s="2">
        <v>440236.0571587953</v>
      </c>
      <c r="AL721" s="27">
        <v>0.91326356041569812</v>
      </c>
      <c r="AM721" s="27">
        <v>0.9162475307957626</v>
      </c>
      <c r="AN721" s="27">
        <v>0.91179135900309571</v>
      </c>
      <c r="AO721" s="27">
        <v>0.85864113311199308</v>
      </c>
      <c r="AP721" s="27">
        <v>0.66799646482951269</v>
      </c>
      <c r="AQ721" s="27">
        <v>0.91326356041569812</v>
      </c>
      <c r="AR721" s="27">
        <v>0.9162475307957626</v>
      </c>
      <c r="AS721" s="27">
        <v>0.91179135900309571</v>
      </c>
      <c r="AT721" s="27">
        <v>0.85864113311199308</v>
      </c>
      <c r="AU721" s="27">
        <v>0.66799646482951269</v>
      </c>
      <c r="AW721" s="1">
        <v>13.462943323714523</v>
      </c>
      <c r="AX721" s="1">
        <v>15.62379781657609</v>
      </c>
      <c r="AY721" s="2">
        <v>1770809.6570035678</v>
      </c>
      <c r="AZ721" s="1">
        <v>15.206092878559669</v>
      </c>
      <c r="BA721" s="1">
        <v>17.287414483933929</v>
      </c>
      <c r="BB721" s="2">
        <v>1289300.6010840936</v>
      </c>
      <c r="BC721" s="2">
        <f t="shared" si="84"/>
        <v>-481509.05591947422</v>
      </c>
      <c r="BD721" s="292">
        <f t="shared" si="85"/>
        <v>1.7431495548451466</v>
      </c>
      <c r="BF721" s="170">
        <f t="shared" si="80"/>
        <v>383261.27479075571</v>
      </c>
      <c r="BG721" s="2">
        <f t="shared" si="81"/>
        <v>1143674.2594854534</v>
      </c>
      <c r="BI721">
        <f t="shared" si="82"/>
        <v>0</v>
      </c>
      <c r="BJ721" s="95">
        <f t="shared" si="83"/>
        <v>1</v>
      </c>
      <c r="BP721" s="217">
        <f t="shared" si="86"/>
        <v>1143674.2594854534</v>
      </c>
    </row>
    <row r="722" spans="1:68">
      <c r="A722" s="11">
        <v>716</v>
      </c>
      <c r="C722" s="27">
        <v>0.92450141354425985</v>
      </c>
      <c r="D722" s="27">
        <v>7.5498586455740105E-2</v>
      </c>
      <c r="E722" s="27">
        <v>0</v>
      </c>
      <c r="F722" s="27">
        <v>0.85867066023259109</v>
      </c>
      <c r="G722" s="27">
        <v>0.14132933976740886</v>
      </c>
      <c r="H722" s="27">
        <v>0</v>
      </c>
      <c r="I722" s="27">
        <v>0.75074495962415699</v>
      </c>
      <c r="J722" s="27">
        <v>0.24925504037584298</v>
      </c>
      <c r="K722" s="27">
        <v>0</v>
      </c>
      <c r="L722" s="27">
        <v>7.2838944824692997E-2</v>
      </c>
      <c r="M722" s="27">
        <v>0.512577580861591</v>
      </c>
      <c r="N722" s="27">
        <v>0.414583474313716</v>
      </c>
      <c r="O722" s="27">
        <v>-11.089939532233773</v>
      </c>
      <c r="P722" s="27">
        <v>3.3916282373106989E-2</v>
      </c>
      <c r="Q722" s="27">
        <v>6.3437481994212645E-5</v>
      </c>
      <c r="R722" s="27">
        <v>1.0695248521259852</v>
      </c>
      <c r="S722" s="154"/>
      <c r="T722">
        <v>0.97374715304850723</v>
      </c>
      <c r="U722">
        <v>2.2358953342719685</v>
      </c>
      <c r="V722">
        <v>3.0625710396061452</v>
      </c>
      <c r="W722">
        <v>1</v>
      </c>
      <c r="Y722" s="2">
        <v>1230.1556935594158</v>
      </c>
      <c r="Z722" s="2">
        <v>1258.9410593170242</v>
      </c>
      <c r="AA722" s="2">
        <v>1350.5766488322397</v>
      </c>
      <c r="AB722" s="2">
        <v>4750.8669326793615</v>
      </c>
      <c r="AC722" s="2">
        <v>81.762554872532391</v>
      </c>
      <c r="AD722" s="2">
        <v>326.51978408583125</v>
      </c>
      <c r="AE722" s="2">
        <v>511.35927183590974</v>
      </c>
      <c r="AF722" s="2">
        <v>1062.3191016058736</v>
      </c>
      <c r="AG722" s="2">
        <v>99.441385363657801</v>
      </c>
      <c r="AH722" s="2">
        <v>440.95821965916105</v>
      </c>
      <c r="AI722" s="2">
        <v>656609.33889642823</v>
      </c>
      <c r="AJ722" s="2">
        <v>624416.5183772922</v>
      </c>
      <c r="AL722" s="27">
        <v>0.91875123825455796</v>
      </c>
      <c r="AM722" s="27">
        <v>0.91763561939593274</v>
      </c>
      <c r="AN722" s="27">
        <v>0.90380706484041995</v>
      </c>
      <c r="AO722" s="27">
        <v>0.92432502664638205</v>
      </c>
      <c r="AP722" s="27">
        <v>0.72936416077108468</v>
      </c>
      <c r="AQ722" s="27">
        <v>0.91875123825455796</v>
      </c>
      <c r="AR722" s="27">
        <v>0.91763561939593274</v>
      </c>
      <c r="AS722" s="27">
        <v>0.90380706484041995</v>
      </c>
      <c r="AT722" s="27">
        <v>0.92432502664638205</v>
      </c>
      <c r="AU722" s="27">
        <v>0.72936416077108468</v>
      </c>
      <c r="AW722" s="1">
        <v>13.725261594895544</v>
      </c>
      <c r="AX722" s="1">
        <v>15.576800844514795</v>
      </c>
      <c r="AY722" s="2">
        <v>2369610.7293770108</v>
      </c>
      <c r="AZ722" s="1">
        <v>15.470549452227752</v>
      </c>
      <c r="BA722" s="1">
        <v>17.317985645072234</v>
      </c>
      <c r="BB722" s="2">
        <v>1780906.6396440901</v>
      </c>
      <c r="BC722" s="2">
        <f t="shared" si="84"/>
        <v>-588704.08973292075</v>
      </c>
      <c r="BD722" s="292">
        <f t="shared" si="85"/>
        <v>1.7452878573322081</v>
      </c>
      <c r="BF722" s="170">
        <f t="shared" si="80"/>
        <v>-173568.87419372378</v>
      </c>
      <c r="BG722" s="2">
        <f t="shared" si="81"/>
        <v>694381.27271235036</v>
      </c>
      <c r="BI722">
        <f t="shared" si="82"/>
        <v>0</v>
      </c>
      <c r="BJ722" s="95">
        <f t="shared" si="83"/>
        <v>1</v>
      </c>
      <c r="BP722" s="217">
        <f t="shared" si="86"/>
        <v>694381.27271235036</v>
      </c>
    </row>
    <row r="723" spans="1:68">
      <c r="A723" s="11">
        <v>717</v>
      </c>
      <c r="C723" s="27">
        <v>0.92714272081583293</v>
      </c>
      <c r="D723" s="27">
        <v>7.2857279184167123E-2</v>
      </c>
      <c r="E723" s="27">
        <v>0</v>
      </c>
      <c r="F723" s="27">
        <v>0.85667219114422477</v>
      </c>
      <c r="G723" s="27">
        <v>0.14332780885577523</v>
      </c>
      <c r="H723" s="27">
        <v>0</v>
      </c>
      <c r="I723" s="27">
        <v>0.75163458629565805</v>
      </c>
      <c r="J723" s="27">
        <v>0.24836541370434193</v>
      </c>
      <c r="K723" s="27">
        <v>0</v>
      </c>
      <c r="L723" s="27">
        <v>0.13275155128710575</v>
      </c>
      <c r="M723" s="27">
        <v>0.49722431251715798</v>
      </c>
      <c r="N723" s="27">
        <v>0.37002413619573621</v>
      </c>
      <c r="O723" s="27">
        <v>-11.360995837100559</v>
      </c>
      <c r="P723" s="27">
        <v>3.5439317323855898E-2</v>
      </c>
      <c r="Q723" s="27">
        <v>5.1571337763923213E-5</v>
      </c>
      <c r="R723" s="27">
        <v>1.0976171538504764</v>
      </c>
      <c r="S723" s="154"/>
      <c r="T723">
        <v>0.91614643517207983</v>
      </c>
      <c r="U723">
        <v>2.2361351657049759</v>
      </c>
      <c r="V723">
        <v>2.8069699704828301</v>
      </c>
      <c r="W723">
        <v>1</v>
      </c>
      <c r="Y723" s="2">
        <v>562.99715642037108</v>
      </c>
      <c r="Z723" s="2">
        <v>11611.798249352974</v>
      </c>
      <c r="AA723" s="2">
        <v>1394.0759115017779</v>
      </c>
      <c r="AB723" s="2">
        <v>10890.182196379494</v>
      </c>
      <c r="AC723" s="2">
        <v>514.37616109647479</v>
      </c>
      <c r="AD723" s="2">
        <v>1963.5993049608353</v>
      </c>
      <c r="AE723" s="2">
        <v>579.60755002138978</v>
      </c>
      <c r="AF723" s="2">
        <v>895.56310086652331</v>
      </c>
      <c r="AG723" s="2">
        <v>81.381193039694253</v>
      </c>
      <c r="AH723" s="2">
        <v>497.93914129494851</v>
      </c>
      <c r="AI723" s="2">
        <v>498515.9570356349</v>
      </c>
      <c r="AJ723" s="2">
        <v>469723.64784137043</v>
      </c>
      <c r="AL723" s="27">
        <v>0.91115312160380457</v>
      </c>
      <c r="AM723" s="27">
        <v>0.91786910044699166</v>
      </c>
      <c r="AN723" s="27">
        <v>0.90405944209453626</v>
      </c>
      <c r="AO723" s="27">
        <v>0.886265884333163</v>
      </c>
      <c r="AP723" s="27">
        <v>0.67913380423267777</v>
      </c>
      <c r="AQ723" s="27">
        <v>0.91115312160380457</v>
      </c>
      <c r="AR723" s="27">
        <v>0.91786910044699166</v>
      </c>
      <c r="AS723" s="27">
        <v>0.90405944209453626</v>
      </c>
      <c r="AT723" s="27">
        <v>0.886265884333163</v>
      </c>
      <c r="AU723" s="27">
        <v>0.67913380423267777</v>
      </c>
      <c r="AW723" s="1">
        <v>13.846303372822748</v>
      </c>
      <c r="AX723" s="1">
        <v>15.945643901713419</v>
      </c>
      <c r="AY723" s="2">
        <v>1857966.1157642917</v>
      </c>
      <c r="AZ723" s="1">
        <v>15.372220182713811</v>
      </c>
      <c r="BA723" s="1">
        <v>17.42144716361069</v>
      </c>
      <c r="BB723" s="2">
        <v>1491456.2743881636</v>
      </c>
      <c r="BC723" s="2">
        <f t="shared" si="84"/>
        <v>-366509.84137612814</v>
      </c>
      <c r="BD723" s="292">
        <f t="shared" si="85"/>
        <v>1.5259168098910632</v>
      </c>
      <c r="BF723" s="170">
        <f t="shared" si="80"/>
        <v>357442.42388734804</v>
      </c>
      <c r="BG723" s="2">
        <f t="shared" si="81"/>
        <v>968098.95484604617</v>
      </c>
      <c r="BI723">
        <f t="shared" si="82"/>
        <v>0</v>
      </c>
      <c r="BJ723" s="95">
        <f t="shared" si="83"/>
        <v>1</v>
      </c>
      <c r="BP723" s="217">
        <f t="shared" si="86"/>
        <v>968098.95484604617</v>
      </c>
    </row>
    <row r="724" spans="1:68">
      <c r="A724" s="11">
        <v>718</v>
      </c>
      <c r="C724" s="27">
        <v>0.92342412497807391</v>
      </c>
      <c r="D724" s="27">
        <v>7.6575875021926115E-2</v>
      </c>
      <c r="E724" s="27">
        <v>0</v>
      </c>
      <c r="F724" s="27">
        <v>0.85540686152514278</v>
      </c>
      <c r="G724" s="27">
        <v>0.14459313847485722</v>
      </c>
      <c r="H724" s="27">
        <v>0</v>
      </c>
      <c r="I724" s="27">
        <v>0.7614550421744285</v>
      </c>
      <c r="J724" s="27">
        <v>0.23854495782557147</v>
      </c>
      <c r="K724" s="27">
        <v>0</v>
      </c>
      <c r="L724" s="27">
        <v>0.17203767340250242</v>
      </c>
      <c r="M724" s="27">
        <v>0.50970799983261728</v>
      </c>
      <c r="N724" s="27">
        <v>0.3182543267648803</v>
      </c>
      <c r="O724" s="27">
        <v>-11.05126999659276</v>
      </c>
      <c r="P724" s="27">
        <v>3.2647307107816881E-2</v>
      </c>
      <c r="Q724" s="27">
        <v>6.2516308574728536E-5</v>
      </c>
      <c r="R724" s="27">
        <v>1.0753138924397441</v>
      </c>
      <c r="S724" s="154"/>
      <c r="T724">
        <v>1.1212969579215029</v>
      </c>
      <c r="U724">
        <v>2.3032668217399181</v>
      </c>
      <c r="V724">
        <v>3.0851318423768035</v>
      </c>
      <c r="W724">
        <v>1</v>
      </c>
      <c r="Y724" s="2">
        <v>1731.0832845352229</v>
      </c>
      <c r="Z724" s="2">
        <v>1598.1976964977282</v>
      </c>
      <c r="AA724" s="2">
        <v>2123.9905710707203</v>
      </c>
      <c r="AB724" s="2">
        <v>2425.3830993454003</v>
      </c>
      <c r="AC724" s="2">
        <v>899.39138275964046</v>
      </c>
      <c r="AD724" s="2">
        <v>116.12353037578534</v>
      </c>
      <c r="AE724" s="2">
        <v>641.42491060789405</v>
      </c>
      <c r="AF724" s="2">
        <v>826.85856507768051</v>
      </c>
      <c r="AG724" s="2">
        <v>112.37978957304651</v>
      </c>
      <c r="AH724" s="2">
        <v>468.84954198248698</v>
      </c>
      <c r="AI724" s="2">
        <v>561065.31384577055</v>
      </c>
      <c r="AJ724" s="2">
        <v>530659.04740798962</v>
      </c>
      <c r="AL724" s="27">
        <v>0.91573226343706593</v>
      </c>
      <c r="AM724" s="27">
        <v>0.92316504651374709</v>
      </c>
      <c r="AN724" s="27">
        <v>0.91527380930127988</v>
      </c>
      <c r="AO724" s="27">
        <v>0.88649625488743977</v>
      </c>
      <c r="AP724" s="27">
        <v>0.68308872483403216</v>
      </c>
      <c r="AQ724" s="27">
        <v>0.91573226343706593</v>
      </c>
      <c r="AR724" s="27">
        <v>0.92316504651374709</v>
      </c>
      <c r="AS724" s="27">
        <v>0.91527380930127988</v>
      </c>
      <c r="AT724" s="27">
        <v>0.88649625488743977</v>
      </c>
      <c r="AU724" s="27">
        <v>0.68308872483403216</v>
      </c>
      <c r="AW724" s="1">
        <v>13.313243049419953</v>
      </c>
      <c r="AX724" s="1">
        <v>15.455560040903755</v>
      </c>
      <c r="AY724" s="2">
        <v>2392821.7569782315</v>
      </c>
      <c r="AZ724" s="1">
        <v>15.525136194955675</v>
      </c>
      <c r="BA724" s="1">
        <v>17.545775475277381</v>
      </c>
      <c r="BB724" s="2">
        <v>1630625.2392610628</v>
      </c>
      <c r="BC724" s="2">
        <f t="shared" si="84"/>
        <v>-762196.51771716867</v>
      </c>
      <c r="BD724" s="292">
        <f t="shared" si="85"/>
        <v>2.211893145535722</v>
      </c>
      <c r="BF724" s="170">
        <f t="shared" si="80"/>
        <v>-262702.86907103891</v>
      </c>
      <c r="BG724" s="2">
        <f t="shared" si="81"/>
        <v>853396.55193184502</v>
      </c>
      <c r="BI724">
        <f t="shared" si="82"/>
        <v>0</v>
      </c>
      <c r="BJ724" s="95">
        <f t="shared" si="83"/>
        <v>1</v>
      </c>
      <c r="BP724" s="217">
        <f t="shared" si="86"/>
        <v>853396.55193184502</v>
      </c>
    </row>
    <row r="725" spans="1:68">
      <c r="A725" s="11">
        <v>719</v>
      </c>
      <c r="C725" s="27">
        <v>0.92069128786816024</v>
      </c>
      <c r="D725" s="27">
        <v>7.9308712131839765E-2</v>
      </c>
      <c r="E725" s="27">
        <v>0</v>
      </c>
      <c r="F725" s="27">
        <v>0.85875191650170768</v>
      </c>
      <c r="G725" s="27">
        <v>0.14124808349829235</v>
      </c>
      <c r="H725" s="27">
        <v>0</v>
      </c>
      <c r="I725" s="27">
        <v>0.75307231094786986</v>
      </c>
      <c r="J725" s="27">
        <v>0.24692768905213017</v>
      </c>
      <c r="K725" s="27">
        <v>0</v>
      </c>
      <c r="L725" s="27">
        <v>0.1674719118679972</v>
      </c>
      <c r="M725" s="27">
        <v>0.47044311343556477</v>
      </c>
      <c r="N725" s="27">
        <v>0.36208497469643802</v>
      </c>
      <c r="O725" s="27">
        <v>-11.013765703776864</v>
      </c>
      <c r="P725" s="27">
        <v>3.3682041895454623E-2</v>
      </c>
      <c r="Q725" s="27">
        <v>6.7788367796002485E-5</v>
      </c>
      <c r="R725" s="27">
        <v>1.0623125337879074</v>
      </c>
      <c r="S725" s="154"/>
      <c r="T725">
        <v>0.93999662646063065</v>
      </c>
      <c r="U725">
        <v>2.2839891299574404</v>
      </c>
      <c r="V725">
        <v>2.7451399562020193</v>
      </c>
      <c r="W725">
        <v>1</v>
      </c>
      <c r="Y725" s="2">
        <v>1454.71694028923</v>
      </c>
      <c r="Z725" s="2">
        <v>15386.789063210523</v>
      </c>
      <c r="AA725" s="2">
        <v>64.082275819426727</v>
      </c>
      <c r="AB725" s="2">
        <v>187.19820283234722</v>
      </c>
      <c r="AC725" s="2">
        <v>654.73165647821168</v>
      </c>
      <c r="AD725" s="2">
        <v>340.89775870767147</v>
      </c>
      <c r="AE725" s="2">
        <v>558.48401394144923</v>
      </c>
      <c r="AF725" s="2">
        <v>1087.608007301744</v>
      </c>
      <c r="AG725" s="2">
        <v>55.578238168451122</v>
      </c>
      <c r="AH725" s="2">
        <v>293.49909404657188</v>
      </c>
      <c r="AI725" s="2">
        <v>839514.58316031075</v>
      </c>
      <c r="AJ725" s="2">
        <v>815458.85880673165</v>
      </c>
      <c r="AL725" s="27">
        <v>0.91590919091516432</v>
      </c>
      <c r="AM725" s="27">
        <v>0.91205105922558749</v>
      </c>
      <c r="AN725" s="27">
        <v>0.90834966519525073</v>
      </c>
      <c r="AO725" s="27">
        <v>0.85764592430375897</v>
      </c>
      <c r="AP725" s="27">
        <v>0.58416739377844151</v>
      </c>
      <c r="AQ725" s="27">
        <v>0.91590919091516432</v>
      </c>
      <c r="AR725" s="27">
        <v>0.91205105922558749</v>
      </c>
      <c r="AS725" s="27">
        <v>0.90834966519525073</v>
      </c>
      <c r="AT725" s="27">
        <v>0.85764592430375897</v>
      </c>
      <c r="AU725" s="27">
        <v>0.58416739377844151</v>
      </c>
      <c r="AW725" s="1">
        <v>13.290625153135405</v>
      </c>
      <c r="AX725" s="1">
        <v>15.688700650757436</v>
      </c>
      <c r="AY725" s="2">
        <v>3340233.2548865662</v>
      </c>
      <c r="AZ725" s="1">
        <v>15.048707113479473</v>
      </c>
      <c r="BA725" s="1">
        <v>17.313754770308901</v>
      </c>
      <c r="BB725" s="2">
        <v>2270365.2944636797</v>
      </c>
      <c r="BC725" s="2">
        <f t="shared" si="84"/>
        <v>-1069867.9604228865</v>
      </c>
      <c r="BD725" s="292">
        <f t="shared" si="85"/>
        <v>1.7580819603440681</v>
      </c>
      <c r="BF725" s="170">
        <f t="shared" si="80"/>
        <v>-1213733.2303849012</v>
      </c>
      <c r="BG725" s="2">
        <f t="shared" si="81"/>
        <v>137427.84369303612</v>
      </c>
      <c r="BI725">
        <f t="shared" si="82"/>
        <v>0</v>
      </c>
      <c r="BJ725" s="95">
        <f t="shared" si="83"/>
        <v>1</v>
      </c>
      <c r="BP725" s="217">
        <f t="shared" si="86"/>
        <v>137427.84369303612</v>
      </c>
    </row>
    <row r="726" spans="1:68">
      <c r="A726" s="11">
        <v>720</v>
      </c>
      <c r="C726" s="27">
        <v>0.92614152642989589</v>
      </c>
      <c r="D726" s="27">
        <v>7.3858473570104152E-2</v>
      </c>
      <c r="E726" s="27">
        <v>0</v>
      </c>
      <c r="F726" s="27">
        <v>0.86162029835607079</v>
      </c>
      <c r="G726" s="27">
        <v>0.13837970164392918</v>
      </c>
      <c r="H726" s="27">
        <v>0</v>
      </c>
      <c r="I726" s="27">
        <v>0.7531991963600394</v>
      </c>
      <c r="J726" s="27">
        <v>0.24680080363996063</v>
      </c>
      <c r="K726" s="27">
        <v>0</v>
      </c>
      <c r="L726" s="27">
        <v>7.6252462183930891E-2</v>
      </c>
      <c r="M726" s="27">
        <v>0.49496941598605193</v>
      </c>
      <c r="N726" s="27">
        <v>0.42877812183001718</v>
      </c>
      <c r="O726" s="27">
        <v>-10.962814492310164</v>
      </c>
      <c r="P726" s="27">
        <v>3.2084974518371542E-2</v>
      </c>
      <c r="Q726" s="27">
        <v>6.670400495525847E-5</v>
      </c>
      <c r="R726" s="27">
        <v>1.071393879174372</v>
      </c>
      <c r="S726" s="154"/>
      <c r="T726">
        <v>0.9405962323572139</v>
      </c>
      <c r="U726">
        <v>2.2197041945013289</v>
      </c>
      <c r="V726">
        <v>2.9089672916442773</v>
      </c>
      <c r="W726">
        <v>1</v>
      </c>
      <c r="Y726" s="2">
        <v>873.98347565188237</v>
      </c>
      <c r="Z726" s="2">
        <v>4186.2423843492852</v>
      </c>
      <c r="AA726" s="2">
        <v>307.80659775914341</v>
      </c>
      <c r="AB726" s="2">
        <v>1209.0117940545888</v>
      </c>
      <c r="AC726" s="2">
        <v>252.31049472609365</v>
      </c>
      <c r="AD726" s="2">
        <v>23.677365638263971</v>
      </c>
      <c r="AE726" s="2">
        <v>495.09287025658159</v>
      </c>
      <c r="AF726" s="2">
        <v>1255.4934605987767</v>
      </c>
      <c r="AG726" s="2">
        <v>150.82488741735804</v>
      </c>
      <c r="AH726" s="2">
        <v>298.73340325993235</v>
      </c>
      <c r="AI726" s="2">
        <v>493716.14783412626</v>
      </c>
      <c r="AJ726" s="2">
        <v>451429.30681802344</v>
      </c>
      <c r="AL726" s="27">
        <v>0.91794478669856883</v>
      </c>
      <c r="AM726" s="27">
        <v>0.9117476393557451</v>
      </c>
      <c r="AN726" s="27">
        <v>0.90789227999714295</v>
      </c>
      <c r="AO726" s="27">
        <v>0.88019945344779249</v>
      </c>
      <c r="AP726" s="27">
        <v>0.56858020385257579</v>
      </c>
      <c r="AQ726" s="27">
        <v>0.91794478669856883</v>
      </c>
      <c r="AR726" s="27">
        <v>0.9117476393557451</v>
      </c>
      <c r="AS726" s="27">
        <v>0.90789227999714295</v>
      </c>
      <c r="AT726" s="27">
        <v>0.88019945344779249</v>
      </c>
      <c r="AU726" s="27">
        <v>0.56858020385257579</v>
      </c>
      <c r="AW726" s="1">
        <v>13.347282993097282</v>
      </c>
      <c r="AX726" s="1">
        <v>15.638623854867319</v>
      </c>
      <c r="AY726" s="2">
        <v>1610919.2111702918</v>
      </c>
      <c r="AZ726" s="1">
        <v>15.10814999885654</v>
      </c>
      <c r="BA726" s="1">
        <v>17.289373581801563</v>
      </c>
      <c r="BB726" s="2">
        <v>1154298.6549772464</v>
      </c>
      <c r="BC726" s="2">
        <f t="shared" si="84"/>
        <v>-456620.55619304534</v>
      </c>
      <c r="BD726" s="292">
        <f t="shared" si="85"/>
        <v>1.7608670057592573</v>
      </c>
      <c r="BF726" s="170">
        <f t="shared" si="80"/>
        <v>524646.06772527355</v>
      </c>
      <c r="BG726" s="2">
        <f t="shared" si="81"/>
        <v>1263005.3448397999</v>
      </c>
      <c r="BI726">
        <f t="shared" si="82"/>
        <v>0</v>
      </c>
      <c r="BJ726" s="95">
        <f t="shared" si="83"/>
        <v>1</v>
      </c>
      <c r="BP726" s="217">
        <f t="shared" si="86"/>
        <v>1263005.3448397999</v>
      </c>
    </row>
    <row r="727" spans="1:68">
      <c r="A727" s="11">
        <v>721</v>
      </c>
      <c r="C727" s="27">
        <v>0.92590942049074987</v>
      </c>
      <c r="D727" s="27">
        <v>7.409057950925009E-2</v>
      </c>
      <c r="E727" s="27">
        <v>0</v>
      </c>
      <c r="F727" s="27">
        <v>0.84727214041170262</v>
      </c>
      <c r="G727" s="27">
        <v>0.15272785958829738</v>
      </c>
      <c r="H727" s="27">
        <v>0</v>
      </c>
      <c r="I727" s="27">
        <v>0.75000266069006039</v>
      </c>
      <c r="J727" s="27">
        <v>0.24999733930993961</v>
      </c>
      <c r="K727" s="27">
        <v>0</v>
      </c>
      <c r="L727" s="27">
        <v>0.23412235491507133</v>
      </c>
      <c r="M727" s="27">
        <v>0.43267307434849922</v>
      </c>
      <c r="N727" s="27">
        <v>0.33320457073642945</v>
      </c>
      <c r="O727" s="27">
        <v>-11.097132236368575</v>
      </c>
      <c r="P727" s="27">
        <v>3.6179042424094331E-2</v>
      </c>
      <c r="Q727" s="27">
        <v>6.9262116925007398E-5</v>
      </c>
      <c r="R727" s="27">
        <v>1.0583757434705561</v>
      </c>
      <c r="S727" s="154"/>
      <c r="T727">
        <v>1.0901600281061166</v>
      </c>
      <c r="U727">
        <v>2.2190678838168627</v>
      </c>
      <c r="V727">
        <v>2.6877047270492644</v>
      </c>
      <c r="W727">
        <v>1</v>
      </c>
      <c r="Y727" s="2">
        <v>498.26662906486166</v>
      </c>
      <c r="Z727" s="2">
        <v>4324.0727138543143</v>
      </c>
      <c r="AA727" s="2">
        <v>2744.5015850052637</v>
      </c>
      <c r="AB727" s="2">
        <v>3980.5976996756949</v>
      </c>
      <c r="AC727" s="2">
        <v>38.288027192319525</v>
      </c>
      <c r="AD727" s="2">
        <v>549.43936762469866</v>
      </c>
      <c r="AE727" s="2">
        <v>653.21369203695713</v>
      </c>
      <c r="AF727" s="2">
        <v>863.94858178062498</v>
      </c>
      <c r="AG727" s="2">
        <v>117.73848140832936</v>
      </c>
      <c r="AH727" s="2">
        <v>183.46890284434352</v>
      </c>
      <c r="AI727" s="2">
        <v>644735.98583462986</v>
      </c>
      <c r="AJ727" s="2">
        <v>613929.70090192545</v>
      </c>
      <c r="AL727" s="27">
        <v>0.91326058820667122</v>
      </c>
      <c r="AM727" s="27">
        <v>0.90705452043640589</v>
      </c>
      <c r="AN727" s="27">
        <v>0.90143624593940963</v>
      </c>
      <c r="AO727" s="27">
        <v>0.87287559848889107</v>
      </c>
      <c r="AP727" s="27">
        <v>0.66124526096829062</v>
      </c>
      <c r="AQ727" s="27">
        <v>0.91326058820667122</v>
      </c>
      <c r="AR727" s="27">
        <v>0.90705452043640589</v>
      </c>
      <c r="AS727" s="27">
        <v>0.90143624593940963</v>
      </c>
      <c r="AT727" s="27">
        <v>0.87287559848889107</v>
      </c>
      <c r="AU727" s="27">
        <v>0.66124526096829062</v>
      </c>
      <c r="AW727" s="1">
        <v>13.263510832792454</v>
      </c>
      <c r="AX727" s="1">
        <v>15.473872920883291</v>
      </c>
      <c r="AY727" s="2">
        <v>2514158.0548515515</v>
      </c>
      <c r="AZ727" s="1">
        <v>15.232682147620411</v>
      </c>
      <c r="BA727" s="1">
        <v>17.371304529570153</v>
      </c>
      <c r="BB727" s="2">
        <v>1813836.6549741682</v>
      </c>
      <c r="BC727" s="2">
        <f t="shared" si="84"/>
        <v>-700321.39987738337</v>
      </c>
      <c r="BD727" s="292">
        <f t="shared" si="85"/>
        <v>1.9691713148279568</v>
      </c>
      <c r="BF727" s="170">
        <f t="shared" si="80"/>
        <v>-391996.32160475897</v>
      </c>
      <c r="BG727" s="2">
        <f t="shared" si="81"/>
        <v>623392.48864509771</v>
      </c>
      <c r="BI727">
        <f t="shared" si="82"/>
        <v>0</v>
      </c>
      <c r="BJ727" s="95">
        <f t="shared" si="83"/>
        <v>1</v>
      </c>
      <c r="BP727" s="217">
        <f t="shared" si="86"/>
        <v>623392.48864509771</v>
      </c>
    </row>
    <row r="728" spans="1:68">
      <c r="A728" s="11">
        <v>722</v>
      </c>
      <c r="C728" s="27">
        <v>0.92451769720607657</v>
      </c>
      <c r="D728" s="27">
        <v>7.548230279392347E-2</v>
      </c>
      <c r="E728" s="27">
        <v>0</v>
      </c>
      <c r="F728" s="27">
        <v>0.86285137857231642</v>
      </c>
      <c r="G728" s="27">
        <v>0.13714862142768353</v>
      </c>
      <c r="H728" s="27">
        <v>0</v>
      </c>
      <c r="I728" s="27">
        <v>0.75361438767527766</v>
      </c>
      <c r="J728" s="27">
        <v>0.24638561232472231</v>
      </c>
      <c r="K728" s="27">
        <v>0</v>
      </c>
      <c r="L728" s="27">
        <v>0.23629456962076767</v>
      </c>
      <c r="M728" s="27">
        <v>0.45518813827357518</v>
      </c>
      <c r="N728" s="27">
        <v>0.30851729210565715</v>
      </c>
      <c r="O728" s="27">
        <v>-11.317182151142978</v>
      </c>
      <c r="P728" s="27">
        <v>3.5637389358042414E-2</v>
      </c>
      <c r="Q728" s="27">
        <v>5.433120610111971E-5</v>
      </c>
      <c r="R728" s="27">
        <v>1.0837676604399149</v>
      </c>
      <c r="S728" s="154"/>
      <c r="T728">
        <v>0.99191273937447288</v>
      </c>
      <c r="U728">
        <v>2.1963284386316837</v>
      </c>
      <c r="V728">
        <v>3.1702059205520174</v>
      </c>
      <c r="W728">
        <v>1</v>
      </c>
      <c r="Y728" s="2">
        <v>668.01655006844896</v>
      </c>
      <c r="Z728" s="2">
        <v>6499.6092082154428</v>
      </c>
      <c r="AA728" s="2">
        <v>417.2776733691112</v>
      </c>
      <c r="AB728" s="2">
        <v>5239.8390652256921</v>
      </c>
      <c r="AC728" s="2">
        <v>74.087317758419772</v>
      </c>
      <c r="AD728" s="2">
        <v>3596.4216847881789</v>
      </c>
      <c r="AE728" s="2">
        <v>623.28818383466694</v>
      </c>
      <c r="AF728" s="2">
        <v>1348.9447289505549</v>
      </c>
      <c r="AG728" s="2">
        <v>103.65550439061262</v>
      </c>
      <c r="AH728" s="2">
        <v>443.30339607125859</v>
      </c>
      <c r="AI728" s="2">
        <v>664246.61947504117</v>
      </c>
      <c r="AJ728" s="2">
        <v>632748.52806022507</v>
      </c>
      <c r="AL728" s="27">
        <v>0.91555795846700616</v>
      </c>
      <c r="AM728" s="27">
        <v>0.91326386414685723</v>
      </c>
      <c r="AN728" s="27">
        <v>0.91152747390157218</v>
      </c>
      <c r="AO728" s="27">
        <v>0.85567168156838413</v>
      </c>
      <c r="AP728" s="27">
        <v>0.62475818334902211</v>
      </c>
      <c r="AQ728" s="27">
        <v>0.91555795846700616</v>
      </c>
      <c r="AR728" s="27">
        <v>0.91326386414685723</v>
      </c>
      <c r="AS728" s="27">
        <v>0.91152747390157218</v>
      </c>
      <c r="AT728" s="27">
        <v>0.85567168156838413</v>
      </c>
      <c r="AU728" s="27">
        <v>0.62475818334902211</v>
      </c>
      <c r="AW728" s="1">
        <v>13.558725476984211</v>
      </c>
      <c r="AX728" s="1">
        <v>15.901462354078829</v>
      </c>
      <c r="AY728" s="2">
        <v>2642170.06892164</v>
      </c>
      <c r="AZ728" s="1">
        <v>15.407555937819319</v>
      </c>
      <c r="BA728" s="1">
        <v>17.609725150562419</v>
      </c>
      <c r="BB728" s="2">
        <v>1946094.8752205349</v>
      </c>
      <c r="BC728" s="2">
        <f t="shared" si="84"/>
        <v>-696075.19370110519</v>
      </c>
      <c r="BD728" s="292">
        <f t="shared" si="85"/>
        <v>1.8488304608351083</v>
      </c>
      <c r="BF728" s="170">
        <f t="shared" si="80"/>
        <v>-472773.99260416627</v>
      </c>
      <c r="BG728" s="2">
        <f t="shared" si="81"/>
        <v>519114.07483055629</v>
      </c>
      <c r="BI728">
        <f t="shared" si="82"/>
        <v>0</v>
      </c>
      <c r="BJ728" s="95">
        <f t="shared" si="83"/>
        <v>1</v>
      </c>
      <c r="BP728" s="217">
        <f t="shared" si="86"/>
        <v>519114.07483055629</v>
      </c>
    </row>
    <row r="729" spans="1:68">
      <c r="A729" s="11">
        <v>723</v>
      </c>
      <c r="C729" s="27">
        <v>0.92263226356722339</v>
      </c>
      <c r="D729" s="27">
        <v>7.7367736432776613E-2</v>
      </c>
      <c r="E729" s="27">
        <v>0</v>
      </c>
      <c r="F729" s="27">
        <v>0.85886614612291701</v>
      </c>
      <c r="G729" s="27">
        <v>0.14113385387708305</v>
      </c>
      <c r="H729" s="27">
        <v>0</v>
      </c>
      <c r="I729" s="27">
        <v>0.75284576603315045</v>
      </c>
      <c r="J729" s="27">
        <v>0.24715423396684957</v>
      </c>
      <c r="K729" s="27">
        <v>0</v>
      </c>
      <c r="L729" s="27">
        <v>7.7659368562646436E-2</v>
      </c>
      <c r="M729" s="27">
        <v>0.48958842018733623</v>
      </c>
      <c r="N729" s="27">
        <v>0.43275221125001739</v>
      </c>
      <c r="O729" s="27">
        <v>-11.493341373242167</v>
      </c>
      <c r="P729" s="27">
        <v>3.8725862305752257E-2</v>
      </c>
      <c r="Q729" s="27">
        <v>5.1865581548903935E-5</v>
      </c>
      <c r="R729" s="27">
        <v>1.0848847193522881</v>
      </c>
      <c r="S729" s="154"/>
      <c r="T729">
        <v>1.0409367018640288</v>
      </c>
      <c r="U729">
        <v>2.2705483501868038</v>
      </c>
      <c r="V729">
        <v>3.0746450432330592</v>
      </c>
      <c r="W729">
        <v>1</v>
      </c>
      <c r="Y729" s="2">
        <v>1194.3404081853314</v>
      </c>
      <c r="Z729" s="2">
        <v>3219.587142885483</v>
      </c>
      <c r="AA729" s="2">
        <v>2089.729998646877</v>
      </c>
      <c r="AB729" s="2">
        <v>804.73601714737219</v>
      </c>
      <c r="AC729" s="2">
        <v>34.985184550126107</v>
      </c>
      <c r="AD729" s="2">
        <v>345.91058595834386</v>
      </c>
      <c r="AE729" s="2">
        <v>662.93569274371646</v>
      </c>
      <c r="AF729" s="2">
        <v>762.06178081169514</v>
      </c>
      <c r="AG729" s="2">
        <v>85.855459166435793</v>
      </c>
      <c r="AH729" s="2">
        <v>629.86869838657469</v>
      </c>
      <c r="AI729" s="2">
        <v>749280.18499100441</v>
      </c>
      <c r="AJ729" s="2">
        <v>718074.65141798777</v>
      </c>
      <c r="AL729" s="27">
        <v>0.91730927303346166</v>
      </c>
      <c r="AM729" s="27">
        <v>0.91174285023018253</v>
      </c>
      <c r="AN729" s="27">
        <v>0.91386144129617364</v>
      </c>
      <c r="AO729" s="27">
        <v>0.87400354497412047</v>
      </c>
      <c r="AP729" s="27">
        <v>0.67573438719190038</v>
      </c>
      <c r="AQ729" s="27">
        <v>0.91730927303346166</v>
      </c>
      <c r="AR729" s="27">
        <v>0.91174285023018253</v>
      </c>
      <c r="AS729" s="27">
        <v>0.91386144129617364</v>
      </c>
      <c r="AT729" s="27">
        <v>0.87400354497412047</v>
      </c>
      <c r="AU729" s="27">
        <v>0.67573438719190038</v>
      </c>
      <c r="AW729" s="1">
        <v>13.181791117365067</v>
      </c>
      <c r="AX729" s="1">
        <v>15.234055301915197</v>
      </c>
      <c r="AY729" s="2">
        <v>2814654.8826157581</v>
      </c>
      <c r="AZ729" s="1">
        <v>15.237283344788276</v>
      </c>
      <c r="BA729" s="1">
        <v>17.227461029401621</v>
      </c>
      <c r="BB729" s="2">
        <v>1949552.2570333928</v>
      </c>
      <c r="BC729" s="2">
        <f t="shared" si="84"/>
        <v>-865102.62558236532</v>
      </c>
      <c r="BD729" s="292">
        <f t="shared" si="85"/>
        <v>2.0554922274232084</v>
      </c>
      <c r="BF729" s="170">
        <f t="shared" si="80"/>
        <v>-705568.30383734731</v>
      </c>
      <c r="BG729" s="2">
        <f t="shared" si="81"/>
        <v>488413.07813273137</v>
      </c>
      <c r="BI729">
        <f t="shared" si="82"/>
        <v>0</v>
      </c>
      <c r="BJ729" s="95">
        <f t="shared" si="83"/>
        <v>1</v>
      </c>
      <c r="BP729" s="217">
        <f t="shared" si="86"/>
        <v>488413.07813273137</v>
      </c>
    </row>
    <row r="730" spans="1:68">
      <c r="A730" s="11">
        <v>724</v>
      </c>
      <c r="C730" s="27">
        <v>0.92370095832614507</v>
      </c>
      <c r="D730" s="27">
        <v>7.6299041673854956E-2</v>
      </c>
      <c r="E730" s="27">
        <v>0</v>
      </c>
      <c r="F730" s="27">
        <v>0.86017336305314562</v>
      </c>
      <c r="G730" s="27">
        <v>0.13982663694685435</v>
      </c>
      <c r="H730" s="27">
        <v>0</v>
      </c>
      <c r="I730" s="27">
        <v>0.75073174901312356</v>
      </c>
      <c r="J730" s="27">
        <v>0.24926825098687641</v>
      </c>
      <c r="K730" s="27">
        <v>0</v>
      </c>
      <c r="L730" s="27">
        <v>0.11852780383835948</v>
      </c>
      <c r="M730" s="27">
        <v>0.50546063547205877</v>
      </c>
      <c r="N730" s="27">
        <v>0.37601156068958175</v>
      </c>
      <c r="O730" s="27">
        <v>-11.620394435485467</v>
      </c>
      <c r="P730" s="27">
        <v>3.7921327355029365E-2</v>
      </c>
      <c r="Q730" s="27">
        <v>4.4159667450892314E-5</v>
      </c>
      <c r="R730" s="27">
        <v>1.1010731529850837</v>
      </c>
      <c r="S730" s="154"/>
      <c r="T730">
        <v>1.0122913446136328</v>
      </c>
      <c r="U730">
        <v>2.2644741720799764</v>
      </c>
      <c r="V730">
        <v>2.9419334279456213</v>
      </c>
      <c r="W730">
        <v>1</v>
      </c>
      <c r="Y730" s="2">
        <v>1351.9158576844536</v>
      </c>
      <c r="Z730" s="2">
        <v>2500.591308035323</v>
      </c>
      <c r="AA730" s="2">
        <v>402.51381853179424</v>
      </c>
      <c r="AB730" s="2">
        <v>369.29885515868153</v>
      </c>
      <c r="AC730" s="2">
        <v>51.853964300326737</v>
      </c>
      <c r="AD730" s="2">
        <v>5543.8054663913726</v>
      </c>
      <c r="AE730" s="2">
        <v>603.48081138771875</v>
      </c>
      <c r="AF730" s="2">
        <v>1265.0870738074022</v>
      </c>
      <c r="AG730" s="2">
        <v>73.434252645044779</v>
      </c>
      <c r="AH730" s="2">
        <v>564.36281777267357</v>
      </c>
      <c r="AI730" s="2">
        <v>536824.88563695806</v>
      </c>
      <c r="AJ730" s="2">
        <v>492560.38908409979</v>
      </c>
      <c r="AL730" s="27">
        <v>0.91334853897171875</v>
      </c>
      <c r="AM730" s="27">
        <v>0.91522008550690359</v>
      </c>
      <c r="AN730" s="27">
        <v>0.90811455108440353</v>
      </c>
      <c r="AO730" s="27">
        <v>0.84783288820847091</v>
      </c>
      <c r="AP730" s="27">
        <v>0.72259503292344607</v>
      </c>
      <c r="AQ730" s="27">
        <v>0.91334853897171875</v>
      </c>
      <c r="AR730" s="27">
        <v>0.91522008550690359</v>
      </c>
      <c r="AS730" s="27">
        <v>0.90811455108440353</v>
      </c>
      <c r="AT730" s="27">
        <v>0.84783288820847091</v>
      </c>
      <c r="AU730" s="27">
        <v>0.72259503292344607</v>
      </c>
      <c r="AW730" s="1">
        <v>13.629056684220011</v>
      </c>
      <c r="AX730" s="1">
        <v>15.652793191566088</v>
      </c>
      <c r="AY730" s="2">
        <v>2047041.7447835894</v>
      </c>
      <c r="AZ730" s="1">
        <v>15.463820493062419</v>
      </c>
      <c r="BA730" s="1">
        <v>17.446583450267628</v>
      </c>
      <c r="BB730" s="2">
        <v>1509739.0239539347</v>
      </c>
      <c r="BC730" s="2">
        <f t="shared" si="84"/>
        <v>-537302.72082965472</v>
      </c>
      <c r="BD730" s="292">
        <f t="shared" si="85"/>
        <v>1.8347638088424087</v>
      </c>
      <c r="BF730" s="170">
        <f t="shared" si="80"/>
        <v>133607.32469161251</v>
      </c>
      <c r="BG730" s="2">
        <f t="shared" si="81"/>
        <v>964472.25493605249</v>
      </c>
      <c r="BI730">
        <f t="shared" si="82"/>
        <v>0</v>
      </c>
      <c r="BJ730" s="95">
        <f t="shared" si="83"/>
        <v>1</v>
      </c>
      <c r="BP730" s="217">
        <f t="shared" si="86"/>
        <v>964472.25493605249</v>
      </c>
    </row>
    <row r="731" spans="1:68">
      <c r="A731" s="11">
        <v>725</v>
      </c>
      <c r="C731" s="27">
        <v>0.92246015272814585</v>
      </c>
      <c r="D731" s="27">
        <v>7.7539847271854145E-2</v>
      </c>
      <c r="E731" s="27">
        <v>0</v>
      </c>
      <c r="F731" s="27">
        <v>0.86129647413174681</v>
      </c>
      <c r="G731" s="27">
        <v>0.13870352586825319</v>
      </c>
      <c r="H731" s="27">
        <v>0</v>
      </c>
      <c r="I731" s="27">
        <v>0.75188962423915395</v>
      </c>
      <c r="J731" s="27">
        <v>0.2481103757608461</v>
      </c>
      <c r="K731" s="27">
        <v>0</v>
      </c>
      <c r="L731" s="27">
        <v>0.1561605033229902</v>
      </c>
      <c r="M731" s="27">
        <v>0.47556142003986701</v>
      </c>
      <c r="N731" s="27">
        <v>0.36827807663714279</v>
      </c>
      <c r="O731" s="27">
        <v>-10.881593883387593</v>
      </c>
      <c r="P731" s="27">
        <v>3.2671405253692012E-2</v>
      </c>
      <c r="Q731" s="27">
        <v>7.4151900240283065E-5</v>
      </c>
      <c r="R731" s="27">
        <v>1.0506830816388761</v>
      </c>
      <c r="S731" s="154"/>
      <c r="T731">
        <v>0.97318740175475948</v>
      </c>
      <c r="U731">
        <v>2.277820294934342</v>
      </c>
      <c r="V731">
        <v>2.8991665641192883</v>
      </c>
      <c r="W731">
        <v>1</v>
      </c>
      <c r="Y731" s="2">
        <v>508.52734684283138</v>
      </c>
      <c r="Z731" s="2">
        <v>3400.9820082625829</v>
      </c>
      <c r="AA731" s="2">
        <v>720.02887921749016</v>
      </c>
      <c r="AB731" s="2">
        <v>5549.5235401032251</v>
      </c>
      <c r="AC731" s="2">
        <v>19.686495496223596</v>
      </c>
      <c r="AD731" s="2">
        <v>373.91743379617714</v>
      </c>
      <c r="AE731" s="2">
        <v>576.99408717600727</v>
      </c>
      <c r="AF731" s="2">
        <v>1254.7661948159696</v>
      </c>
      <c r="AG731" s="2">
        <v>132.20008752858786</v>
      </c>
      <c r="AH731" s="2">
        <v>505.13438244330581</v>
      </c>
      <c r="AI731" s="2">
        <v>465576.70032135525</v>
      </c>
      <c r="AJ731" s="2">
        <v>428392.37339017523</v>
      </c>
      <c r="AL731" s="27">
        <v>0.92194608719358417</v>
      </c>
      <c r="AM731" s="27">
        <v>0.91777765559466928</v>
      </c>
      <c r="AN731" s="27">
        <v>0.91559879560318913</v>
      </c>
      <c r="AO731" s="27">
        <v>0.84372172548310909</v>
      </c>
      <c r="AP731" s="27">
        <v>0.67382199915877439</v>
      </c>
      <c r="AQ731" s="27">
        <v>0.92194608719358417</v>
      </c>
      <c r="AR731" s="27">
        <v>0.91777765559466928</v>
      </c>
      <c r="AS731" s="27">
        <v>0.91559879560318913</v>
      </c>
      <c r="AT731" s="27">
        <v>0.84372172548310909</v>
      </c>
      <c r="AU731" s="27">
        <v>0.67382199915877439</v>
      </c>
      <c r="AW731" s="1">
        <v>13.592660797330202</v>
      </c>
      <c r="AX731" s="1">
        <v>15.657663752272299</v>
      </c>
      <c r="AY731" s="2">
        <v>1713505.1844650772</v>
      </c>
      <c r="AZ731" s="1">
        <v>15.40832708805927</v>
      </c>
      <c r="BA731" s="1">
        <v>17.387967950215085</v>
      </c>
      <c r="BB731" s="2">
        <v>1306230.2921936463</v>
      </c>
      <c r="BC731" s="2">
        <f t="shared" si="84"/>
        <v>-407274.89227143093</v>
      </c>
      <c r="BD731" s="292">
        <f t="shared" si="85"/>
        <v>1.8156662907290677</v>
      </c>
      <c r="BF731" s="170">
        <f t="shared" si="80"/>
        <v>461320.54310775502</v>
      </c>
      <c r="BG731" s="2">
        <f t="shared" si="81"/>
        <v>1159102.0418958368</v>
      </c>
      <c r="BI731">
        <f t="shared" si="82"/>
        <v>0</v>
      </c>
      <c r="BJ731" s="95">
        <f t="shared" si="83"/>
        <v>1</v>
      </c>
      <c r="BP731" s="217">
        <f t="shared" si="86"/>
        <v>1159102.0418958368</v>
      </c>
    </row>
    <row r="732" spans="1:68">
      <c r="A732" s="11">
        <v>726</v>
      </c>
      <c r="C732" s="27">
        <v>0.92153204449782233</v>
      </c>
      <c r="D732" s="27">
        <v>7.8467955502177666E-2</v>
      </c>
      <c r="E732" s="27">
        <v>0</v>
      </c>
      <c r="F732" s="27">
        <v>0.85621974719345706</v>
      </c>
      <c r="G732" s="27">
        <v>0.14378025280654294</v>
      </c>
      <c r="H732" s="27">
        <v>0</v>
      </c>
      <c r="I732" s="27">
        <v>0.76033163720724195</v>
      </c>
      <c r="J732" s="27">
        <v>0.23966836279275811</v>
      </c>
      <c r="K732" s="27">
        <v>0</v>
      </c>
      <c r="L732" s="27">
        <v>0.11853551992845879</v>
      </c>
      <c r="M732" s="27">
        <v>0.5146429628557514</v>
      </c>
      <c r="N732" s="27">
        <v>0.36682151721578982</v>
      </c>
      <c r="O732" s="27">
        <v>-11.175615131227861</v>
      </c>
      <c r="P732" s="27">
        <v>3.2414692330207183E-2</v>
      </c>
      <c r="Q732" s="27">
        <v>5.46698574043269E-5</v>
      </c>
      <c r="R732" s="27">
        <v>1.094514800987298</v>
      </c>
      <c r="S732" s="154"/>
      <c r="T732">
        <v>1.0499043726178376</v>
      </c>
      <c r="U732">
        <v>2.2599309969301364</v>
      </c>
      <c r="V732">
        <v>3.0923178910933458</v>
      </c>
      <c r="W732">
        <v>1</v>
      </c>
      <c r="Y732" s="2">
        <v>848.14464198141991</v>
      </c>
      <c r="Z732" s="2">
        <v>8856.7518006918526</v>
      </c>
      <c r="AA732" s="2">
        <v>195.96482896684043</v>
      </c>
      <c r="AB732" s="2">
        <v>1672.50982549832</v>
      </c>
      <c r="AC732" s="2">
        <v>510.37917677002957</v>
      </c>
      <c r="AD732" s="2">
        <v>1226.0428867869284</v>
      </c>
      <c r="AE732" s="2">
        <v>552.69028247786571</v>
      </c>
      <c r="AF732" s="2">
        <v>1030.143981566252</v>
      </c>
      <c r="AG732" s="2">
        <v>114.98254031423093</v>
      </c>
      <c r="AH732" s="2">
        <v>423.3493703672172</v>
      </c>
      <c r="AI732" s="2">
        <v>513473.42097815115</v>
      </c>
      <c r="AJ732" s="2">
        <v>486875.56442876928</v>
      </c>
      <c r="AL732" s="27">
        <v>0.92289694466940575</v>
      </c>
      <c r="AM732" s="27">
        <v>0.91856057638168398</v>
      </c>
      <c r="AN732" s="27">
        <v>0.90831927107458832</v>
      </c>
      <c r="AO732" s="27">
        <v>0.90043247538840987</v>
      </c>
      <c r="AP732" s="27">
        <v>0.78723970790821851</v>
      </c>
      <c r="AQ732" s="27">
        <v>0.92289694466940575</v>
      </c>
      <c r="AR732" s="27">
        <v>0.91856057638168398</v>
      </c>
      <c r="AS732" s="27">
        <v>0.90831927107458832</v>
      </c>
      <c r="AT732" s="27">
        <v>0.90043247538840987</v>
      </c>
      <c r="AU732" s="27">
        <v>0.78723970790821851</v>
      </c>
      <c r="AW732" s="1">
        <v>13.657463504314219</v>
      </c>
      <c r="AX732" s="1">
        <v>15.317262086334594</v>
      </c>
      <c r="AY732" s="2">
        <v>2090022.2155814697</v>
      </c>
      <c r="AZ732" s="1">
        <v>15.61945754412111</v>
      </c>
      <c r="BA732" s="1">
        <v>17.314958101950229</v>
      </c>
      <c r="BB732" s="2">
        <v>1401139.1178363916</v>
      </c>
      <c r="BC732" s="2">
        <f t="shared" si="84"/>
        <v>-688883.09774507815</v>
      </c>
      <c r="BD732" s="292">
        <f t="shared" si="85"/>
        <v>1.9619940398068909</v>
      </c>
      <c r="BF732" s="170">
        <f t="shared" si="80"/>
        <v>95171.945108805317</v>
      </c>
      <c r="BG732" s="2">
        <f t="shared" si="81"/>
        <v>1097974.0892229858</v>
      </c>
      <c r="BI732">
        <f t="shared" si="82"/>
        <v>0</v>
      </c>
      <c r="BJ732" s="95">
        <f t="shared" si="83"/>
        <v>1</v>
      </c>
      <c r="BP732" s="217">
        <f t="shared" si="86"/>
        <v>1097974.0892229858</v>
      </c>
    </row>
    <row r="733" spans="1:68">
      <c r="A733" s="11">
        <v>727</v>
      </c>
      <c r="C733" s="27">
        <v>0.92382024363865511</v>
      </c>
      <c r="D733" s="27">
        <v>7.6179756361344858E-2</v>
      </c>
      <c r="E733" s="27">
        <v>0</v>
      </c>
      <c r="F733" s="27">
        <v>0.8553280774697315</v>
      </c>
      <c r="G733" s="27">
        <v>0.1446719225302685</v>
      </c>
      <c r="H733" s="27">
        <v>0</v>
      </c>
      <c r="I733" s="27">
        <v>0.74307512852093249</v>
      </c>
      <c r="J733" s="27">
        <v>0.25692487147906751</v>
      </c>
      <c r="K733" s="27">
        <v>0</v>
      </c>
      <c r="L733" s="27">
        <v>7.9439984767566196E-2</v>
      </c>
      <c r="M733" s="27">
        <v>0.51614893421575592</v>
      </c>
      <c r="N733" s="27">
        <v>0.40441108101667789</v>
      </c>
      <c r="O733" s="27">
        <v>-11.488807589472998</v>
      </c>
      <c r="P733" s="27">
        <v>3.4365634702016958E-2</v>
      </c>
      <c r="Q733" s="27">
        <v>4.3382651491671042E-5</v>
      </c>
      <c r="R733" s="27">
        <v>1.1183664118212415</v>
      </c>
      <c r="S733" s="154"/>
      <c r="T733">
        <v>1.0560050679288437</v>
      </c>
      <c r="U733">
        <v>2.2929042466528222</v>
      </c>
      <c r="V733">
        <v>2.7762408185921337</v>
      </c>
      <c r="W733">
        <v>1</v>
      </c>
      <c r="Y733" s="2">
        <v>1037.2012844054939</v>
      </c>
      <c r="Z733" s="2">
        <v>215.16077846514568</v>
      </c>
      <c r="AA733" s="2">
        <v>221.11946778471892</v>
      </c>
      <c r="AB733" s="2">
        <v>15068.049879086182</v>
      </c>
      <c r="AC733" s="2">
        <v>223.28303162564728</v>
      </c>
      <c r="AD733" s="2">
        <v>667.37704072803558</v>
      </c>
      <c r="AE733" s="2">
        <v>561.4751869572292</v>
      </c>
      <c r="AF733" s="2">
        <v>1022.9231701230328</v>
      </c>
      <c r="AG733" s="2">
        <v>177.21716800976154</v>
      </c>
      <c r="AH733" s="2">
        <v>227.36848794317754</v>
      </c>
      <c r="AI733" s="2">
        <v>453366.92143108894</v>
      </c>
      <c r="AJ733" s="2">
        <v>407606.53285347437</v>
      </c>
      <c r="AL733" s="27">
        <v>0.91381479741604621</v>
      </c>
      <c r="AM733" s="27">
        <v>0.91942118718374644</v>
      </c>
      <c r="AN733" s="27">
        <v>0.91719634108020442</v>
      </c>
      <c r="AO733" s="27">
        <v>0.87629920540353101</v>
      </c>
      <c r="AP733" s="27">
        <v>0.6704540252393365</v>
      </c>
      <c r="AQ733" s="27">
        <v>0.91381479741604621</v>
      </c>
      <c r="AR733" s="27">
        <v>0.91942118718374644</v>
      </c>
      <c r="AS733" s="27">
        <v>0.91719634108020442</v>
      </c>
      <c r="AT733" s="27">
        <v>0.87629920540353101</v>
      </c>
      <c r="AU733" s="27">
        <v>0.6704540252393365</v>
      </c>
      <c r="AW733" s="1">
        <v>13.155989631110897</v>
      </c>
      <c r="AX733" s="1">
        <v>15.237929564982233</v>
      </c>
      <c r="AY733" s="2">
        <v>1584530.7838873307</v>
      </c>
      <c r="AZ733" s="1">
        <v>15.193914824492822</v>
      </c>
      <c r="BA733" s="1">
        <v>17.195254462884627</v>
      </c>
      <c r="BB733" s="2">
        <v>1357291.5672345106</v>
      </c>
      <c r="BC733" s="2">
        <f t="shared" si="84"/>
        <v>-227239.21665282012</v>
      </c>
      <c r="BD733" s="292">
        <f t="shared" si="85"/>
        <v>2.0379251933819251</v>
      </c>
      <c r="BF733" s="170">
        <f t="shared" si="80"/>
        <v>520427.55709041259</v>
      </c>
      <c r="BG733" s="2">
        <f t="shared" si="81"/>
        <v>1073734.804684341</v>
      </c>
      <c r="BI733">
        <f t="shared" si="82"/>
        <v>0</v>
      </c>
      <c r="BJ733" s="95">
        <f t="shared" si="83"/>
        <v>1</v>
      </c>
      <c r="BP733" s="217">
        <f t="shared" si="86"/>
        <v>1073734.804684341</v>
      </c>
    </row>
    <row r="734" spans="1:68">
      <c r="A734" s="11">
        <v>728</v>
      </c>
      <c r="C734" s="27">
        <v>0.92233738385428021</v>
      </c>
      <c r="D734" s="27">
        <v>7.7662616145719787E-2</v>
      </c>
      <c r="E734" s="27">
        <v>0</v>
      </c>
      <c r="F734" s="27">
        <v>0.86218123353912524</v>
      </c>
      <c r="G734" s="27">
        <v>0.13781876646087476</v>
      </c>
      <c r="H734" s="27">
        <v>0</v>
      </c>
      <c r="I734" s="27">
        <v>0.75256231148297226</v>
      </c>
      <c r="J734" s="27">
        <v>0.24743768851702772</v>
      </c>
      <c r="K734" s="27">
        <v>0</v>
      </c>
      <c r="L734" s="27">
        <v>0.12470631936787441</v>
      </c>
      <c r="M734" s="27">
        <v>0.54478484862390353</v>
      </c>
      <c r="N734" s="27">
        <v>0.33050883200822206</v>
      </c>
      <c r="O734" s="27">
        <v>-11.392047914345351</v>
      </c>
      <c r="P734" s="27">
        <v>3.7532141409571236E-2</v>
      </c>
      <c r="Q734" s="27">
        <v>5.4587918360707262E-5</v>
      </c>
      <c r="R734" s="27">
        <v>1.0880029317881157</v>
      </c>
      <c r="S734" s="154"/>
      <c r="T734">
        <v>1.0499513730157406</v>
      </c>
      <c r="U734">
        <v>2.297045824439865</v>
      </c>
      <c r="V734">
        <v>2.9472848851161455</v>
      </c>
      <c r="W734">
        <v>1</v>
      </c>
      <c r="Y734" s="2">
        <v>989.06966891501008</v>
      </c>
      <c r="Z734" s="2">
        <v>2427.7195334741964</v>
      </c>
      <c r="AA734" s="2">
        <v>764.92624292676544</v>
      </c>
      <c r="AB734" s="2">
        <v>689.22643029867629</v>
      </c>
      <c r="AC734" s="2">
        <v>615.33231891642254</v>
      </c>
      <c r="AD734" s="2">
        <v>1817.3537002136902</v>
      </c>
      <c r="AE734" s="2">
        <v>543.70552330481189</v>
      </c>
      <c r="AF734" s="2">
        <v>1308.595417145184</v>
      </c>
      <c r="AG734" s="2">
        <v>73.208095319060746</v>
      </c>
      <c r="AH734" s="2">
        <v>383.7379499559475</v>
      </c>
      <c r="AI734" s="2">
        <v>519269.45039207366</v>
      </c>
      <c r="AJ734" s="2">
        <v>475518.46597528021</v>
      </c>
      <c r="AL734" s="27">
        <v>0.91512417996262474</v>
      </c>
      <c r="AM734" s="27">
        <v>0.91733361366448196</v>
      </c>
      <c r="AN734" s="27">
        <v>0.90393769537126201</v>
      </c>
      <c r="AO734" s="27">
        <v>0.84207769000560218</v>
      </c>
      <c r="AP734" s="27">
        <v>0.61495102703434534</v>
      </c>
      <c r="AQ734" s="27">
        <v>0.91512417996262474</v>
      </c>
      <c r="AR734" s="27">
        <v>0.91733361366448196</v>
      </c>
      <c r="AS734" s="27">
        <v>0.90393769537126201</v>
      </c>
      <c r="AT734" s="27">
        <v>0.84207769000560218</v>
      </c>
      <c r="AU734" s="27">
        <v>0.61495102703434534</v>
      </c>
      <c r="AW734" s="1">
        <v>13.23906442619988</v>
      </c>
      <c r="AX734" s="1">
        <v>15.684292281096422</v>
      </c>
      <c r="AY734" s="2">
        <v>2123572.0980706713</v>
      </c>
      <c r="AZ734" s="1">
        <v>15.303059601340619</v>
      </c>
      <c r="BA734" s="1">
        <v>17.56897172620334</v>
      </c>
      <c r="BB734" s="2">
        <v>1481143.7346401704</v>
      </c>
      <c r="BC734" s="2">
        <f t="shared" si="84"/>
        <v>-642428.36343050096</v>
      </c>
      <c r="BD734" s="292">
        <f t="shared" si="85"/>
        <v>2.0639951751407395</v>
      </c>
      <c r="BF734" s="170">
        <f t="shared" si="80"/>
        <v>-5321.7898786906153</v>
      </c>
      <c r="BG734" s="2">
        <f t="shared" si="81"/>
        <v>967345.80157432891</v>
      </c>
      <c r="BI734">
        <f t="shared" si="82"/>
        <v>0</v>
      </c>
      <c r="BJ734" s="95">
        <f t="shared" si="83"/>
        <v>1</v>
      </c>
      <c r="BP734" s="217">
        <f t="shared" si="86"/>
        <v>967345.80157432891</v>
      </c>
    </row>
    <row r="735" spans="1:68">
      <c r="A735" s="11">
        <v>729</v>
      </c>
      <c r="C735" s="27">
        <v>0.92412377650089994</v>
      </c>
      <c r="D735" s="27">
        <v>7.5876223499100046E-2</v>
      </c>
      <c r="E735" s="27">
        <v>0</v>
      </c>
      <c r="F735" s="27">
        <v>0.85263937483448826</v>
      </c>
      <c r="G735" s="27">
        <v>0.14736062516551174</v>
      </c>
      <c r="H735" s="27">
        <v>0</v>
      </c>
      <c r="I735" s="27">
        <v>0.7459466567046753</v>
      </c>
      <c r="J735" s="27">
        <v>0.2540533432953247</v>
      </c>
      <c r="K735" s="27">
        <v>0</v>
      </c>
      <c r="L735" s="27">
        <v>9.6199465417317165E-2</v>
      </c>
      <c r="M735" s="27">
        <v>0.5113762424965409</v>
      </c>
      <c r="N735" s="27">
        <v>0.39242429208614193</v>
      </c>
      <c r="O735" s="27">
        <v>-11.458405313323922</v>
      </c>
      <c r="P735" s="27">
        <v>3.4980462138503081E-2</v>
      </c>
      <c r="Q735" s="27">
        <v>4.5891717513608117E-5</v>
      </c>
      <c r="R735" s="27">
        <v>1.1117400769572472</v>
      </c>
      <c r="S735" s="154"/>
      <c r="T735">
        <v>1.0821768183955722</v>
      </c>
      <c r="U735">
        <v>2.2565335870888976</v>
      </c>
      <c r="V735">
        <v>3.0185836316143666</v>
      </c>
      <c r="W735">
        <v>1</v>
      </c>
      <c r="Y735" s="2">
        <v>322.29136356738576</v>
      </c>
      <c r="Z735" s="2">
        <v>474.13251281570041</v>
      </c>
      <c r="AA735" s="2">
        <v>274.55191118136753</v>
      </c>
      <c r="AB735" s="2">
        <v>34508.801810875921</v>
      </c>
      <c r="AC735" s="2">
        <v>854.40579466826489</v>
      </c>
      <c r="AD735" s="2">
        <v>29.074390131533644</v>
      </c>
      <c r="AE735" s="2">
        <v>556.16321217357597</v>
      </c>
      <c r="AF735" s="2">
        <v>894.72986691736799</v>
      </c>
      <c r="AG735" s="2">
        <v>79.443242307153284</v>
      </c>
      <c r="AH735" s="2">
        <v>359.72703025449016</v>
      </c>
      <c r="AI735" s="2">
        <v>558266.19988047145</v>
      </c>
      <c r="AJ735" s="2">
        <v>528247.22293574468</v>
      </c>
      <c r="AL735" s="27">
        <v>0.91221859956343077</v>
      </c>
      <c r="AM735" s="27">
        <v>0.91185385791409013</v>
      </c>
      <c r="AN735" s="27">
        <v>0.90187126645360793</v>
      </c>
      <c r="AO735" s="27">
        <v>0.85451686569622154</v>
      </c>
      <c r="AP735" s="27">
        <v>0.72859741321222682</v>
      </c>
      <c r="AQ735" s="27">
        <v>0.91221859956343077</v>
      </c>
      <c r="AR735" s="27">
        <v>0.91185385791409013</v>
      </c>
      <c r="AS735" s="27">
        <v>0.90187126645360793</v>
      </c>
      <c r="AT735" s="27">
        <v>0.85451686569622154</v>
      </c>
      <c r="AU735" s="27">
        <v>0.72859741321222682</v>
      </c>
      <c r="AW735" s="1">
        <v>13.218260704113906</v>
      </c>
      <c r="AX735" s="1">
        <v>15.184640167188213</v>
      </c>
      <c r="AY735" s="2">
        <v>2096674.458233142</v>
      </c>
      <c r="AZ735" s="1">
        <v>15.256963842895546</v>
      </c>
      <c r="BA735" s="1">
        <v>17.220088016768795</v>
      </c>
      <c r="BB735" s="2">
        <v>2002737.9775546745</v>
      </c>
      <c r="BC735" s="2">
        <f t="shared" si="84"/>
        <v>-93936.480678467546</v>
      </c>
      <c r="BD735" s="292">
        <f t="shared" si="85"/>
        <v>2.0387031387816403</v>
      </c>
      <c r="BF735" s="170">
        <f t="shared" si="80"/>
        <v>18247.254425083054</v>
      </c>
      <c r="BG735" s="2">
        <f t="shared" si="81"/>
        <v>438376.23730861279</v>
      </c>
      <c r="BI735">
        <f t="shared" si="82"/>
        <v>0</v>
      </c>
      <c r="BJ735" s="95">
        <f t="shared" si="83"/>
        <v>1</v>
      </c>
      <c r="BP735" s="217">
        <f t="shared" si="86"/>
        <v>438376.23730861279</v>
      </c>
    </row>
    <row r="736" spans="1:68">
      <c r="A736" s="11">
        <v>730</v>
      </c>
      <c r="C736" s="27">
        <v>0.92334337795098442</v>
      </c>
      <c r="D736" s="27">
        <v>7.6656622049015591E-2</v>
      </c>
      <c r="E736" s="27">
        <v>0</v>
      </c>
      <c r="F736" s="27">
        <v>0.8588438765309766</v>
      </c>
      <c r="G736" s="27">
        <v>0.1411561234690234</v>
      </c>
      <c r="H736" s="27">
        <v>0</v>
      </c>
      <c r="I736" s="27">
        <v>0.75000259078092457</v>
      </c>
      <c r="J736" s="27">
        <v>0.24999740921907543</v>
      </c>
      <c r="K736" s="27">
        <v>0</v>
      </c>
      <c r="L736" s="27">
        <v>0.12728789280380526</v>
      </c>
      <c r="M736" s="27">
        <v>0.5323451258987586</v>
      </c>
      <c r="N736" s="27">
        <v>0.34036698129743614</v>
      </c>
      <c r="O736" s="27">
        <v>-11.071320433861697</v>
      </c>
      <c r="P736" s="27">
        <v>3.6088136808684827E-2</v>
      </c>
      <c r="Q736" s="27">
        <v>7.0802327189477108E-5</v>
      </c>
      <c r="R736" s="27">
        <v>1.0550051860607834</v>
      </c>
      <c r="S736" s="154"/>
      <c r="T736">
        <v>1.0131508651923355</v>
      </c>
      <c r="U736">
        <v>2.2143825990132369</v>
      </c>
      <c r="V736">
        <v>3.0199665800836297</v>
      </c>
      <c r="W736">
        <v>1</v>
      </c>
      <c r="Y736" s="2">
        <v>963.93033791992241</v>
      </c>
      <c r="Z736" s="2">
        <v>2116.8189903260422</v>
      </c>
      <c r="AA736" s="2">
        <v>1038.8569220519387</v>
      </c>
      <c r="AB736" s="2">
        <v>11329.244665900429</v>
      </c>
      <c r="AC736" s="2">
        <v>82.448522294712546</v>
      </c>
      <c r="AD736" s="2">
        <v>84.187446917134906</v>
      </c>
      <c r="AE736" s="2">
        <v>598.04591355342745</v>
      </c>
      <c r="AF736" s="2">
        <v>1136.4806452685341</v>
      </c>
      <c r="AG736" s="2">
        <v>162.24911626045474</v>
      </c>
      <c r="AH736" s="2">
        <v>264.33444566070477</v>
      </c>
      <c r="AI736" s="2">
        <v>538372.00849798671</v>
      </c>
      <c r="AJ736" s="2">
        <v>513998.06385469896</v>
      </c>
      <c r="AL736" s="27">
        <v>0.91790001525089526</v>
      </c>
      <c r="AM736" s="27">
        <v>0.91551746494140285</v>
      </c>
      <c r="AN736" s="27">
        <v>0.90487893107442918</v>
      </c>
      <c r="AO736" s="27">
        <v>0.86566101286137986</v>
      </c>
      <c r="AP736" s="27">
        <v>0.64462219163132106</v>
      </c>
      <c r="AQ736" s="27">
        <v>0.91790001525089526</v>
      </c>
      <c r="AR736" s="27">
        <v>0.91551746494140285</v>
      </c>
      <c r="AS736" s="27">
        <v>0.90487893107442918</v>
      </c>
      <c r="AT736" s="27">
        <v>0.86566101286137986</v>
      </c>
      <c r="AU736" s="27">
        <v>0.64462219163132106</v>
      </c>
      <c r="AW736" s="1">
        <v>13.525329055461768</v>
      </c>
      <c r="AX736" s="1">
        <v>15.818583847212814</v>
      </c>
      <c r="AY736" s="2">
        <v>2236188.5792711158</v>
      </c>
      <c r="AZ736" s="1">
        <v>15.391261724476227</v>
      </c>
      <c r="BA736" s="1">
        <v>17.556423679015769</v>
      </c>
      <c r="BB736" s="2">
        <v>1752247.719295226</v>
      </c>
      <c r="BC736" s="2">
        <f t="shared" si="84"/>
        <v>-483940.85997588979</v>
      </c>
      <c r="BD736" s="292">
        <f t="shared" si="85"/>
        <v>1.8659326690144589</v>
      </c>
      <c r="BF736" s="170">
        <f t="shared" si="80"/>
        <v>-72135.930397232994</v>
      </c>
      <c r="BG736" s="2">
        <f t="shared" si="81"/>
        <v>710354.15662097</v>
      </c>
      <c r="BI736">
        <f t="shared" si="82"/>
        <v>0</v>
      </c>
      <c r="BJ736" s="95">
        <f t="shared" si="83"/>
        <v>1</v>
      </c>
      <c r="BP736" s="217">
        <f t="shared" si="86"/>
        <v>710354.15662097</v>
      </c>
    </row>
    <row r="737" spans="1:68">
      <c r="A737" s="11">
        <v>731</v>
      </c>
      <c r="C737" s="27">
        <v>0.92288263305898177</v>
      </c>
      <c r="D737" s="27">
        <v>7.7117366941018228E-2</v>
      </c>
      <c r="E737" s="27">
        <v>0</v>
      </c>
      <c r="F737" s="27">
        <v>0.86056896399038763</v>
      </c>
      <c r="G737" s="27">
        <v>0.13943103600961235</v>
      </c>
      <c r="H737" s="27">
        <v>0</v>
      </c>
      <c r="I737" s="27">
        <v>0.74881919803962604</v>
      </c>
      <c r="J737" s="27">
        <v>0.25118080196037396</v>
      </c>
      <c r="K737" s="27">
        <v>0</v>
      </c>
      <c r="L737" s="27">
        <v>5.1346773558244241E-2</v>
      </c>
      <c r="M737" s="27">
        <v>0.53970407007223564</v>
      </c>
      <c r="N737" s="27">
        <v>0.40894915636952012</v>
      </c>
      <c r="O737" s="27">
        <v>-10.785931607341688</v>
      </c>
      <c r="P737" s="27">
        <v>3.5089591636373527E-2</v>
      </c>
      <c r="Q737" s="27">
        <v>9.0318453690477763E-5</v>
      </c>
      <c r="R737" s="27">
        <v>1.0293177257926354</v>
      </c>
      <c r="S737" s="154"/>
      <c r="T737">
        <v>1.1435604092857146</v>
      </c>
      <c r="U737">
        <v>2.2875960704572069</v>
      </c>
      <c r="V737">
        <v>3.1717861319518437</v>
      </c>
      <c r="W737">
        <v>1</v>
      </c>
      <c r="Y737" s="2">
        <v>929.89191903816698</v>
      </c>
      <c r="Z737" s="2">
        <v>1271.6837472097325</v>
      </c>
      <c r="AA737" s="2">
        <v>78.295830734212643</v>
      </c>
      <c r="AB737" s="2">
        <v>485.56198879550459</v>
      </c>
      <c r="AC737" s="2">
        <v>263.88996187277053</v>
      </c>
      <c r="AD737" s="2">
        <v>41.789644603107597</v>
      </c>
      <c r="AE737" s="2">
        <v>566.8400801608193</v>
      </c>
      <c r="AF737" s="2">
        <v>1254.3668489431425</v>
      </c>
      <c r="AG737" s="2">
        <v>167.52152737676136</v>
      </c>
      <c r="AH737" s="2">
        <v>292.38131864626212</v>
      </c>
      <c r="AI737" s="2">
        <v>772642.94141780166</v>
      </c>
      <c r="AJ737" s="2">
        <v>748208.23064866953</v>
      </c>
      <c r="AL737" s="27">
        <v>0.92220291952136235</v>
      </c>
      <c r="AM737" s="27">
        <v>0.91508272035328575</v>
      </c>
      <c r="AN737" s="27">
        <v>0.90664371176073499</v>
      </c>
      <c r="AO737" s="27">
        <v>0.86566930931530661</v>
      </c>
      <c r="AP737" s="27">
        <v>0.74424129735430955</v>
      </c>
      <c r="AQ737" s="27">
        <v>0.92220291952136235</v>
      </c>
      <c r="AR737" s="27">
        <v>0.91508272035328575</v>
      </c>
      <c r="AS737" s="27">
        <v>0.90664371176073499</v>
      </c>
      <c r="AT737" s="27">
        <v>0.86566930931530661</v>
      </c>
      <c r="AU737" s="27">
        <v>0.74424129735430955</v>
      </c>
      <c r="AW737" s="1">
        <v>13.29478538960743</v>
      </c>
      <c r="AX737" s="1">
        <v>15.153134472733299</v>
      </c>
      <c r="AY737" s="2">
        <v>3229450.3330988348</v>
      </c>
      <c r="AZ737" s="1">
        <v>15.535749626248492</v>
      </c>
      <c r="BA737" s="1">
        <v>17.376302075080652</v>
      </c>
      <c r="BB737" s="2">
        <v>2119848.0764519759</v>
      </c>
      <c r="BC737" s="2">
        <f t="shared" si="84"/>
        <v>-1109602.256646859</v>
      </c>
      <c r="BD737" s="292">
        <f t="shared" si="85"/>
        <v>2.2409642366410623</v>
      </c>
      <c r="BF737" s="170">
        <f t="shared" si="80"/>
        <v>-1102284.6707616462</v>
      </c>
      <c r="BG737" s="2">
        <f t="shared" si="81"/>
        <v>365871.86374778301</v>
      </c>
      <c r="BI737">
        <f t="shared" si="82"/>
        <v>0</v>
      </c>
      <c r="BJ737" s="95">
        <f t="shared" si="83"/>
        <v>1</v>
      </c>
      <c r="BP737" s="217">
        <f t="shared" si="86"/>
        <v>365871.86374778301</v>
      </c>
    </row>
    <row r="738" spans="1:68">
      <c r="A738" s="11">
        <v>732</v>
      </c>
      <c r="C738" s="27">
        <v>0.92397017788455449</v>
      </c>
      <c r="D738" s="27">
        <v>7.6029822115445525E-2</v>
      </c>
      <c r="E738" s="27">
        <v>0</v>
      </c>
      <c r="F738" s="27">
        <v>0.8597617655205404</v>
      </c>
      <c r="G738" s="27">
        <v>0.14023823447945957</v>
      </c>
      <c r="H738" s="27">
        <v>0</v>
      </c>
      <c r="I738" s="27">
        <v>0.74820865574547557</v>
      </c>
      <c r="J738" s="27">
        <v>0.25179134425452443</v>
      </c>
      <c r="K738" s="27">
        <v>0</v>
      </c>
      <c r="L738" s="27">
        <v>0.11212236536067249</v>
      </c>
      <c r="M738" s="27">
        <v>0.52300629113466524</v>
      </c>
      <c r="N738" s="27">
        <v>0.36487134350466227</v>
      </c>
      <c r="O738" s="27">
        <v>-10.833289616518988</v>
      </c>
      <c r="P738" s="27">
        <v>3.1486760397843629E-2</v>
      </c>
      <c r="Q738" s="27">
        <v>7.4044397399455626E-5</v>
      </c>
      <c r="R738" s="27">
        <v>1.0530092789367338</v>
      </c>
      <c r="S738" s="154"/>
      <c r="T738">
        <v>1.0569947954482997</v>
      </c>
      <c r="U738">
        <v>2.2321081225874484</v>
      </c>
      <c r="V738">
        <v>2.9901331453789193</v>
      </c>
      <c r="W738">
        <v>1</v>
      </c>
      <c r="Y738" s="2">
        <v>61.779100296135397</v>
      </c>
      <c r="Z738" s="2">
        <v>2175.6301050129237</v>
      </c>
      <c r="AA738" s="2">
        <v>1639.0731022485493</v>
      </c>
      <c r="AB738" s="2">
        <v>2959.5420857922941</v>
      </c>
      <c r="AC738" s="2">
        <v>266.79775244159453</v>
      </c>
      <c r="AD738" s="2">
        <v>3020.5294165237624</v>
      </c>
      <c r="AE738" s="2">
        <v>648.54939736202675</v>
      </c>
      <c r="AF738" s="2">
        <v>1072.5100855270014</v>
      </c>
      <c r="AG738" s="2">
        <v>134.06421441869128</v>
      </c>
      <c r="AH738" s="2">
        <v>237.28949657064874</v>
      </c>
      <c r="AI738" s="2">
        <v>403673.28537532542</v>
      </c>
      <c r="AJ738" s="2">
        <v>378699.54355974233</v>
      </c>
      <c r="AL738" s="27">
        <v>0.91512129476972093</v>
      </c>
      <c r="AM738" s="27">
        <v>0.91471147618569049</v>
      </c>
      <c r="AN738" s="27">
        <v>0.90221638848704011</v>
      </c>
      <c r="AO738" s="27">
        <v>0.89335149458342122</v>
      </c>
      <c r="AP738" s="27">
        <v>0.78223264261221503</v>
      </c>
      <c r="AQ738" s="27">
        <v>0.91512129476972093</v>
      </c>
      <c r="AR738" s="27">
        <v>0.91471147618569049</v>
      </c>
      <c r="AS738" s="27">
        <v>0.90221638848704011</v>
      </c>
      <c r="AT738" s="27">
        <v>0.89335149458342122</v>
      </c>
      <c r="AU738" s="27">
        <v>0.78223264261221503</v>
      </c>
      <c r="AW738" s="1">
        <v>13.773308097985607</v>
      </c>
      <c r="AX738" s="1">
        <v>15.567537033913618</v>
      </c>
      <c r="AY738" s="2">
        <v>1609613.223931035</v>
      </c>
      <c r="AZ738" s="1">
        <v>15.640410290115263</v>
      </c>
      <c r="BA738" s="1">
        <v>17.466892734246681</v>
      </c>
      <c r="BB738" s="2">
        <v>1218036.496327617</v>
      </c>
      <c r="BC738" s="2">
        <f t="shared" si="84"/>
        <v>-391576.72760341805</v>
      </c>
      <c r="BD738" s="292">
        <f t="shared" si="85"/>
        <v>1.8671021921296553</v>
      </c>
      <c r="BF738" s="170">
        <f t="shared" si="80"/>
        <v>594116.07174666226</v>
      </c>
      <c r="BG738" s="2">
        <f t="shared" si="81"/>
        <v>1284429.150090825</v>
      </c>
      <c r="BI738">
        <f t="shared" si="82"/>
        <v>0</v>
      </c>
      <c r="BJ738" s="95">
        <f t="shared" si="83"/>
        <v>1</v>
      </c>
      <c r="BP738" s="217">
        <f t="shared" si="86"/>
        <v>1284429.150090825</v>
      </c>
    </row>
    <row r="739" spans="1:68">
      <c r="A739" s="11">
        <v>733</v>
      </c>
      <c r="C739" s="27">
        <v>0.92779151971834339</v>
      </c>
      <c r="D739" s="27">
        <v>7.2208480281656648E-2</v>
      </c>
      <c r="E739" s="27">
        <v>0</v>
      </c>
      <c r="F739" s="27">
        <v>0.85864026926081416</v>
      </c>
      <c r="G739" s="27">
        <v>0.14135973073918578</v>
      </c>
      <c r="H739" s="27">
        <v>0</v>
      </c>
      <c r="I739" s="27">
        <v>0.75464751168767052</v>
      </c>
      <c r="J739" s="27">
        <v>0.24535248831232953</v>
      </c>
      <c r="K739" s="27">
        <v>0</v>
      </c>
      <c r="L739" s="27">
        <v>0.14904760066138401</v>
      </c>
      <c r="M739" s="27">
        <v>0.47405909386986056</v>
      </c>
      <c r="N739" s="27">
        <v>0.37689330546875544</v>
      </c>
      <c r="O739" s="27">
        <v>-11.110845882851585</v>
      </c>
      <c r="P739" s="27">
        <v>3.2741294118739633E-2</v>
      </c>
      <c r="Q739" s="27">
        <v>5.913358446676959E-5</v>
      </c>
      <c r="R739" s="27">
        <v>1.0789885038538027</v>
      </c>
      <c r="S739" s="154"/>
      <c r="T739">
        <v>1.0146252055544689</v>
      </c>
      <c r="U739">
        <v>2.2376294344605285</v>
      </c>
      <c r="V739">
        <v>3.0592287922107761</v>
      </c>
      <c r="W739">
        <v>1</v>
      </c>
      <c r="Y739" s="2">
        <v>855.43706306385229</v>
      </c>
      <c r="Z739" s="2">
        <v>10058.806907362328</v>
      </c>
      <c r="AA739" s="2">
        <v>1146.3664382016618</v>
      </c>
      <c r="AB739" s="2">
        <v>2998.5602961751197</v>
      </c>
      <c r="AC739" s="2">
        <v>1870.0814716049251</v>
      </c>
      <c r="AD739" s="2">
        <v>718.84963914989771</v>
      </c>
      <c r="AE739" s="2">
        <v>678.10927071392302</v>
      </c>
      <c r="AF739" s="2">
        <v>1193.6010142017606</v>
      </c>
      <c r="AG739" s="2">
        <v>172.36627680007055</v>
      </c>
      <c r="AH739" s="2">
        <v>446.83121657909055</v>
      </c>
      <c r="AI739" s="2">
        <v>593210.37693928101</v>
      </c>
      <c r="AJ739" s="2">
        <v>554352.5890061761</v>
      </c>
      <c r="AL739" s="27">
        <v>0.91795391692988237</v>
      </c>
      <c r="AM739" s="27">
        <v>0.90479959120257347</v>
      </c>
      <c r="AN739" s="27">
        <v>0.90833478869648343</v>
      </c>
      <c r="AO739" s="27">
        <v>0.84392029031026727</v>
      </c>
      <c r="AP739" s="27">
        <v>0.70443558990177491</v>
      </c>
      <c r="AQ739" s="27">
        <v>0.91795391692988237</v>
      </c>
      <c r="AR739" s="27">
        <v>0.90479959120257347</v>
      </c>
      <c r="AS739" s="27">
        <v>0.90833478869648343</v>
      </c>
      <c r="AT739" s="27">
        <v>0.84392029031026727</v>
      </c>
      <c r="AU739" s="27">
        <v>0.70443558990177491</v>
      </c>
      <c r="AW739" s="1">
        <v>13.621431941655072</v>
      </c>
      <c r="AX739" s="1">
        <v>15.627659172961835</v>
      </c>
      <c r="AY739" s="2">
        <v>2236111.1165448735</v>
      </c>
      <c r="AZ739" s="1">
        <v>15.46549770617643</v>
      </c>
      <c r="BA739" s="1">
        <v>17.448196076356307</v>
      </c>
      <c r="BB739" s="2">
        <v>1524381.8687678433</v>
      </c>
      <c r="BC739" s="2">
        <f t="shared" si="84"/>
        <v>-711729.2477770301</v>
      </c>
      <c r="BD739" s="292">
        <f t="shared" si="85"/>
        <v>1.8440657645213587</v>
      </c>
      <c r="BF739" s="170">
        <f t="shared" si="80"/>
        <v>-56682.005880062003</v>
      </c>
      <c r="BG739" s="2">
        <f t="shared" si="81"/>
        <v>950097.76422038558</v>
      </c>
      <c r="BI739">
        <f t="shared" si="82"/>
        <v>0</v>
      </c>
      <c r="BJ739" s="95">
        <f t="shared" si="83"/>
        <v>1</v>
      </c>
      <c r="BP739" s="217">
        <f t="shared" si="86"/>
        <v>950097.76422038558</v>
      </c>
    </row>
    <row r="740" spans="1:68">
      <c r="A740" s="11">
        <v>734</v>
      </c>
      <c r="C740" s="27">
        <v>0.92279183424724043</v>
      </c>
      <c r="D740" s="27">
        <v>7.7208165752759572E-2</v>
      </c>
      <c r="E740" s="27">
        <v>0</v>
      </c>
      <c r="F740" s="27">
        <v>0.85894045310187028</v>
      </c>
      <c r="G740" s="27">
        <v>0.14105954689812969</v>
      </c>
      <c r="H740" s="27">
        <v>0</v>
      </c>
      <c r="I740" s="27">
        <v>0.75856057533209209</v>
      </c>
      <c r="J740" s="27">
        <v>0.24143942466790791</v>
      </c>
      <c r="K740" s="27">
        <v>0</v>
      </c>
      <c r="L740" s="27">
        <v>8.7967520784204722E-2</v>
      </c>
      <c r="M740" s="27">
        <v>0.54225410550916253</v>
      </c>
      <c r="N740" s="27">
        <v>0.36977837370663275</v>
      </c>
      <c r="O740" s="27">
        <v>-11.341108859474826</v>
      </c>
      <c r="P740" s="27">
        <v>3.9491618511000519E-2</v>
      </c>
      <c r="Q740" s="27">
        <v>6.2367834888816821E-5</v>
      </c>
      <c r="R740" s="27">
        <v>1.0603247710859269</v>
      </c>
      <c r="S740" s="154"/>
      <c r="T740">
        <v>1.0228311047999956</v>
      </c>
      <c r="U740">
        <v>2.2512546589489935</v>
      </c>
      <c r="V740">
        <v>2.9979836848480366</v>
      </c>
      <c r="W740">
        <v>1</v>
      </c>
      <c r="Y740" s="2">
        <v>1228.8498928443889</v>
      </c>
      <c r="Z740" s="2">
        <v>2963.3219033704681</v>
      </c>
      <c r="AA740" s="2">
        <v>278.65110343183397</v>
      </c>
      <c r="AB740" s="2">
        <v>1204.8465261088259</v>
      </c>
      <c r="AC740" s="2">
        <v>24.511901723119291</v>
      </c>
      <c r="AD740" s="2">
        <v>1634.3849606043543</v>
      </c>
      <c r="AE740" s="2">
        <v>535.60092487754855</v>
      </c>
      <c r="AF740" s="2">
        <v>1248.3113165508548</v>
      </c>
      <c r="AG740" s="2">
        <v>100.20170399002593</v>
      </c>
      <c r="AH740" s="2">
        <v>416.22870220032308</v>
      </c>
      <c r="AI740" s="2">
        <v>476899.89643993578</v>
      </c>
      <c r="AJ740" s="2">
        <v>444794.59003351396</v>
      </c>
      <c r="AL740" s="27">
        <v>0.91953764663838378</v>
      </c>
      <c r="AM740" s="27">
        <v>0.91439221471497034</v>
      </c>
      <c r="AN740" s="27">
        <v>0.89662247930657279</v>
      </c>
      <c r="AO740" s="27">
        <v>0.89056577214844546</v>
      </c>
      <c r="AP740" s="27">
        <v>0.66513820981056637</v>
      </c>
      <c r="AQ740" s="27">
        <v>0.91953764663838378</v>
      </c>
      <c r="AR740" s="27">
        <v>0.91439221471497034</v>
      </c>
      <c r="AS740" s="27">
        <v>0.89662247930657279</v>
      </c>
      <c r="AT740" s="27">
        <v>0.89056577214844546</v>
      </c>
      <c r="AU740" s="27">
        <v>0.66513820981056637</v>
      </c>
      <c r="AW740" s="1">
        <v>13.556478682563528</v>
      </c>
      <c r="AX740" s="1">
        <v>15.761570004730761</v>
      </c>
      <c r="AY740" s="2">
        <v>1981285.115607298</v>
      </c>
      <c r="AZ740" s="1">
        <v>15.451317959683399</v>
      </c>
      <c r="BA740" s="1">
        <v>17.557442336286108</v>
      </c>
      <c r="BB740" s="2">
        <v>1396329.3943268885</v>
      </c>
      <c r="BC740" s="2">
        <f t="shared" si="84"/>
        <v>-584955.72128040949</v>
      </c>
      <c r="BD740" s="292">
        <f t="shared" si="85"/>
        <v>1.8948392771198712</v>
      </c>
      <c r="BF740" s="170">
        <f t="shared" si="80"/>
        <v>187751.47360286629</v>
      </c>
      <c r="BG740" s="2">
        <f t="shared" si="81"/>
        <v>1075881.4792224555</v>
      </c>
      <c r="BI740">
        <f t="shared" si="82"/>
        <v>0</v>
      </c>
      <c r="BJ740" s="95">
        <f t="shared" si="83"/>
        <v>1</v>
      </c>
      <c r="BP740" s="217">
        <f t="shared" si="86"/>
        <v>1075881.4792224555</v>
      </c>
    </row>
    <row r="741" spans="1:68">
      <c r="A741" s="11">
        <v>735</v>
      </c>
      <c r="C741" s="27">
        <v>0.92474741482704303</v>
      </c>
      <c r="D741" s="27">
        <v>7.5252585172956965E-2</v>
      </c>
      <c r="E741" s="27">
        <v>0</v>
      </c>
      <c r="F741" s="27">
        <v>0.85404398958483541</v>
      </c>
      <c r="G741" s="27">
        <v>0.14595601041516459</v>
      </c>
      <c r="H741" s="27">
        <v>0</v>
      </c>
      <c r="I741" s="27">
        <v>0.75333763623978145</v>
      </c>
      <c r="J741" s="27">
        <v>0.24666236376021849</v>
      </c>
      <c r="K741" s="27">
        <v>0</v>
      </c>
      <c r="L741" s="27">
        <v>7.8505186326331522E-2</v>
      </c>
      <c r="M741" s="27">
        <v>0.47928428305931586</v>
      </c>
      <c r="N741" s="27">
        <v>0.44221053061435267</v>
      </c>
      <c r="O741" s="27">
        <v>-11.553319778957935</v>
      </c>
      <c r="P741" s="27">
        <v>3.6771880109778401E-2</v>
      </c>
      <c r="Q741" s="27">
        <v>4.4997626485699448E-5</v>
      </c>
      <c r="R741" s="27">
        <v>1.1065682197674338</v>
      </c>
      <c r="S741" s="154"/>
      <c r="T741">
        <v>0.97075883449733091</v>
      </c>
      <c r="U741">
        <v>2.1539295798312854</v>
      </c>
      <c r="V741">
        <v>3.2150505126367488</v>
      </c>
      <c r="W741">
        <v>1</v>
      </c>
      <c r="Y741" s="2">
        <v>171.22147304058507</v>
      </c>
      <c r="Z741" s="2">
        <v>1221.5648704557757</v>
      </c>
      <c r="AA741" s="2">
        <v>316.9491041927717</v>
      </c>
      <c r="AB741" s="2">
        <v>540.99641801708117</v>
      </c>
      <c r="AC741" s="2">
        <v>1255.9652945813054</v>
      </c>
      <c r="AD741" s="2">
        <v>1827.2780051304876</v>
      </c>
      <c r="AE741" s="2">
        <v>512.25059124513268</v>
      </c>
      <c r="AF741" s="2">
        <v>967.62441032051959</v>
      </c>
      <c r="AG741" s="2">
        <v>106.83021682310404</v>
      </c>
      <c r="AH741" s="2">
        <v>356.19643376225793</v>
      </c>
      <c r="AI741" s="2">
        <v>567919.73699220887</v>
      </c>
      <c r="AJ741" s="2">
        <v>510643.63943012228</v>
      </c>
      <c r="AL741" s="27">
        <v>0.92038907737301567</v>
      </c>
      <c r="AM741" s="27">
        <v>0.91796242462788757</v>
      </c>
      <c r="AN741" s="27">
        <v>0.90647669947516374</v>
      </c>
      <c r="AO741" s="27">
        <v>0.8588020749616454</v>
      </c>
      <c r="AP741" s="27">
        <v>0.63596567045912988</v>
      </c>
      <c r="AQ741" s="27">
        <v>0.92038907737301567</v>
      </c>
      <c r="AR741" s="27">
        <v>0.91796242462788757</v>
      </c>
      <c r="AS741" s="27">
        <v>0.90647669947516374</v>
      </c>
      <c r="AT741" s="27">
        <v>0.8588020749616454</v>
      </c>
      <c r="AU741" s="27">
        <v>0.63596567045912988</v>
      </c>
      <c r="AW741" s="1">
        <v>13.305706717904672</v>
      </c>
      <c r="AX741" s="1">
        <v>15.390329893898025</v>
      </c>
      <c r="AY741" s="2">
        <v>1823910.5955505483</v>
      </c>
      <c r="AZ741" s="1">
        <v>15.137131294009921</v>
      </c>
      <c r="BA741" s="1">
        <v>17.147123898692293</v>
      </c>
      <c r="BB741" s="2">
        <v>1336259.5404196593</v>
      </c>
      <c r="BC741" s="2">
        <f t="shared" si="84"/>
        <v>-487651.05513088894</v>
      </c>
      <c r="BD741" s="292">
        <f t="shared" si="85"/>
        <v>1.831424576105249</v>
      </c>
      <c r="BF741" s="170">
        <f t="shared" si="80"/>
        <v>305002.47931419918</v>
      </c>
      <c r="BG741" s="2">
        <f t="shared" si="81"/>
        <v>1085681.4666219281</v>
      </c>
      <c r="BI741">
        <f t="shared" si="82"/>
        <v>0</v>
      </c>
      <c r="BJ741" s="95">
        <f t="shared" si="83"/>
        <v>1</v>
      </c>
      <c r="BP741" s="217">
        <f t="shared" si="86"/>
        <v>1085681.4666219281</v>
      </c>
    </row>
    <row r="742" spans="1:68">
      <c r="A742" s="11">
        <v>736</v>
      </c>
      <c r="C742" s="27">
        <v>0.92005467246771755</v>
      </c>
      <c r="D742" s="27">
        <v>7.9945327532282451E-2</v>
      </c>
      <c r="E742" s="27">
        <v>0</v>
      </c>
      <c r="F742" s="27">
        <v>0.85646170178152814</v>
      </c>
      <c r="G742" s="27">
        <v>0.14353829821847186</v>
      </c>
      <c r="H742" s="27">
        <v>0</v>
      </c>
      <c r="I742" s="27">
        <v>0.75514440386839587</v>
      </c>
      <c r="J742" s="27">
        <v>0.24485559613160418</v>
      </c>
      <c r="K742" s="27">
        <v>0</v>
      </c>
      <c r="L742" s="27">
        <v>0.12065263851109786</v>
      </c>
      <c r="M742" s="27">
        <v>0.48643913999303268</v>
      </c>
      <c r="N742" s="27">
        <v>0.39290822149586946</v>
      </c>
      <c r="O742" s="27">
        <v>-11.284104790636414</v>
      </c>
      <c r="P742" s="27">
        <v>3.5875671779582667E-2</v>
      </c>
      <c r="Q742" s="27">
        <v>5.6723238795757662E-5</v>
      </c>
      <c r="R742" s="27">
        <v>1.0785590081123377</v>
      </c>
      <c r="S742" s="154"/>
      <c r="T742">
        <v>1.0432508052883027</v>
      </c>
      <c r="U742">
        <v>2.2059749332794394</v>
      </c>
      <c r="V742">
        <v>3.0558312982391755</v>
      </c>
      <c r="W742">
        <v>1</v>
      </c>
      <c r="Y742" s="2">
        <v>12.242320842245984</v>
      </c>
      <c r="Z742" s="2">
        <v>11186.882349542813</v>
      </c>
      <c r="AA742" s="2">
        <v>2232.0035367814739</v>
      </c>
      <c r="AB742" s="2">
        <v>7499.4106374542916</v>
      </c>
      <c r="AC742" s="2">
        <v>1192.7491067482456</v>
      </c>
      <c r="AD742" s="2">
        <v>1487.7381098652413</v>
      </c>
      <c r="AE742" s="2">
        <v>644.50223508743795</v>
      </c>
      <c r="AF742" s="2">
        <v>691.04124318283903</v>
      </c>
      <c r="AG742" s="2">
        <v>96.58214605611191</v>
      </c>
      <c r="AH742" s="2">
        <v>253.09621469423735</v>
      </c>
      <c r="AI742" s="2">
        <v>490874.768232873</v>
      </c>
      <c r="AJ742" s="2">
        <v>459002.42243209254</v>
      </c>
      <c r="AL742" s="27">
        <v>0.91368173598137226</v>
      </c>
      <c r="AM742" s="27">
        <v>0.91639465173388435</v>
      </c>
      <c r="AN742" s="27">
        <v>0.91353731951133343</v>
      </c>
      <c r="AO742" s="27">
        <v>0.88961252953327308</v>
      </c>
      <c r="AP742" s="27">
        <v>0.7621573874254266</v>
      </c>
      <c r="AQ742" s="27">
        <v>0.91368173598137226</v>
      </c>
      <c r="AR742" s="27">
        <v>0.91639465173388435</v>
      </c>
      <c r="AS742" s="27">
        <v>0.91353731951133343</v>
      </c>
      <c r="AT742" s="27">
        <v>0.88961252953327308</v>
      </c>
      <c r="AU742" s="27">
        <v>0.7621573874254266</v>
      </c>
      <c r="AW742" s="1">
        <v>13.452438670714534</v>
      </c>
      <c r="AX742" s="1">
        <v>15.272940224686192</v>
      </c>
      <c r="AY742" s="2">
        <v>2002692.6274512818</v>
      </c>
      <c r="AZ742" s="1">
        <v>15.400348548272884</v>
      </c>
      <c r="BA742" s="1">
        <v>17.231000453679922</v>
      </c>
      <c r="BB742" s="2">
        <v>1458406.0747428136</v>
      </c>
      <c r="BC742" s="2">
        <f t="shared" si="84"/>
        <v>-544286.55270846817</v>
      </c>
      <c r="BD742" s="292">
        <f t="shared" si="85"/>
        <v>1.9479098775583505</v>
      </c>
      <c r="BF742" s="170">
        <f t="shared" si="80"/>
        <v>149697.55986304372</v>
      </c>
      <c r="BG742" s="2">
        <f t="shared" si="81"/>
        <v>1005649.6929808478</v>
      </c>
      <c r="BI742">
        <f t="shared" si="82"/>
        <v>0</v>
      </c>
      <c r="BJ742" s="95">
        <f t="shared" si="83"/>
        <v>1</v>
      </c>
      <c r="BP742" s="217">
        <f t="shared" si="86"/>
        <v>1005649.6929808478</v>
      </c>
    </row>
    <row r="743" spans="1:68">
      <c r="A743" s="11">
        <v>737</v>
      </c>
      <c r="C743" s="27">
        <v>0.9228560974461848</v>
      </c>
      <c r="D743" s="27">
        <v>7.7143902553815202E-2</v>
      </c>
      <c r="E743" s="27">
        <v>0</v>
      </c>
      <c r="F743" s="27">
        <v>0.85481038169996093</v>
      </c>
      <c r="G743" s="27">
        <v>0.14518961830003907</v>
      </c>
      <c r="H743" s="27">
        <v>0</v>
      </c>
      <c r="I743" s="27">
        <v>0.75132408780920601</v>
      </c>
      <c r="J743" s="27">
        <v>0.24867591219079399</v>
      </c>
      <c r="K743" s="27">
        <v>0</v>
      </c>
      <c r="L743" s="27">
        <v>2.4212285793799304E-2</v>
      </c>
      <c r="M743" s="27">
        <v>0.53519044292161722</v>
      </c>
      <c r="N743" s="27">
        <v>0.44059727128458348</v>
      </c>
      <c r="O743" s="27">
        <v>-11.194939045588555</v>
      </c>
      <c r="P743" s="27">
        <v>3.5989476816497633E-2</v>
      </c>
      <c r="Q743" s="27">
        <v>6.2310474312534498E-5</v>
      </c>
      <c r="R743" s="27">
        <v>1.0606165146595146</v>
      </c>
      <c r="S743" s="154"/>
      <c r="T743">
        <v>1.0053936783233477</v>
      </c>
      <c r="U743">
        <v>2.1217671844733612</v>
      </c>
      <c r="V743">
        <v>2.878183797273441</v>
      </c>
      <c r="W743">
        <v>1</v>
      </c>
      <c r="Y743" s="2">
        <v>35.684308296101428</v>
      </c>
      <c r="Z743" s="2">
        <v>7091.307410443379</v>
      </c>
      <c r="AA743" s="2">
        <v>1856.1152221754064</v>
      </c>
      <c r="AB743" s="2">
        <v>2541.0308293076218</v>
      </c>
      <c r="AC743" s="2">
        <v>29.726865647201496</v>
      </c>
      <c r="AD743" s="2">
        <v>4567.1346050361526</v>
      </c>
      <c r="AE743" s="2">
        <v>621.39676100896941</v>
      </c>
      <c r="AF743" s="2">
        <v>1259.9167739283459</v>
      </c>
      <c r="AG743" s="2">
        <v>101.9411921863386</v>
      </c>
      <c r="AH743" s="2">
        <v>464.79185389430842</v>
      </c>
      <c r="AI743" s="2">
        <v>483780.38456185767</v>
      </c>
      <c r="AJ743" s="2">
        <v>451861.13989106572</v>
      </c>
      <c r="AL743" s="27">
        <v>0.91687789410806941</v>
      </c>
      <c r="AM743" s="27">
        <v>0.92108740430462732</v>
      </c>
      <c r="AN743" s="27">
        <v>0.90685332800186447</v>
      </c>
      <c r="AO743" s="27">
        <v>0.87913636275155005</v>
      </c>
      <c r="AP743" s="27">
        <v>0.73005207202933031</v>
      </c>
      <c r="AQ743" s="27">
        <v>0.91687789410806941</v>
      </c>
      <c r="AR743" s="27">
        <v>0.92108740430462732</v>
      </c>
      <c r="AS743" s="27">
        <v>0.90685332800186447</v>
      </c>
      <c r="AT743" s="27">
        <v>0.87913636275155005</v>
      </c>
      <c r="AU743" s="27">
        <v>0.73005207202933031</v>
      </c>
      <c r="AW743" s="1">
        <v>13.640431607818972</v>
      </c>
      <c r="AX743" s="1">
        <v>15.55081435789857</v>
      </c>
      <c r="AY743" s="2">
        <v>1882149.1343523487</v>
      </c>
      <c r="AZ743" s="1">
        <v>15.398772536413446</v>
      </c>
      <c r="BA743" s="1">
        <v>17.281770520748918</v>
      </c>
      <c r="BB743" s="2">
        <v>1436239.2074355208</v>
      </c>
      <c r="BC743" s="2">
        <f t="shared" si="84"/>
        <v>-445909.92691682791</v>
      </c>
      <c r="BD743" s="292">
        <f t="shared" si="85"/>
        <v>1.7583409285944747</v>
      </c>
      <c r="BF743" s="170">
        <f t="shared" si="80"/>
        <v>300319.92289868649</v>
      </c>
      <c r="BG743" s="2">
        <f t="shared" si="81"/>
        <v>1027564.3983906307</v>
      </c>
      <c r="BI743">
        <f t="shared" si="82"/>
        <v>0</v>
      </c>
      <c r="BJ743" s="95">
        <f t="shared" si="83"/>
        <v>1</v>
      </c>
      <c r="BP743" s="217">
        <f t="shared" si="86"/>
        <v>1027564.3983906307</v>
      </c>
    </row>
    <row r="744" spans="1:68">
      <c r="A744" s="11">
        <v>738</v>
      </c>
      <c r="C744" s="27">
        <v>0.92380379780687771</v>
      </c>
      <c r="D744" s="27">
        <v>7.6196202193122287E-2</v>
      </c>
      <c r="E744" s="27">
        <v>0</v>
      </c>
      <c r="F744" s="27">
        <v>0.8632190683799692</v>
      </c>
      <c r="G744" s="27">
        <v>0.13678093162003077</v>
      </c>
      <c r="H744" s="27">
        <v>0</v>
      </c>
      <c r="I744" s="27">
        <v>0.75419518813765762</v>
      </c>
      <c r="J744" s="27">
        <v>0.24580481186234232</v>
      </c>
      <c r="K744" s="27">
        <v>0</v>
      </c>
      <c r="L744" s="27">
        <v>0.16851269636705912</v>
      </c>
      <c r="M744" s="27">
        <v>0.46010957516033568</v>
      </c>
      <c r="N744" s="27">
        <v>0.3713777284726052</v>
      </c>
      <c r="O744" s="27">
        <v>-10.97999596406112</v>
      </c>
      <c r="P744" s="27">
        <v>3.2434670243088402E-2</v>
      </c>
      <c r="Q744" s="27">
        <v>6.6537835723387971E-5</v>
      </c>
      <c r="R744" s="27">
        <v>1.06768293114947</v>
      </c>
      <c r="S744" s="154"/>
      <c r="T744">
        <v>1.077740210575808</v>
      </c>
      <c r="U744">
        <v>2.2925176266987122</v>
      </c>
      <c r="V744">
        <v>2.9349861717906052</v>
      </c>
      <c r="W744">
        <v>1</v>
      </c>
      <c r="Y744" s="2">
        <v>1368.1290383721569</v>
      </c>
      <c r="Z744" s="2">
        <v>1967.3245160951974</v>
      </c>
      <c r="AA744" s="2">
        <v>784.31609706950769</v>
      </c>
      <c r="AB744" s="2">
        <v>5135.6938066746061</v>
      </c>
      <c r="AC744" s="2">
        <v>1678.2941449822108</v>
      </c>
      <c r="AD744" s="2">
        <v>94.415336402965977</v>
      </c>
      <c r="AE744" s="2">
        <v>642.43531322921172</v>
      </c>
      <c r="AF744" s="2">
        <v>1000.8938663793546</v>
      </c>
      <c r="AG744" s="2">
        <v>212.95981986463207</v>
      </c>
      <c r="AH744" s="2">
        <v>257.48356182923385</v>
      </c>
      <c r="AI744" s="2">
        <v>576068.19181449874</v>
      </c>
      <c r="AJ744" s="2">
        <v>530313.69289835938</v>
      </c>
      <c r="AL744" s="27">
        <v>0.91630638109856533</v>
      </c>
      <c r="AM744" s="27">
        <v>0.91334565172462046</v>
      </c>
      <c r="AN744" s="27">
        <v>0.91268903123754608</v>
      </c>
      <c r="AO744" s="27">
        <v>0.91216884013711674</v>
      </c>
      <c r="AP744" s="27">
        <v>0.78261746300017565</v>
      </c>
      <c r="AQ744" s="27">
        <v>0.91630638109856533</v>
      </c>
      <c r="AR744" s="27">
        <v>0.91334565172462046</v>
      </c>
      <c r="AS744" s="27">
        <v>0.91268903123754608</v>
      </c>
      <c r="AT744" s="27">
        <v>0.91216884013711674</v>
      </c>
      <c r="AU744" s="27">
        <v>0.78261746300017565</v>
      </c>
      <c r="AW744" s="1">
        <v>13.596310810139975</v>
      </c>
      <c r="AX744" s="1">
        <v>15.308484492730544</v>
      </c>
      <c r="AY744" s="2">
        <v>2116105.8093077349</v>
      </c>
      <c r="AZ744" s="1">
        <v>15.616230163421601</v>
      </c>
      <c r="BA744" s="1">
        <v>17.37338408410848</v>
      </c>
      <c r="BB744" s="2">
        <v>1484389.503355528</v>
      </c>
      <c r="BC744" s="2">
        <f t="shared" si="84"/>
        <v>-631716.30595220695</v>
      </c>
      <c r="BD744" s="292">
        <f t="shared" si="85"/>
        <v>2.019919353281626</v>
      </c>
      <c r="BF744" s="170">
        <f t="shared" si="80"/>
        <v>59303.920314661227</v>
      </c>
      <c r="BG744" s="2">
        <f t="shared" si="81"/>
        <v>1014207.3227919282</v>
      </c>
      <c r="BI744">
        <f t="shared" si="82"/>
        <v>0</v>
      </c>
      <c r="BJ744" s="95">
        <f t="shared" si="83"/>
        <v>1</v>
      </c>
      <c r="BP744" s="217">
        <f t="shared" si="86"/>
        <v>1014207.3227919282</v>
      </c>
    </row>
    <row r="745" spans="1:68">
      <c r="A745" s="11">
        <v>739</v>
      </c>
      <c r="C745" s="27">
        <v>0.92183672417104612</v>
      </c>
      <c r="D745" s="27">
        <v>7.8163275828953882E-2</v>
      </c>
      <c r="E745" s="27">
        <v>0</v>
      </c>
      <c r="F745" s="27">
        <v>0.85749108605920576</v>
      </c>
      <c r="G745" s="27">
        <v>0.14250891394079429</v>
      </c>
      <c r="H745" s="27">
        <v>0</v>
      </c>
      <c r="I745" s="27">
        <v>0.75107875022854009</v>
      </c>
      <c r="J745" s="27">
        <v>0.24892124977145996</v>
      </c>
      <c r="K745" s="27">
        <v>0</v>
      </c>
      <c r="L745" s="27">
        <v>0.137444713662221</v>
      </c>
      <c r="M745" s="27">
        <v>0.47083462017606126</v>
      </c>
      <c r="N745" s="27">
        <v>0.39172066616171775</v>
      </c>
      <c r="O745" s="27">
        <v>-11.597655703101445</v>
      </c>
      <c r="P745" s="27">
        <v>3.7860753460693862E-2</v>
      </c>
      <c r="Q745" s="27">
        <v>4.5060521131280218E-5</v>
      </c>
      <c r="R745" s="27">
        <v>1.1084211890043059</v>
      </c>
      <c r="S745" s="154"/>
      <c r="T745">
        <v>0.99100315929501515</v>
      </c>
      <c r="U745">
        <v>2.283262299052637</v>
      </c>
      <c r="V745">
        <v>3.1347538846750398</v>
      </c>
      <c r="W745">
        <v>1</v>
      </c>
      <c r="Y745" s="2">
        <v>1062.3605917328168</v>
      </c>
      <c r="Z745" s="2">
        <v>7618.9378400931391</v>
      </c>
      <c r="AA745" s="2">
        <v>7.3974955667349604</v>
      </c>
      <c r="AB745" s="2">
        <v>653.20538830760859</v>
      </c>
      <c r="AC745" s="2">
        <v>25.442665810811445</v>
      </c>
      <c r="AD745" s="2">
        <v>396.66655915779069</v>
      </c>
      <c r="AE745" s="2">
        <v>605.80767830024774</v>
      </c>
      <c r="AF745" s="2">
        <v>1010.4239886974251</v>
      </c>
      <c r="AG745" s="2">
        <v>101.05885775232933</v>
      </c>
      <c r="AH745" s="2">
        <v>322.13344703334275</v>
      </c>
      <c r="AI745" s="2">
        <v>460841.10636251688</v>
      </c>
      <c r="AJ745" s="2">
        <v>424997.15776033007</v>
      </c>
      <c r="AL745" s="27">
        <v>0.9206694357137104</v>
      </c>
      <c r="AM745" s="27">
        <v>0.92065160224245601</v>
      </c>
      <c r="AN745" s="27">
        <v>0.91032775831974933</v>
      </c>
      <c r="AO745" s="27">
        <v>0.85721701433630126</v>
      </c>
      <c r="AP745" s="27">
        <v>0.63464541811744124</v>
      </c>
      <c r="AQ745" s="27">
        <v>0.9206694357137104</v>
      </c>
      <c r="AR745" s="27">
        <v>0.92065160224245601</v>
      </c>
      <c r="AS745" s="27">
        <v>0.91032775831974933</v>
      </c>
      <c r="AT745" s="27">
        <v>0.85721701433630126</v>
      </c>
      <c r="AU745" s="27">
        <v>0.63464541811744124</v>
      </c>
      <c r="AW745" s="1">
        <v>13.199221968492703</v>
      </c>
      <c r="AX745" s="1">
        <v>15.336624304737187</v>
      </c>
      <c r="AY745" s="2">
        <v>1713614.878362284</v>
      </c>
      <c r="AZ745" s="1">
        <v>15.170726985494568</v>
      </c>
      <c r="BA745" s="1">
        <v>17.201588599026838</v>
      </c>
      <c r="BB745" s="2">
        <v>1149201.8806494419</v>
      </c>
      <c r="BC745" s="2">
        <f t="shared" si="84"/>
        <v>-564412.99771284219</v>
      </c>
      <c r="BD745" s="292">
        <f t="shared" si="85"/>
        <v>1.9715050170018653</v>
      </c>
      <c r="BF745" s="170">
        <f t="shared" si="80"/>
        <v>398260.63659654837</v>
      </c>
      <c r="BG745" s="2">
        <f t="shared" si="81"/>
        <v>1278114.4370296891</v>
      </c>
      <c r="BI745">
        <f t="shared" si="82"/>
        <v>0</v>
      </c>
      <c r="BJ745" s="95">
        <f t="shared" si="83"/>
        <v>1</v>
      </c>
      <c r="BP745" s="217">
        <f t="shared" si="86"/>
        <v>1278114.4370296891</v>
      </c>
    </row>
    <row r="746" spans="1:68">
      <c r="A746" s="11">
        <v>740</v>
      </c>
      <c r="C746" s="27">
        <v>0.92234316428729568</v>
      </c>
      <c r="D746" s="27">
        <v>7.765683571270432E-2</v>
      </c>
      <c r="E746" s="27">
        <v>0</v>
      </c>
      <c r="F746" s="27">
        <v>0.85930058861392711</v>
      </c>
      <c r="G746" s="27">
        <v>0.14069941138607286</v>
      </c>
      <c r="H746" s="27">
        <v>0</v>
      </c>
      <c r="I746" s="27">
        <v>0.75237168224162931</v>
      </c>
      <c r="J746" s="27">
        <v>0.24762831775837069</v>
      </c>
      <c r="K746" s="27">
        <v>0</v>
      </c>
      <c r="L746" s="27">
        <v>0.10893244336115449</v>
      </c>
      <c r="M746" s="27">
        <v>0.53089923438959175</v>
      </c>
      <c r="N746" s="27">
        <v>0.36016832224925377</v>
      </c>
      <c r="O746" s="27">
        <v>-11.081928448856138</v>
      </c>
      <c r="P746" s="27">
        <v>3.4287236762241054E-2</v>
      </c>
      <c r="Q746" s="27">
        <v>6.4951838760894637E-5</v>
      </c>
      <c r="R746" s="27">
        <v>1.0627539903442007</v>
      </c>
      <c r="S746" s="154"/>
      <c r="T746">
        <v>1.0089335111795845</v>
      </c>
      <c r="U746">
        <v>2.22068995931282</v>
      </c>
      <c r="V746">
        <v>3.045835791970521</v>
      </c>
      <c r="W746">
        <v>1</v>
      </c>
      <c r="Y746" s="2">
        <v>393.57406662067069</v>
      </c>
      <c r="Z746" s="2">
        <v>4321.8105268774079</v>
      </c>
      <c r="AA746" s="2">
        <v>176.91266695877525</v>
      </c>
      <c r="AB746" s="2">
        <v>2765.891422408481</v>
      </c>
      <c r="AC746" s="2">
        <v>759.37417259840163</v>
      </c>
      <c r="AD746" s="2">
        <v>1116.0550544017717</v>
      </c>
      <c r="AE746" s="2">
        <v>564.87674199420644</v>
      </c>
      <c r="AF746" s="2">
        <v>1177.5166464887407</v>
      </c>
      <c r="AG746" s="2">
        <v>138.69984256118474</v>
      </c>
      <c r="AH746" s="2">
        <v>747.48633018659882</v>
      </c>
      <c r="AI746" s="2">
        <v>494922.22768676613</v>
      </c>
      <c r="AJ746" s="2">
        <v>461435.38353019179</v>
      </c>
      <c r="AL746" s="27">
        <v>0.91295648096702464</v>
      </c>
      <c r="AM746" s="27">
        <v>0.91566972647651024</v>
      </c>
      <c r="AN746" s="27">
        <v>0.90613038525815959</v>
      </c>
      <c r="AO746" s="27">
        <v>0.87593559213463634</v>
      </c>
      <c r="AP746" s="27">
        <v>0.56254591688672628</v>
      </c>
      <c r="AQ746" s="27">
        <v>0.91295648096702464</v>
      </c>
      <c r="AR746" s="27">
        <v>0.91566972647651024</v>
      </c>
      <c r="AS746" s="27">
        <v>0.90613038525815959</v>
      </c>
      <c r="AT746" s="27">
        <v>0.87593559213463634</v>
      </c>
      <c r="AU746" s="27">
        <v>0.56254591688672628</v>
      </c>
      <c r="AW746" s="1">
        <v>13.132256730852163</v>
      </c>
      <c r="AX746" s="1">
        <v>15.719973622207853</v>
      </c>
      <c r="AY746" s="2">
        <v>2017945.7358904576</v>
      </c>
      <c r="AZ746" s="1">
        <v>15.106774885993788</v>
      </c>
      <c r="BA746" s="1">
        <v>17.489449847423764</v>
      </c>
      <c r="BB746" s="2">
        <v>1446083.9060245906</v>
      </c>
      <c r="BC746" s="2">
        <f t="shared" si="84"/>
        <v>-571861.82986586704</v>
      </c>
      <c r="BD746" s="292">
        <f t="shared" si="85"/>
        <v>1.9745181551416255</v>
      </c>
      <c r="BF746" s="170">
        <f t="shared" si="80"/>
        <v>83215.341045888374</v>
      </c>
      <c r="BG746" s="2">
        <f t="shared" si="81"/>
        <v>971000.07573441556</v>
      </c>
      <c r="BI746">
        <f t="shared" si="82"/>
        <v>0</v>
      </c>
      <c r="BJ746" s="95">
        <f t="shared" si="83"/>
        <v>1</v>
      </c>
      <c r="BP746" s="217">
        <f t="shared" si="86"/>
        <v>971000.07573441556</v>
      </c>
    </row>
    <row r="747" spans="1:68">
      <c r="A747" s="11">
        <v>741</v>
      </c>
      <c r="C747" s="27">
        <v>0.92028762196610214</v>
      </c>
      <c r="D747" s="27">
        <v>7.9712378033897857E-2</v>
      </c>
      <c r="E747" s="27">
        <v>0</v>
      </c>
      <c r="F747" s="27">
        <v>0.85739998019728658</v>
      </c>
      <c r="G747" s="27">
        <v>0.14260001980271342</v>
      </c>
      <c r="H747" s="27">
        <v>0</v>
      </c>
      <c r="I747" s="27">
        <v>0.75245153572532708</v>
      </c>
      <c r="J747" s="27">
        <v>0.24754846427467292</v>
      </c>
      <c r="K747" s="27">
        <v>0</v>
      </c>
      <c r="L747" s="27">
        <v>0.11549977315854376</v>
      </c>
      <c r="M747" s="27">
        <v>0.48104501111568126</v>
      </c>
      <c r="N747" s="27">
        <v>0.40345521572577503</v>
      </c>
      <c r="O747" s="27">
        <v>-11.167907112078057</v>
      </c>
      <c r="P747" s="27">
        <v>3.7500955919986631E-2</v>
      </c>
      <c r="Q747" s="27">
        <v>6.8213575174806023E-5</v>
      </c>
      <c r="R747" s="27">
        <v>1.0497143104721167</v>
      </c>
      <c r="S747" s="154"/>
      <c r="T747">
        <v>0.939553216932697</v>
      </c>
      <c r="U747">
        <v>2.2520393153026448</v>
      </c>
      <c r="V747">
        <v>3.194475643262662</v>
      </c>
      <c r="W747">
        <v>1</v>
      </c>
      <c r="Y747" s="2">
        <v>57.511022119680767</v>
      </c>
      <c r="Z747" s="2">
        <v>324.21548200115672</v>
      </c>
      <c r="AA747" s="2">
        <v>782.97836720045495</v>
      </c>
      <c r="AB747" s="2">
        <v>3201.2399495784412</v>
      </c>
      <c r="AC747" s="2">
        <v>1900.446257024661</v>
      </c>
      <c r="AD747" s="2">
        <v>1237.6361404828369</v>
      </c>
      <c r="AE747" s="2">
        <v>548.26114868800221</v>
      </c>
      <c r="AF747" s="2">
        <v>972.76628743387153</v>
      </c>
      <c r="AG747" s="2">
        <v>154.70589303973526</v>
      </c>
      <c r="AH747" s="2">
        <v>240.91100686362117</v>
      </c>
      <c r="AI747" s="2">
        <v>513945.15200041735</v>
      </c>
      <c r="AJ747" s="2">
        <v>479884.65296809602</v>
      </c>
      <c r="AL747" s="27">
        <v>0.91392484657323503</v>
      </c>
      <c r="AM747" s="27">
        <v>0.91452398086715492</v>
      </c>
      <c r="AN747" s="27">
        <v>0.89887029988078515</v>
      </c>
      <c r="AO747" s="27">
        <v>0.87081106632792782</v>
      </c>
      <c r="AP747" s="27">
        <v>0.78012786268076662</v>
      </c>
      <c r="AQ747" s="27">
        <v>0.91392484657323503</v>
      </c>
      <c r="AR747" s="27">
        <v>0.91452398086715492</v>
      </c>
      <c r="AS747" s="27">
        <v>0.89887029988078515</v>
      </c>
      <c r="AT747" s="27">
        <v>0.87081106632792782</v>
      </c>
      <c r="AU747" s="27">
        <v>0.78012786268076662</v>
      </c>
      <c r="AW747" s="1">
        <v>13.786565254010354</v>
      </c>
      <c r="AX747" s="1">
        <v>15.587212470520518</v>
      </c>
      <c r="AY747" s="2">
        <v>1904101.2868306306</v>
      </c>
      <c r="AZ747" s="1">
        <v>15.428151530843174</v>
      </c>
      <c r="BA747" s="1">
        <v>17.267064508990313</v>
      </c>
      <c r="BB747" s="2">
        <v>1444203.8583925872</v>
      </c>
      <c r="BC747" s="2">
        <f t="shared" si="84"/>
        <v>-459897.42843804345</v>
      </c>
      <c r="BD747" s="292">
        <f t="shared" si="85"/>
        <v>1.64158627683282</v>
      </c>
      <c r="BF747" s="170">
        <f t="shared" si="80"/>
        <v>301749.1538110259</v>
      </c>
      <c r="BG747" s="2">
        <f t="shared" si="81"/>
        <v>1024300.3865423205</v>
      </c>
      <c r="BI747">
        <f t="shared" si="82"/>
        <v>0</v>
      </c>
      <c r="BJ747" s="95">
        <f t="shared" si="83"/>
        <v>1</v>
      </c>
      <c r="BP747" s="217">
        <f t="shared" si="86"/>
        <v>1024300.3865423205</v>
      </c>
    </row>
    <row r="748" spans="1:68">
      <c r="A748" s="11">
        <v>742</v>
      </c>
      <c r="C748" s="27">
        <v>0.9228005243288222</v>
      </c>
      <c r="D748" s="27">
        <v>7.7199475671177797E-2</v>
      </c>
      <c r="E748" s="27">
        <v>0</v>
      </c>
      <c r="F748" s="27">
        <v>0.85507663957273339</v>
      </c>
      <c r="G748" s="27">
        <v>0.14492336042726661</v>
      </c>
      <c r="H748" s="27">
        <v>0</v>
      </c>
      <c r="I748" s="27">
        <v>0.74611097362191081</v>
      </c>
      <c r="J748" s="27">
        <v>0.25388902637808919</v>
      </c>
      <c r="K748" s="27">
        <v>0</v>
      </c>
      <c r="L748" s="27">
        <v>9.0986308942573313E-2</v>
      </c>
      <c r="M748" s="27">
        <v>0.53178648910765425</v>
      </c>
      <c r="N748" s="27">
        <v>0.37722720194977244</v>
      </c>
      <c r="O748" s="27">
        <v>-11.296409048400157</v>
      </c>
      <c r="P748" s="27">
        <v>3.6580146290107744E-2</v>
      </c>
      <c r="Q748" s="27">
        <v>5.7712145987736046E-5</v>
      </c>
      <c r="R748" s="27">
        <v>1.0807334867391953</v>
      </c>
      <c r="S748" s="154"/>
      <c r="T748">
        <v>1.0216661622214207</v>
      </c>
      <c r="U748">
        <v>2.3108661920685849</v>
      </c>
      <c r="V748">
        <v>3.2326437414583569</v>
      </c>
      <c r="W748">
        <v>1</v>
      </c>
      <c r="Y748" s="2">
        <v>734.51639410676637</v>
      </c>
      <c r="Z748" s="2">
        <v>188.30075620781548</v>
      </c>
      <c r="AA748" s="2">
        <v>1269.2147112083646</v>
      </c>
      <c r="AB748" s="2">
        <v>6514.6149085644747</v>
      </c>
      <c r="AC748" s="2">
        <v>47.94545513241259</v>
      </c>
      <c r="AD748" s="2">
        <v>2.1258216807815873</v>
      </c>
      <c r="AE748" s="2">
        <v>540.64782732703304</v>
      </c>
      <c r="AF748" s="2">
        <v>1245.5389839048962</v>
      </c>
      <c r="AG748" s="2">
        <v>188.97473194214601</v>
      </c>
      <c r="AH748" s="2">
        <v>562.65888851204681</v>
      </c>
      <c r="AI748" s="2">
        <v>461678.46444975177</v>
      </c>
      <c r="AJ748" s="2">
        <v>421162.1473156205</v>
      </c>
      <c r="AL748" s="27">
        <v>0.91712791242780034</v>
      </c>
      <c r="AM748" s="27">
        <v>0.91535972886447636</v>
      </c>
      <c r="AN748" s="27">
        <v>0.90945033430197109</v>
      </c>
      <c r="AO748" s="27">
        <v>0.84615769368357252</v>
      </c>
      <c r="AP748" s="27">
        <v>0.66812095353614009</v>
      </c>
      <c r="AQ748" s="27">
        <v>0.91712791242780034</v>
      </c>
      <c r="AR748" s="27">
        <v>0.91535972886447636</v>
      </c>
      <c r="AS748" s="27">
        <v>0.90945033430197109</v>
      </c>
      <c r="AT748" s="27">
        <v>0.84615769368357252</v>
      </c>
      <c r="AU748" s="27">
        <v>0.66812095353614009</v>
      </c>
      <c r="AW748" s="1">
        <v>13.285449502376066</v>
      </c>
      <c r="AX748" s="1">
        <v>15.455218321803482</v>
      </c>
      <c r="AY748" s="2">
        <v>1756306.8252587793</v>
      </c>
      <c r="AZ748" s="1">
        <v>15.267298716925424</v>
      </c>
      <c r="BA748" s="1">
        <v>17.342197907517154</v>
      </c>
      <c r="BB748" s="2">
        <v>1357587.2131568154</v>
      </c>
      <c r="BC748" s="2">
        <f t="shared" si="84"/>
        <v>-398719.61210196395</v>
      </c>
      <c r="BD748" s="292">
        <f t="shared" si="85"/>
        <v>1.9818492145493583</v>
      </c>
      <c r="BF748" s="170">
        <f t="shared" si="80"/>
        <v>369365.09512139112</v>
      </c>
      <c r="BG748" s="2">
        <f t="shared" si="81"/>
        <v>1085180.5815512526</v>
      </c>
      <c r="BI748">
        <f t="shared" si="82"/>
        <v>0</v>
      </c>
      <c r="BJ748" s="95">
        <f t="shared" si="83"/>
        <v>1</v>
      </c>
      <c r="BP748" s="217">
        <f t="shared" si="86"/>
        <v>1085180.5815512526</v>
      </c>
    </row>
    <row r="749" spans="1:68">
      <c r="A749" s="11">
        <v>743</v>
      </c>
      <c r="C749" s="27">
        <v>0.92149508379823353</v>
      </c>
      <c r="D749" s="27">
        <v>7.8504916201766473E-2</v>
      </c>
      <c r="E749" s="27">
        <v>0</v>
      </c>
      <c r="F749" s="27">
        <v>0.8530204482334145</v>
      </c>
      <c r="G749" s="27">
        <v>0.1469795517665855</v>
      </c>
      <c r="H749" s="27">
        <v>0</v>
      </c>
      <c r="I749" s="27">
        <v>0.74889069427894661</v>
      </c>
      <c r="J749" s="27">
        <v>0.25110930572105339</v>
      </c>
      <c r="K749" s="27">
        <v>0</v>
      </c>
      <c r="L749" s="27">
        <v>0.18811783640684038</v>
      </c>
      <c r="M749" s="27">
        <v>0.47373052453666536</v>
      </c>
      <c r="N749" s="27">
        <v>0.3381516390564942</v>
      </c>
      <c r="O749" s="27">
        <v>-10.982042089256538</v>
      </c>
      <c r="P749" s="27">
        <v>3.6036966728145069E-2</v>
      </c>
      <c r="Q749" s="27">
        <v>7.7248003539098908E-5</v>
      </c>
      <c r="R749" s="27">
        <v>1.0489783092815197</v>
      </c>
      <c r="S749" s="154"/>
      <c r="T749">
        <v>0.97851726703283903</v>
      </c>
      <c r="U749">
        <v>2.2760713867165085</v>
      </c>
      <c r="V749">
        <v>2.9024475120950575</v>
      </c>
      <c r="W749">
        <v>1</v>
      </c>
      <c r="Y749" s="2">
        <v>1794.4248798971146</v>
      </c>
      <c r="Z749" s="2">
        <v>2956.3232814055582</v>
      </c>
      <c r="AA749" s="2">
        <v>267.03159958198228</v>
      </c>
      <c r="AB749" s="2">
        <v>2547.5492456134425</v>
      </c>
      <c r="AC749" s="2">
        <v>1670.6524887504122</v>
      </c>
      <c r="AD749" s="2">
        <v>591.4815934923397</v>
      </c>
      <c r="AE749" s="2">
        <v>467.83582127325695</v>
      </c>
      <c r="AF749" s="2">
        <v>966.44652338676394</v>
      </c>
      <c r="AG749" s="2">
        <v>77.416642404996765</v>
      </c>
      <c r="AH749" s="2">
        <v>382.28442483290087</v>
      </c>
      <c r="AI749" s="2">
        <v>463133.39400058385</v>
      </c>
      <c r="AJ749" s="2">
        <v>433601.57636938966</v>
      </c>
      <c r="AL749" s="27">
        <v>0.9161066321941056</v>
      </c>
      <c r="AM749" s="27">
        <v>0.92021135723903091</v>
      </c>
      <c r="AN749" s="27">
        <v>0.9107287285315423</v>
      </c>
      <c r="AO749" s="27">
        <v>0.88281320947385777</v>
      </c>
      <c r="AP749" s="27">
        <v>0.84126031063899176</v>
      </c>
      <c r="AQ749" s="27">
        <v>0.9161066321941056</v>
      </c>
      <c r="AR749" s="27">
        <v>0.92021135723903091</v>
      </c>
      <c r="AS749" s="27">
        <v>0.9107287285315423</v>
      </c>
      <c r="AT749" s="27">
        <v>0.88281320947385777</v>
      </c>
      <c r="AU749" s="27">
        <v>0.84126031063899176</v>
      </c>
      <c r="AW749" s="1">
        <v>14.066692319153718</v>
      </c>
      <c r="AX749" s="1">
        <v>15.643687227774517</v>
      </c>
      <c r="AY749" s="2">
        <v>1834357.2949447632</v>
      </c>
      <c r="AZ749" s="1">
        <v>15.700862739106192</v>
      </c>
      <c r="BA749" s="1">
        <v>17.345232808802216</v>
      </c>
      <c r="BB749" s="2">
        <v>1321959.1245448375</v>
      </c>
      <c r="BC749" s="2">
        <f t="shared" si="84"/>
        <v>-512398.17039992567</v>
      </c>
      <c r="BD749" s="292">
        <f t="shared" si="85"/>
        <v>1.6341704199524738</v>
      </c>
      <c r="BF749" s="170">
        <f t="shared" si="80"/>
        <v>416313.47611983167</v>
      </c>
      <c r="BG749" s="2">
        <f t="shared" si="81"/>
        <v>1190178.9137121532</v>
      </c>
      <c r="BI749">
        <f t="shared" si="82"/>
        <v>0</v>
      </c>
      <c r="BJ749" s="95">
        <f t="shared" si="83"/>
        <v>1</v>
      </c>
      <c r="BP749" s="217">
        <f t="shared" si="86"/>
        <v>1190178.9137121532</v>
      </c>
    </row>
    <row r="750" spans="1:68">
      <c r="A750" s="11">
        <v>744</v>
      </c>
      <c r="C750" s="27">
        <v>0.91932503205866745</v>
      </c>
      <c r="D750" s="27">
        <v>8.0674967941332554E-2</v>
      </c>
      <c r="E750" s="27">
        <v>0</v>
      </c>
      <c r="F750" s="27">
        <v>0.8519306083433813</v>
      </c>
      <c r="G750" s="27">
        <v>0.1480693916566187</v>
      </c>
      <c r="H750" s="27">
        <v>0</v>
      </c>
      <c r="I750" s="27">
        <v>0.74440406864965414</v>
      </c>
      <c r="J750" s="27">
        <v>0.25559593135034586</v>
      </c>
      <c r="K750" s="27">
        <v>0</v>
      </c>
      <c r="L750" s="27">
        <v>0.11045869860171065</v>
      </c>
      <c r="M750" s="27">
        <v>0.47484740282331472</v>
      </c>
      <c r="N750" s="27">
        <v>0.41469389857497463</v>
      </c>
      <c r="O750" s="27">
        <v>-11.444315228691517</v>
      </c>
      <c r="P750" s="27">
        <v>3.594673309413212E-2</v>
      </c>
      <c r="Q750" s="27">
        <v>4.8470633476456087E-5</v>
      </c>
      <c r="R750" s="27">
        <v>1.1033757547532301</v>
      </c>
      <c r="S750" s="154"/>
      <c r="T750">
        <v>0.8601805560200857</v>
      </c>
      <c r="U750">
        <v>2.2534633957577346</v>
      </c>
      <c r="V750">
        <v>3.2004528002027368</v>
      </c>
      <c r="W750">
        <v>1</v>
      </c>
      <c r="Y750" s="2">
        <v>383.03670477257174</v>
      </c>
      <c r="Z750" s="2">
        <v>2106.1471713069936</v>
      </c>
      <c r="AA750" s="2">
        <v>5166.9996131044136</v>
      </c>
      <c r="AB750" s="2">
        <v>3806.9611849185721</v>
      </c>
      <c r="AC750" s="2">
        <v>133.23580518086911</v>
      </c>
      <c r="AD750" s="2">
        <v>2980.8718294988171</v>
      </c>
      <c r="AE750" s="2">
        <v>585.85876022280161</v>
      </c>
      <c r="AF750" s="2">
        <v>888.53850231513707</v>
      </c>
      <c r="AG750" s="2">
        <v>179.85206742316154</v>
      </c>
      <c r="AH750" s="2">
        <v>385.24737337975944</v>
      </c>
      <c r="AI750" s="2">
        <v>535201.32109794207</v>
      </c>
      <c r="AJ750" s="2">
        <v>499023.57227791776</v>
      </c>
      <c r="AL750" s="27">
        <v>0.92038697943587122</v>
      </c>
      <c r="AM750" s="27">
        <v>0.91111409718230274</v>
      </c>
      <c r="AN750" s="27">
        <v>0.91419979004079766</v>
      </c>
      <c r="AO750" s="27">
        <v>0.8684715176049429</v>
      </c>
      <c r="AP750" s="27">
        <v>0.67627152756569853</v>
      </c>
      <c r="AQ750" s="27">
        <v>0.92038697943587122</v>
      </c>
      <c r="AR750" s="27">
        <v>0.91111409718230274</v>
      </c>
      <c r="AS750" s="27">
        <v>0.91419979004079766</v>
      </c>
      <c r="AT750" s="27">
        <v>0.8684715176049429</v>
      </c>
      <c r="AU750" s="27">
        <v>0.67627152756569853</v>
      </c>
      <c r="AW750" s="1">
        <v>13.534839051932277</v>
      </c>
      <c r="AX750" s="1">
        <v>15.511074376983959</v>
      </c>
      <c r="AY750" s="2">
        <v>1769093.6416752466</v>
      </c>
      <c r="AZ750" s="1">
        <v>15.024627613764059</v>
      </c>
      <c r="BA750" s="1">
        <v>16.976826495064483</v>
      </c>
      <c r="BB750" s="2">
        <v>1526635.8446916051</v>
      </c>
      <c r="BC750" s="2">
        <f t="shared" si="84"/>
        <v>-242457.79698364157</v>
      </c>
      <c r="BD750" s="292">
        <f t="shared" si="85"/>
        <v>1.4897885618317819</v>
      </c>
      <c r="BF750" s="170">
        <f t="shared" si="80"/>
        <v>396480.60663391766</v>
      </c>
      <c r="BG750" s="2">
        <f t="shared" si="81"/>
        <v>877304.57351064426</v>
      </c>
      <c r="BI750">
        <f t="shared" si="82"/>
        <v>0</v>
      </c>
      <c r="BJ750" s="95">
        <f t="shared" si="83"/>
        <v>1</v>
      </c>
      <c r="BP750" s="217">
        <f t="shared" si="86"/>
        <v>877304.57351064426</v>
      </c>
    </row>
    <row r="751" spans="1:68">
      <c r="A751" s="11">
        <v>745</v>
      </c>
      <c r="C751" s="27">
        <v>0.92234602779384511</v>
      </c>
      <c r="D751" s="27">
        <v>7.7653972206154886E-2</v>
      </c>
      <c r="E751" s="27">
        <v>0</v>
      </c>
      <c r="F751" s="27">
        <v>0.85535381723043002</v>
      </c>
      <c r="G751" s="27">
        <v>0.14464618276956998</v>
      </c>
      <c r="H751" s="27">
        <v>0</v>
      </c>
      <c r="I751" s="27">
        <v>0.74120067736044248</v>
      </c>
      <c r="J751" s="27">
        <v>0.25879932263955752</v>
      </c>
      <c r="K751" s="27">
        <v>0</v>
      </c>
      <c r="L751" s="27">
        <v>9.857744448118444E-2</v>
      </c>
      <c r="M751" s="27">
        <v>0.50321529887756555</v>
      </c>
      <c r="N751" s="27">
        <v>0.39820725664125001</v>
      </c>
      <c r="O751" s="27">
        <v>-11.094120188624537</v>
      </c>
      <c r="P751" s="27">
        <v>3.4657689684411026E-2</v>
      </c>
      <c r="Q751" s="27">
        <v>6.517091862589653E-5</v>
      </c>
      <c r="R751" s="27">
        <v>1.066262407172869</v>
      </c>
      <c r="S751" s="154"/>
      <c r="T751">
        <v>0.99061010914782011</v>
      </c>
      <c r="U751">
        <v>2.1930484015443232</v>
      </c>
      <c r="V751">
        <v>3.2377775666456134</v>
      </c>
      <c r="W751">
        <v>1</v>
      </c>
      <c r="Y751" s="2">
        <v>744.27991770389542</v>
      </c>
      <c r="Z751" s="2">
        <v>1963.0549290015529</v>
      </c>
      <c r="AA751" s="2">
        <v>62.401340243381654</v>
      </c>
      <c r="AB751" s="2">
        <v>165.64920894370624</v>
      </c>
      <c r="AC751" s="2">
        <v>3236.2245060562373</v>
      </c>
      <c r="AD751" s="2">
        <v>1807.0314109072303</v>
      </c>
      <c r="AE751" s="2">
        <v>607.9606243914485</v>
      </c>
      <c r="AF751" s="2">
        <v>1229.4583174646236</v>
      </c>
      <c r="AG751" s="2">
        <v>93.112916469256064</v>
      </c>
      <c r="AH751" s="2">
        <v>385.44894127743629</v>
      </c>
      <c r="AI751" s="2">
        <v>458843.65338410158</v>
      </c>
      <c r="AJ751" s="2">
        <v>427354.62508123124</v>
      </c>
      <c r="AL751" s="27">
        <v>0.91655755773680614</v>
      </c>
      <c r="AM751" s="27">
        <v>0.9089369408363126</v>
      </c>
      <c r="AN751" s="27">
        <v>0.91373756270665385</v>
      </c>
      <c r="AO751" s="27">
        <v>0.84738534237208996</v>
      </c>
      <c r="AP751" s="27">
        <v>0.75426681448575206</v>
      </c>
      <c r="AQ751" s="27">
        <v>0.91655755773680614</v>
      </c>
      <c r="AR751" s="27">
        <v>0.9089369408363126</v>
      </c>
      <c r="AS751" s="27">
        <v>0.91373756270665385</v>
      </c>
      <c r="AT751" s="27">
        <v>0.84738534237208996</v>
      </c>
      <c r="AU751" s="27">
        <v>0.75426681448575206</v>
      </c>
      <c r="AW751" s="1">
        <v>13.584447842671773</v>
      </c>
      <c r="AX751" s="1">
        <v>15.446289883415636</v>
      </c>
      <c r="AY751" s="2">
        <v>1746649.0454060547</v>
      </c>
      <c r="AZ751" s="1">
        <v>15.354069793299811</v>
      </c>
      <c r="BA751" s="1">
        <v>17.22600674204838</v>
      </c>
      <c r="BB751" s="2">
        <v>1236677.904834412</v>
      </c>
      <c r="BC751" s="2">
        <f t="shared" si="84"/>
        <v>-509971.14057164267</v>
      </c>
      <c r="BD751" s="292">
        <f t="shared" si="85"/>
        <v>1.7696219506280375</v>
      </c>
      <c r="BF751" s="170">
        <f t="shared" si="80"/>
        <v>426862.60942142922</v>
      </c>
      <c r="BG751" s="2">
        <f t="shared" si="81"/>
        <v>1219973.2620935575</v>
      </c>
      <c r="BI751">
        <f t="shared" si="82"/>
        <v>0</v>
      </c>
      <c r="BJ751" s="95">
        <f t="shared" si="83"/>
        <v>1</v>
      </c>
      <c r="BP751" s="217">
        <f t="shared" si="86"/>
        <v>1219973.2620935575</v>
      </c>
    </row>
    <row r="752" spans="1:68">
      <c r="A752" s="11">
        <v>746</v>
      </c>
      <c r="C752" s="27">
        <v>0.92332656987674766</v>
      </c>
      <c r="D752" s="27">
        <v>7.6673430123252284E-2</v>
      </c>
      <c r="E752" s="27">
        <v>0</v>
      </c>
      <c r="F752" s="27">
        <v>0.86043784572941306</v>
      </c>
      <c r="G752" s="27">
        <v>0.13956215427058691</v>
      </c>
      <c r="H752" s="27">
        <v>0</v>
      </c>
      <c r="I752" s="27">
        <v>0.74886001071230068</v>
      </c>
      <c r="J752" s="27">
        <v>0.25113998928769932</v>
      </c>
      <c r="K752" s="27">
        <v>0</v>
      </c>
      <c r="L752" s="27">
        <v>0.15492227855716983</v>
      </c>
      <c r="M752" s="27">
        <v>0.47646889833340672</v>
      </c>
      <c r="N752" s="27">
        <v>0.3686088231094235</v>
      </c>
      <c r="O752" s="27">
        <v>-11.495319617592235</v>
      </c>
      <c r="P752" s="27">
        <v>3.8087202793412885E-2</v>
      </c>
      <c r="Q752" s="27">
        <v>5.0393059521873314E-5</v>
      </c>
      <c r="R752" s="27">
        <v>1.0924433591304727</v>
      </c>
      <c r="S752" s="154"/>
      <c r="T752">
        <v>1.0382484289623084</v>
      </c>
      <c r="U752">
        <v>2.3386489517769378</v>
      </c>
      <c r="V752">
        <v>3.0484970221440904</v>
      </c>
      <c r="W752">
        <v>1</v>
      </c>
      <c r="Y752" s="2">
        <v>312.81063428753191</v>
      </c>
      <c r="Z752" s="2">
        <v>3565.5230034571746</v>
      </c>
      <c r="AA752" s="2">
        <v>1433.5783213817729</v>
      </c>
      <c r="AB752" s="2">
        <v>2506.375320508826</v>
      </c>
      <c r="AC752" s="2">
        <v>447.01153838840327</v>
      </c>
      <c r="AD752" s="2">
        <v>2399.9389765627679</v>
      </c>
      <c r="AE752" s="2">
        <v>557.15715007733797</v>
      </c>
      <c r="AF752" s="2">
        <v>986.11673134898558</v>
      </c>
      <c r="AG752" s="2">
        <v>148.19663123878891</v>
      </c>
      <c r="AH752" s="2">
        <v>207.09455306607106</v>
      </c>
      <c r="AI752" s="2">
        <v>442424.40075608529</v>
      </c>
      <c r="AJ752" s="2">
        <v>399042.38015010755</v>
      </c>
      <c r="AL752" s="27">
        <v>0.91182343619443273</v>
      </c>
      <c r="AM752" s="27">
        <v>0.91611805116735157</v>
      </c>
      <c r="AN752" s="27">
        <v>0.90061298982139937</v>
      </c>
      <c r="AO752" s="27">
        <v>0.85264058361575035</v>
      </c>
      <c r="AP752" s="27">
        <v>0.62637104795562215</v>
      </c>
      <c r="AQ752" s="27">
        <v>0.91182343619443273</v>
      </c>
      <c r="AR752" s="27">
        <v>0.91611805116735157</v>
      </c>
      <c r="AS752" s="27">
        <v>0.90061298982139937</v>
      </c>
      <c r="AT752" s="27">
        <v>0.85264058361575035</v>
      </c>
      <c r="AU752" s="27">
        <v>0.62637104795562215</v>
      </c>
      <c r="AW752" s="1">
        <v>13.100160098936009</v>
      </c>
      <c r="AX752" s="1">
        <v>15.422669721174485</v>
      </c>
      <c r="AY752" s="2">
        <v>1650917.8628532544</v>
      </c>
      <c r="AZ752" s="1">
        <v>15.173865606763057</v>
      </c>
      <c r="BA752" s="1">
        <v>17.372704727607818</v>
      </c>
      <c r="BB752" s="2">
        <v>1202398.3853698231</v>
      </c>
      <c r="BC752" s="2">
        <f t="shared" si="84"/>
        <v>-448519.47748343134</v>
      </c>
      <c r="BD752" s="292">
        <f t="shared" si="85"/>
        <v>2.0737055078270483</v>
      </c>
      <c r="BF752" s="170">
        <f t="shared" si="80"/>
        <v>445107.75297650695</v>
      </c>
      <c r="BG752" s="2">
        <f t="shared" si="81"/>
        <v>1225420.111712266</v>
      </c>
      <c r="BI752">
        <f t="shared" si="82"/>
        <v>0</v>
      </c>
      <c r="BJ752" s="95">
        <f t="shared" si="83"/>
        <v>1</v>
      </c>
      <c r="BP752" s="217">
        <f t="shared" si="86"/>
        <v>1225420.111712266</v>
      </c>
    </row>
    <row r="753" spans="1:68">
      <c r="A753" s="11">
        <v>747</v>
      </c>
      <c r="C753" s="27">
        <v>0.92328602345833388</v>
      </c>
      <c r="D753" s="27">
        <v>7.6713976541666118E-2</v>
      </c>
      <c r="E753" s="27">
        <v>0</v>
      </c>
      <c r="F753" s="27">
        <v>0.85760777171024949</v>
      </c>
      <c r="G753" s="27">
        <v>0.14239222828975054</v>
      </c>
      <c r="H753" s="27">
        <v>0</v>
      </c>
      <c r="I753" s="27">
        <v>0.76087568444868825</v>
      </c>
      <c r="J753" s="27">
        <v>0.23912431555131172</v>
      </c>
      <c r="K753" s="27">
        <v>0</v>
      </c>
      <c r="L753" s="27">
        <v>0.13679616983534859</v>
      </c>
      <c r="M753" s="27">
        <v>0.42608068642140939</v>
      </c>
      <c r="N753" s="27">
        <v>0.43712314374324202</v>
      </c>
      <c r="O753" s="27">
        <v>-11.420877558492597</v>
      </c>
      <c r="P753" s="27">
        <v>3.5418754533793E-2</v>
      </c>
      <c r="Q753" s="27">
        <v>4.8531869725793046E-5</v>
      </c>
      <c r="R753" s="27">
        <v>1.1059998025256137</v>
      </c>
      <c r="S753" s="154"/>
      <c r="T753">
        <v>1.1327565863550997</v>
      </c>
      <c r="U753">
        <v>2.2322601635202806</v>
      </c>
      <c r="V753">
        <v>2.9370741467476487</v>
      </c>
      <c r="W753">
        <v>1</v>
      </c>
      <c r="Y753" s="2">
        <v>86.913344635453711</v>
      </c>
      <c r="Z753" s="2">
        <v>3617.4345737661915</v>
      </c>
      <c r="AA753" s="2">
        <v>2655.2878052834926</v>
      </c>
      <c r="AB753" s="2">
        <v>640.98607215443656</v>
      </c>
      <c r="AC753" s="2">
        <v>947.65026909554183</v>
      </c>
      <c r="AD753" s="2">
        <v>2721.2934392063398</v>
      </c>
      <c r="AE753" s="2">
        <v>567.19205458296619</v>
      </c>
      <c r="AF753" s="2">
        <v>1157.7849665753124</v>
      </c>
      <c r="AG753" s="2">
        <v>104.31976650553258</v>
      </c>
      <c r="AH753" s="2">
        <v>355.03483178849865</v>
      </c>
      <c r="AI753" s="2">
        <v>777925.38077393314</v>
      </c>
      <c r="AJ753" s="2">
        <v>738693.90844038397</v>
      </c>
      <c r="AL753" s="27">
        <v>0.91075794882913097</v>
      </c>
      <c r="AM753" s="27">
        <v>0.9191511520725526</v>
      </c>
      <c r="AN753" s="27">
        <v>0.92014781819449243</v>
      </c>
      <c r="AO753" s="27">
        <v>0.87914202841635802</v>
      </c>
      <c r="AP753" s="27">
        <v>0.7970955672206459</v>
      </c>
      <c r="AQ753" s="27">
        <v>0.91075794882913097</v>
      </c>
      <c r="AR753" s="27">
        <v>0.9191511520725526</v>
      </c>
      <c r="AS753" s="27">
        <v>0.92014781819449243</v>
      </c>
      <c r="AT753" s="27">
        <v>0.87914202841635802</v>
      </c>
      <c r="AU753" s="27">
        <v>0.7970955672206459</v>
      </c>
      <c r="AW753" s="1">
        <v>13.091813751821601</v>
      </c>
      <c r="AX753" s="1">
        <v>14.722037146564722</v>
      </c>
      <c r="AY753" s="2">
        <v>2613279.6788805113</v>
      </c>
      <c r="AZ753" s="1">
        <v>15.343996852088495</v>
      </c>
      <c r="BA753" s="1">
        <v>17.04462311920938</v>
      </c>
      <c r="BB753" s="2">
        <v>1801224.603926776</v>
      </c>
      <c r="BC753" s="2">
        <f t="shared" si="84"/>
        <v>-812055.07495373534</v>
      </c>
      <c r="BD753" s="292">
        <f t="shared" si="85"/>
        <v>2.2521831002668939</v>
      </c>
      <c r="BF753" s="170">
        <f t="shared" si="80"/>
        <v>-518589.47858905513</v>
      </c>
      <c r="BG753" s="2">
        <f t="shared" si="81"/>
        <v>653814.8924073833</v>
      </c>
      <c r="BI753">
        <f t="shared" si="82"/>
        <v>0</v>
      </c>
      <c r="BJ753" s="95">
        <f t="shared" si="83"/>
        <v>1</v>
      </c>
      <c r="BP753" s="217">
        <f t="shared" si="86"/>
        <v>653814.8924073833</v>
      </c>
    </row>
    <row r="754" spans="1:68">
      <c r="A754" s="11">
        <v>748</v>
      </c>
      <c r="C754" s="27">
        <v>0.92146052985458926</v>
      </c>
      <c r="D754" s="27">
        <v>7.8539470145410739E-2</v>
      </c>
      <c r="E754" s="27">
        <v>0</v>
      </c>
      <c r="F754" s="27">
        <v>0.84926624859346023</v>
      </c>
      <c r="G754" s="27">
        <v>0.15073375140653977</v>
      </c>
      <c r="H754" s="27">
        <v>0</v>
      </c>
      <c r="I754" s="27">
        <v>0.74454378818053246</v>
      </c>
      <c r="J754" s="27">
        <v>0.25545621181946754</v>
      </c>
      <c r="K754" s="27">
        <v>0</v>
      </c>
      <c r="L754" s="27">
        <v>7.6442003690895488E-2</v>
      </c>
      <c r="M754" s="27">
        <v>0.54277660887310708</v>
      </c>
      <c r="N754" s="27">
        <v>0.38078138743599743</v>
      </c>
      <c r="O754" s="27">
        <v>-10.953593635467758</v>
      </c>
      <c r="P754" s="27">
        <v>3.3813070358139866E-2</v>
      </c>
      <c r="Q754" s="27">
        <v>7.2389834171591435E-5</v>
      </c>
      <c r="R754" s="27">
        <v>1.0537252523428169</v>
      </c>
      <c r="S754" s="154"/>
      <c r="T754">
        <v>1.020557724446715</v>
      </c>
      <c r="U754">
        <v>2.2777372882063474</v>
      </c>
      <c r="V754">
        <v>3.1212145597399386</v>
      </c>
      <c r="W754">
        <v>1</v>
      </c>
      <c r="Y754" s="2">
        <v>999.67143666497577</v>
      </c>
      <c r="Z754" s="2">
        <v>460.03711948077745</v>
      </c>
      <c r="AA754" s="2">
        <v>814.04341451342009</v>
      </c>
      <c r="AB754" s="2">
        <v>5512.0851895463729</v>
      </c>
      <c r="AC754" s="2">
        <v>941.52420773332642</v>
      </c>
      <c r="AD754" s="2">
        <v>2508.1220848805006</v>
      </c>
      <c r="AE754" s="2">
        <v>588.33412778611694</v>
      </c>
      <c r="AF754" s="2">
        <v>884.13233414639137</v>
      </c>
      <c r="AG754" s="2">
        <v>69.732758210641975</v>
      </c>
      <c r="AH754" s="2">
        <v>324.07348363084031</v>
      </c>
      <c r="AI754" s="2">
        <v>599354.0298701463</v>
      </c>
      <c r="AJ754" s="2">
        <v>565152.35880636098</v>
      </c>
      <c r="AL754" s="27">
        <v>0.91796155346003705</v>
      </c>
      <c r="AM754" s="27">
        <v>0.91212389128932103</v>
      </c>
      <c r="AN754" s="27">
        <v>0.90933105968460215</v>
      </c>
      <c r="AO754" s="27">
        <v>0.85239340437011191</v>
      </c>
      <c r="AP754" s="27">
        <v>0.78821409957026933</v>
      </c>
      <c r="AQ754" s="27">
        <v>0.91796155346003705</v>
      </c>
      <c r="AR754" s="27">
        <v>0.91212389128932103</v>
      </c>
      <c r="AS754" s="27">
        <v>0.90933105968460215</v>
      </c>
      <c r="AT754" s="27">
        <v>0.85239340437011191</v>
      </c>
      <c r="AU754" s="27">
        <v>0.78821409957026933</v>
      </c>
      <c r="AW754" s="1">
        <v>13.676837386795954</v>
      </c>
      <c r="AX754" s="1">
        <v>15.449962072638245</v>
      </c>
      <c r="AY754" s="2">
        <v>2432864.1869856589</v>
      </c>
      <c r="AZ754" s="1">
        <v>15.481552079311212</v>
      </c>
      <c r="BA754" s="1">
        <v>17.285152957261847</v>
      </c>
      <c r="BB754" s="2">
        <v>1844165.1623168348</v>
      </c>
      <c r="BC754" s="2">
        <f t="shared" si="84"/>
        <v>-588699.02466882416</v>
      </c>
      <c r="BD754" s="292">
        <f t="shared" si="85"/>
        <v>1.8047146925152582</v>
      </c>
      <c r="BF754" s="170">
        <f t="shared" si="80"/>
        <v>-244570.20509830629</v>
      </c>
      <c r="BG754" s="2">
        <f t="shared" si="81"/>
        <v>632883.17037295899</v>
      </c>
      <c r="BI754">
        <f t="shared" si="82"/>
        <v>0</v>
      </c>
      <c r="BJ754" s="95">
        <f t="shared" si="83"/>
        <v>1</v>
      </c>
      <c r="BP754" s="217">
        <f t="shared" si="86"/>
        <v>632883.17037295899</v>
      </c>
    </row>
    <row r="755" spans="1:68">
      <c r="A755" s="11">
        <v>749</v>
      </c>
      <c r="C755" s="27">
        <v>0.92157327286464485</v>
      </c>
      <c r="D755" s="27">
        <v>7.8426727135355145E-2</v>
      </c>
      <c r="E755" s="27">
        <v>0</v>
      </c>
      <c r="F755" s="27">
        <v>0.85700825901844735</v>
      </c>
      <c r="G755" s="27">
        <v>0.14299174098155265</v>
      </c>
      <c r="H755" s="27">
        <v>0</v>
      </c>
      <c r="I755" s="27">
        <v>0.75896504678461385</v>
      </c>
      <c r="J755" s="27">
        <v>0.24103495321538615</v>
      </c>
      <c r="K755" s="27">
        <v>0</v>
      </c>
      <c r="L755" s="27">
        <v>0.14905673170033373</v>
      </c>
      <c r="M755" s="27">
        <v>0.49807265515118571</v>
      </c>
      <c r="N755" s="27">
        <v>0.35287061314848056</v>
      </c>
      <c r="O755" s="27">
        <v>-11.437193171731977</v>
      </c>
      <c r="P755" s="27">
        <v>3.5965616375753115E-2</v>
      </c>
      <c r="Q755" s="27">
        <v>4.8855808391691992E-5</v>
      </c>
      <c r="R755" s="27">
        <v>1.1033956962481695</v>
      </c>
      <c r="S755" s="154"/>
      <c r="T755">
        <v>1.1513064296097297</v>
      </c>
      <c r="U755">
        <v>2.151739965244825</v>
      </c>
      <c r="V755">
        <v>3.1280598933929795</v>
      </c>
      <c r="W755">
        <v>1</v>
      </c>
      <c r="Y755" s="2">
        <v>1241.6802580794513</v>
      </c>
      <c r="Z755" s="2">
        <v>8301.3878108639292</v>
      </c>
      <c r="AA755" s="2">
        <v>433.44985019872507</v>
      </c>
      <c r="AB755" s="2">
        <v>12169.280630600811</v>
      </c>
      <c r="AC755" s="2">
        <v>1574.6158165508464</v>
      </c>
      <c r="AD755" s="2">
        <v>874.02997207852263</v>
      </c>
      <c r="AE755" s="2">
        <v>556.32454329051916</v>
      </c>
      <c r="AF755" s="2">
        <v>1160.8491538991786</v>
      </c>
      <c r="AG755" s="2">
        <v>162.21086263505504</v>
      </c>
      <c r="AH755" s="2">
        <v>446.22125699252103</v>
      </c>
      <c r="AI755" s="2">
        <v>527603.58626383846</v>
      </c>
      <c r="AJ755" s="2">
        <v>483950.22950650891</v>
      </c>
      <c r="AL755" s="27">
        <v>0.91505505575101298</v>
      </c>
      <c r="AM755" s="27">
        <v>0.91839478817627251</v>
      </c>
      <c r="AN755" s="27">
        <v>0.9054415646400007</v>
      </c>
      <c r="AO755" s="27">
        <v>0.87861609536775287</v>
      </c>
      <c r="AP755" s="27">
        <v>0.6783993929679446</v>
      </c>
      <c r="AQ755" s="27">
        <v>0.91505505575101298</v>
      </c>
      <c r="AR755" s="27">
        <v>0.91839478817627251</v>
      </c>
      <c r="AS755" s="27">
        <v>0.9054415646400007</v>
      </c>
      <c r="AT755" s="27">
        <v>0.87861609536775287</v>
      </c>
      <c r="AU755" s="27">
        <v>0.6783993929679446</v>
      </c>
      <c r="AW755" s="1">
        <v>13.044856404044607</v>
      </c>
      <c r="AX755" s="1">
        <v>15.168443300381609</v>
      </c>
      <c r="AY755" s="2">
        <v>2179211.3112096549</v>
      </c>
      <c r="AZ755" s="1">
        <v>15.31991517836442</v>
      </c>
      <c r="BA755" s="1">
        <v>17.355202744539842</v>
      </c>
      <c r="BB755" s="2">
        <v>1581627.7853438654</v>
      </c>
      <c r="BC755" s="2">
        <f t="shared" si="84"/>
        <v>-597583.5258657895</v>
      </c>
      <c r="BD755" s="292">
        <f t="shared" si="85"/>
        <v>2.2750587743198132</v>
      </c>
      <c r="BF755" s="170">
        <f t="shared" si="80"/>
        <v>-92034.286562517751</v>
      </c>
      <c r="BG755" s="2">
        <f t="shared" si="81"/>
        <v>869558.64319444168</v>
      </c>
      <c r="BI755">
        <f t="shared" si="82"/>
        <v>0</v>
      </c>
      <c r="BJ755" s="95">
        <f t="shared" si="83"/>
        <v>1</v>
      </c>
      <c r="BP755" s="217">
        <f t="shared" si="86"/>
        <v>869558.64319444168</v>
      </c>
    </row>
    <row r="756" spans="1:68">
      <c r="A756" s="11">
        <v>750</v>
      </c>
      <c r="C756" s="27">
        <v>0.92481954421159984</v>
      </c>
      <c r="D756" s="27">
        <v>7.5180455788400199E-2</v>
      </c>
      <c r="E756" s="27">
        <v>0</v>
      </c>
      <c r="F756" s="27">
        <v>0.85854920425454229</v>
      </c>
      <c r="G756" s="27">
        <v>0.14145079574545771</v>
      </c>
      <c r="H756" s="27">
        <v>0</v>
      </c>
      <c r="I756" s="27">
        <v>0.74738328324034142</v>
      </c>
      <c r="J756" s="27">
        <v>0.25261671675965858</v>
      </c>
      <c r="K756" s="27">
        <v>0</v>
      </c>
      <c r="L756" s="27">
        <v>8.2621118829525164E-2</v>
      </c>
      <c r="M756" s="27">
        <v>0.48141158882171958</v>
      </c>
      <c r="N756" s="27">
        <v>0.4359672923487552</v>
      </c>
      <c r="O756" s="27">
        <v>-11.100013904326564</v>
      </c>
      <c r="P756" s="27">
        <v>3.4273481326648036E-2</v>
      </c>
      <c r="Q756" s="27">
        <v>6.3750872445017277E-5</v>
      </c>
      <c r="R756" s="27">
        <v>1.0725824952958587</v>
      </c>
      <c r="S756" s="154"/>
      <c r="T756">
        <v>1.0035040015480792</v>
      </c>
      <c r="U756">
        <v>2.2575763159699047</v>
      </c>
      <c r="V756">
        <v>2.7397280010380824</v>
      </c>
      <c r="W756">
        <v>1</v>
      </c>
      <c r="Y756" s="2">
        <v>575.89050882333584</v>
      </c>
      <c r="Z756" s="2">
        <v>1514.3750206032048</v>
      </c>
      <c r="AA756" s="2">
        <v>729.19725861746508</v>
      </c>
      <c r="AB756" s="2">
        <v>10384.899085527877</v>
      </c>
      <c r="AC756" s="2">
        <v>356.24360330046477</v>
      </c>
      <c r="AD756" s="2">
        <v>2001.0564493223906</v>
      </c>
      <c r="AE756" s="2">
        <v>492.7020642452859</v>
      </c>
      <c r="AF756" s="2">
        <v>944.15914009305232</v>
      </c>
      <c r="AG756" s="2">
        <v>145.12422779604952</v>
      </c>
      <c r="AH756" s="2">
        <v>508.79299172283498</v>
      </c>
      <c r="AI756" s="2">
        <v>484275.99737184535</v>
      </c>
      <c r="AJ756" s="2">
        <v>456949.89776219119</v>
      </c>
      <c r="AL756" s="27">
        <v>0.91455398944646549</v>
      </c>
      <c r="AM756" s="27">
        <v>0.90706922063388795</v>
      </c>
      <c r="AN756" s="27">
        <v>0.90304467226164586</v>
      </c>
      <c r="AO756" s="27">
        <v>0.90474464063009341</v>
      </c>
      <c r="AP756" s="27">
        <v>0.66803534781530893</v>
      </c>
      <c r="AQ756" s="27">
        <v>0.91455398944646549</v>
      </c>
      <c r="AR756" s="27">
        <v>0.90706922063388795</v>
      </c>
      <c r="AS756" s="27">
        <v>0.90304467226164586</v>
      </c>
      <c r="AT756" s="27">
        <v>0.90474464063009341</v>
      </c>
      <c r="AU756" s="27">
        <v>0.66803534781530893</v>
      </c>
      <c r="AW756" s="1">
        <v>13.302773592146586</v>
      </c>
      <c r="AX756" s="1">
        <v>15.351479111687341</v>
      </c>
      <c r="AY756" s="2">
        <v>1646104.5054260404</v>
      </c>
      <c r="AZ756" s="1">
        <v>15.156987758673541</v>
      </c>
      <c r="BA756" s="1">
        <v>17.181175212444206</v>
      </c>
      <c r="BB756" s="2">
        <v>1373728.0081627532</v>
      </c>
      <c r="BC756" s="2">
        <f t="shared" si="84"/>
        <v>-272376.49726328719</v>
      </c>
      <c r="BD756" s="292">
        <f t="shared" si="85"/>
        <v>1.8542141665269547</v>
      </c>
      <c r="BF756" s="170">
        <f t="shared" si="80"/>
        <v>482339.26931741321</v>
      </c>
      <c r="BG756" s="2">
        <f t="shared" si="81"/>
        <v>1051390.0332250134</v>
      </c>
      <c r="BI756">
        <f t="shared" si="82"/>
        <v>0</v>
      </c>
      <c r="BJ756" s="95">
        <f t="shared" si="83"/>
        <v>1</v>
      </c>
      <c r="BP756" s="217">
        <f t="shared" si="86"/>
        <v>1051390.0332250134</v>
      </c>
    </row>
    <row r="757" spans="1:68">
      <c r="A757" s="11">
        <v>751</v>
      </c>
      <c r="C757" s="27">
        <v>0.9235850284836804</v>
      </c>
      <c r="D757" s="27">
        <v>7.6414971516319638E-2</v>
      </c>
      <c r="E757" s="27">
        <v>0</v>
      </c>
      <c r="F757" s="27">
        <v>0.85394097635114707</v>
      </c>
      <c r="G757" s="27">
        <v>0.14605902364885293</v>
      </c>
      <c r="H757" s="27">
        <v>0</v>
      </c>
      <c r="I757" s="27">
        <v>0.74536956166369395</v>
      </c>
      <c r="J757" s="27">
        <v>0.25463043833630605</v>
      </c>
      <c r="K757" s="27">
        <v>0</v>
      </c>
      <c r="L757" s="27">
        <v>7.2198346589337103E-2</v>
      </c>
      <c r="M757" s="27">
        <v>0.53389000306582746</v>
      </c>
      <c r="N757" s="27">
        <v>0.39391165034483544</v>
      </c>
      <c r="O757" s="27">
        <v>-10.795888225646317</v>
      </c>
      <c r="P757" s="27">
        <v>3.4639515785251693E-2</v>
      </c>
      <c r="Q757" s="27">
        <v>8.7749134170858061E-5</v>
      </c>
      <c r="R757" s="27">
        <v>1.0255040026690578</v>
      </c>
      <c r="S757" s="154"/>
      <c r="T757">
        <v>0.97164122225802696</v>
      </c>
      <c r="U757">
        <v>2.1954489486673361</v>
      </c>
      <c r="V757">
        <v>3.1117009445045034</v>
      </c>
      <c r="W757">
        <v>1</v>
      </c>
      <c r="Y757" s="2">
        <v>1012.7242090416971</v>
      </c>
      <c r="Z757" s="2">
        <v>842.53540036053221</v>
      </c>
      <c r="AA757" s="2">
        <v>5328.8127924874916</v>
      </c>
      <c r="AB757" s="2">
        <v>7753.8218229990098</v>
      </c>
      <c r="AC757" s="2">
        <v>334.36246453067997</v>
      </c>
      <c r="AD757" s="2">
        <v>1369.992335964783</v>
      </c>
      <c r="AE757" s="2">
        <v>588.17739536448062</v>
      </c>
      <c r="AF757" s="2">
        <v>995.14796285494572</v>
      </c>
      <c r="AG757" s="2">
        <v>124.10605935272751</v>
      </c>
      <c r="AH757" s="2">
        <v>346.29869045690356</v>
      </c>
      <c r="AI757" s="2">
        <v>370522.83029743878</v>
      </c>
      <c r="AJ757" s="2">
        <v>337424.29079678864</v>
      </c>
      <c r="AL757" s="27">
        <v>0.9166266674673359</v>
      </c>
      <c r="AM757" s="27">
        <v>0.91225297550236484</v>
      </c>
      <c r="AN757" s="27">
        <v>0.91120383106483782</v>
      </c>
      <c r="AO757" s="27">
        <v>0.89408341585652229</v>
      </c>
      <c r="AP757" s="27">
        <v>0.76818265210186709</v>
      </c>
      <c r="AQ757" s="27">
        <v>0.9166266674673359</v>
      </c>
      <c r="AR757" s="27">
        <v>0.91225297550236484</v>
      </c>
      <c r="AS757" s="27">
        <v>0.91120383106483782</v>
      </c>
      <c r="AT757" s="27">
        <v>0.89408341585652229</v>
      </c>
      <c r="AU757" s="27">
        <v>0.76818265210186709</v>
      </c>
      <c r="AW757" s="1">
        <v>13.926576554566248</v>
      </c>
      <c r="AX757" s="1">
        <v>15.757969679162803</v>
      </c>
      <c r="AY757" s="2">
        <v>1416461.3150760331</v>
      </c>
      <c r="AZ757" s="1">
        <v>15.556928527279728</v>
      </c>
      <c r="BA757" s="1">
        <v>17.39998865048889</v>
      </c>
      <c r="BB757" s="2">
        <v>1248981.7453339454</v>
      </c>
      <c r="BC757" s="2">
        <f t="shared" si="84"/>
        <v>-167479.56974208774</v>
      </c>
      <c r="BD757" s="292">
        <f t="shared" si="85"/>
        <v>1.6303519727134805</v>
      </c>
      <c r="BF757" s="170">
        <f t="shared" si="80"/>
        <v>811790.93365456676</v>
      </c>
      <c r="BG757" s="2">
        <f t="shared" si="81"/>
        <v>1240126.8190308111</v>
      </c>
      <c r="BI757">
        <f t="shared" si="82"/>
        <v>0</v>
      </c>
      <c r="BJ757" s="95">
        <f t="shared" si="83"/>
        <v>1</v>
      </c>
      <c r="BP757" s="217">
        <f t="shared" si="86"/>
        <v>1240126.8190308111</v>
      </c>
    </row>
    <row r="758" spans="1:68">
      <c r="A758" s="11">
        <v>752</v>
      </c>
      <c r="C758" s="27">
        <v>0.92337733919411258</v>
      </c>
      <c r="D758" s="27">
        <v>7.6622660805887435E-2</v>
      </c>
      <c r="E758" s="27">
        <v>0</v>
      </c>
      <c r="F758" s="27">
        <v>0.85848566153126493</v>
      </c>
      <c r="G758" s="27">
        <v>0.14151433846873504</v>
      </c>
      <c r="H758" s="27">
        <v>0</v>
      </c>
      <c r="I758" s="27">
        <v>0.75721233594783166</v>
      </c>
      <c r="J758" s="27">
        <v>0.24278766405216837</v>
      </c>
      <c r="K758" s="27">
        <v>0</v>
      </c>
      <c r="L758" s="27">
        <v>9.9027697012955218E-2</v>
      </c>
      <c r="M758" s="27">
        <v>0.46927903038456859</v>
      </c>
      <c r="N758" s="27">
        <v>0.43169327260247614</v>
      </c>
      <c r="O758" s="27">
        <v>-11.069504112055549</v>
      </c>
      <c r="P758" s="27">
        <v>3.6492084219163549E-2</v>
      </c>
      <c r="Q758" s="27">
        <v>7.2144711446864887E-5</v>
      </c>
      <c r="R758" s="27">
        <v>1.0455197628131492</v>
      </c>
      <c r="S758" s="154"/>
      <c r="T758">
        <v>0.96468621872525229</v>
      </c>
      <c r="U758">
        <v>2.2382860994324751</v>
      </c>
      <c r="V758">
        <v>3.093290209304985</v>
      </c>
      <c r="W758">
        <v>1</v>
      </c>
      <c r="Y758" s="2">
        <v>96.447704627247077</v>
      </c>
      <c r="Z758" s="2">
        <v>689.43872971750682</v>
      </c>
      <c r="AA758" s="2">
        <v>884.36959426552392</v>
      </c>
      <c r="AB758" s="2">
        <v>1042.0096230730296</v>
      </c>
      <c r="AC758" s="2">
        <v>38.116014944636703</v>
      </c>
      <c r="AD758" s="2">
        <v>40.727620535021238</v>
      </c>
      <c r="AE758" s="2">
        <v>561.40147832545813</v>
      </c>
      <c r="AF758" s="2">
        <v>1301.4610801967096</v>
      </c>
      <c r="AG758" s="2">
        <v>184.80985589815575</v>
      </c>
      <c r="AH758" s="2">
        <v>776.37928865642084</v>
      </c>
      <c r="AI758" s="2">
        <v>559612.80879165512</v>
      </c>
      <c r="AJ758" s="2">
        <v>522593.21588901157</v>
      </c>
      <c r="AL758" s="27">
        <v>0.91904447509245579</v>
      </c>
      <c r="AM758" s="27">
        <v>0.90996318032562518</v>
      </c>
      <c r="AN758" s="27">
        <v>0.91015942236295988</v>
      </c>
      <c r="AO758" s="27">
        <v>0.86792935668973326</v>
      </c>
      <c r="AP758" s="27">
        <v>0.69221559121692677</v>
      </c>
      <c r="AQ758" s="27">
        <v>0.91904447509245579</v>
      </c>
      <c r="AR758" s="27">
        <v>0.90996318032562518</v>
      </c>
      <c r="AS758" s="27">
        <v>0.91015942236295988</v>
      </c>
      <c r="AT758" s="27">
        <v>0.86792935668973326</v>
      </c>
      <c r="AU758" s="27">
        <v>0.69221559121692677</v>
      </c>
      <c r="AW758" s="1">
        <v>13.522864801482289</v>
      </c>
      <c r="AX758" s="1">
        <v>15.50775687196327</v>
      </c>
      <c r="AY758" s="2">
        <v>1931963.2902160608</v>
      </c>
      <c r="AZ758" s="1">
        <v>15.311957735760663</v>
      </c>
      <c r="BA758" s="1">
        <v>17.265993042361476</v>
      </c>
      <c r="BB758" s="2">
        <v>1419484.8494354584</v>
      </c>
      <c r="BC758" s="2">
        <f t="shared" si="84"/>
        <v>-512478.4407806024</v>
      </c>
      <c r="BD758" s="292">
        <f t="shared" si="85"/>
        <v>1.7890929342783739</v>
      </c>
      <c r="BF758" s="170">
        <f t="shared" si="80"/>
        <v>231695.07802110538</v>
      </c>
      <c r="BG758" s="2">
        <f t="shared" si="81"/>
        <v>1030428.3882862474</v>
      </c>
      <c r="BI758">
        <f t="shared" si="82"/>
        <v>0</v>
      </c>
      <c r="BJ758" s="95">
        <f t="shared" si="83"/>
        <v>1</v>
      </c>
      <c r="BP758" s="217">
        <f t="shared" si="86"/>
        <v>1030428.3882862474</v>
      </c>
    </row>
    <row r="759" spans="1:68">
      <c r="A759" s="11">
        <v>753</v>
      </c>
      <c r="C759" s="27">
        <v>0.92298726378517859</v>
      </c>
      <c r="D759" s="27">
        <v>7.7012736214821409E-2</v>
      </c>
      <c r="E759" s="27">
        <v>0</v>
      </c>
      <c r="F759" s="27">
        <v>0.85093128998466805</v>
      </c>
      <c r="G759" s="27">
        <v>0.14906871001533195</v>
      </c>
      <c r="H759" s="27">
        <v>0</v>
      </c>
      <c r="I759" s="27">
        <v>0.753071212299674</v>
      </c>
      <c r="J759" s="27">
        <v>0.24692878770032603</v>
      </c>
      <c r="K759" s="27">
        <v>0</v>
      </c>
      <c r="L759" s="27">
        <v>0.1692722836908459</v>
      </c>
      <c r="M759" s="27">
        <v>0.4725071830709166</v>
      </c>
      <c r="N759" s="27">
        <v>0.35822053323823744</v>
      </c>
      <c r="O759" s="27">
        <v>-11.017877427336664</v>
      </c>
      <c r="P759" s="27">
        <v>3.4023507980820024E-2</v>
      </c>
      <c r="Q759" s="27">
        <v>6.8485391915797578E-5</v>
      </c>
      <c r="R759" s="27">
        <v>1.0543364026318411</v>
      </c>
      <c r="S759" s="154"/>
      <c r="T759">
        <v>1.0342017676901996</v>
      </c>
      <c r="U759">
        <v>2.2551417764162101</v>
      </c>
      <c r="V759">
        <v>3.0911163283925425</v>
      </c>
      <c r="W759">
        <v>1</v>
      </c>
      <c r="Y759" s="2">
        <v>86.060303978103775</v>
      </c>
      <c r="Z759" s="2">
        <v>5328.9005550280253</v>
      </c>
      <c r="AA759" s="2">
        <v>862.38799635892769</v>
      </c>
      <c r="AB759" s="2">
        <v>1806.0459304082208</v>
      </c>
      <c r="AC759" s="2">
        <v>1207.8331071661719</v>
      </c>
      <c r="AD759" s="2">
        <v>490.96338414270792</v>
      </c>
      <c r="AE759" s="2">
        <v>526.66982486091217</v>
      </c>
      <c r="AF759" s="2">
        <v>1116.423741806168</v>
      </c>
      <c r="AG759" s="2">
        <v>139.87725605353907</v>
      </c>
      <c r="AH759" s="2">
        <v>190.48870305050752</v>
      </c>
      <c r="AI759" s="2">
        <v>605042.27538453334</v>
      </c>
      <c r="AJ759" s="2">
        <v>574710.28295041563</v>
      </c>
      <c r="AL759" s="27">
        <v>0.91792236125141957</v>
      </c>
      <c r="AM759" s="27">
        <v>0.90971313273978938</v>
      </c>
      <c r="AN759" s="27">
        <v>0.91138865663928881</v>
      </c>
      <c r="AO759" s="27">
        <v>0.8700583391845903</v>
      </c>
      <c r="AP759" s="27">
        <v>0.72665014659614036</v>
      </c>
      <c r="AQ759" s="27">
        <v>0.91792236125141957</v>
      </c>
      <c r="AR759" s="27">
        <v>0.90971313273978938</v>
      </c>
      <c r="AS759" s="27">
        <v>0.91138865663928881</v>
      </c>
      <c r="AT759" s="27">
        <v>0.8700583391845903</v>
      </c>
      <c r="AU759" s="27">
        <v>0.72665014659614036</v>
      </c>
      <c r="AW759" s="1">
        <v>13.536081988473949</v>
      </c>
      <c r="AX759" s="1">
        <v>15.501224799901712</v>
      </c>
      <c r="AY759" s="2">
        <v>2459264.7927560364</v>
      </c>
      <c r="AZ759" s="1">
        <v>15.425218092488315</v>
      </c>
      <c r="BA759" s="1">
        <v>17.363999751444208</v>
      </c>
      <c r="BB759" s="2">
        <v>1707947.3524118296</v>
      </c>
      <c r="BC759" s="2">
        <f t="shared" si="84"/>
        <v>-751317.44034420676</v>
      </c>
      <c r="BD759" s="292">
        <f t="shared" si="85"/>
        <v>1.8891361040143657</v>
      </c>
      <c r="BF759" s="170">
        <f t="shared" si="80"/>
        <v>-293491.67460020445</v>
      </c>
      <c r="BG759" s="2">
        <f t="shared" si="81"/>
        <v>760087.54238630063</v>
      </c>
      <c r="BI759">
        <f t="shared" si="82"/>
        <v>0</v>
      </c>
      <c r="BJ759" s="95">
        <f t="shared" si="83"/>
        <v>1</v>
      </c>
      <c r="BP759" s="217">
        <f t="shared" si="86"/>
        <v>760087.54238630063</v>
      </c>
    </row>
    <row r="760" spans="1:68">
      <c r="A760" s="11">
        <v>754</v>
      </c>
      <c r="C760" s="27">
        <v>0.9252121514211441</v>
      </c>
      <c r="D760" s="27">
        <v>7.478784857885587E-2</v>
      </c>
      <c r="E760" s="27">
        <v>0</v>
      </c>
      <c r="F760" s="27">
        <v>0.86009414091109448</v>
      </c>
      <c r="G760" s="27">
        <v>0.13990585908890554</v>
      </c>
      <c r="H760" s="27">
        <v>0</v>
      </c>
      <c r="I760" s="27">
        <v>0.75010468120084606</v>
      </c>
      <c r="J760" s="27">
        <v>0.24989531879915397</v>
      </c>
      <c r="K760" s="27">
        <v>0</v>
      </c>
      <c r="L760" s="27">
        <v>0.15433383056793887</v>
      </c>
      <c r="M760" s="27">
        <v>0.47924959650578464</v>
      </c>
      <c r="N760" s="27">
        <v>0.36641657292627655</v>
      </c>
      <c r="O760" s="27">
        <v>-11.06631157819978</v>
      </c>
      <c r="P760" s="27">
        <v>3.3884836241186621E-2</v>
      </c>
      <c r="Q760" s="27">
        <v>6.4868497282407394E-5</v>
      </c>
      <c r="R760" s="27">
        <v>1.0624917704834969</v>
      </c>
      <c r="S760" s="154"/>
      <c r="T760">
        <v>1.0056095759576829</v>
      </c>
      <c r="U760">
        <v>2.325357963283567</v>
      </c>
      <c r="V760">
        <v>2.8304474102935382</v>
      </c>
      <c r="W760">
        <v>1</v>
      </c>
      <c r="Y760" s="2">
        <v>408.36050217302301</v>
      </c>
      <c r="Z760" s="2">
        <v>1583.5547233964398</v>
      </c>
      <c r="AA760" s="2">
        <v>2622.6771294686791</v>
      </c>
      <c r="AB760" s="2">
        <v>2688.1569067217592</v>
      </c>
      <c r="AC760" s="2">
        <v>852.05553837220691</v>
      </c>
      <c r="AD760" s="2">
        <v>1047.4233695538064</v>
      </c>
      <c r="AE760" s="2">
        <v>584.78577440860545</v>
      </c>
      <c r="AF760" s="2">
        <v>1031.5314521260964</v>
      </c>
      <c r="AG760" s="2">
        <v>200.45569123361923</v>
      </c>
      <c r="AH760" s="2">
        <v>389.47790206355711</v>
      </c>
      <c r="AI760" s="2">
        <v>443110.35930424207</v>
      </c>
      <c r="AJ760" s="2">
        <v>412153.71829647297</v>
      </c>
      <c r="AL760" s="27">
        <v>0.91061316086413369</v>
      </c>
      <c r="AM760" s="27">
        <v>0.91734285399097504</v>
      </c>
      <c r="AN760" s="27">
        <v>0.90747694029626436</v>
      </c>
      <c r="AO760" s="27">
        <v>0.85137350631689745</v>
      </c>
      <c r="AP760" s="27">
        <v>0.75145423861421645</v>
      </c>
      <c r="AQ760" s="27">
        <v>0.91061316086413369</v>
      </c>
      <c r="AR760" s="27">
        <v>0.91734285399097504</v>
      </c>
      <c r="AS760" s="27">
        <v>0.90747694029626436</v>
      </c>
      <c r="AT760" s="27">
        <v>0.85137350631689745</v>
      </c>
      <c r="AU760" s="27">
        <v>0.75145423861421645</v>
      </c>
      <c r="AW760" s="1">
        <v>13.746770568720498</v>
      </c>
      <c r="AX760" s="1">
        <v>15.68384877725563</v>
      </c>
      <c r="AY760" s="2">
        <v>1660476.9483177699</v>
      </c>
      <c r="AZ760" s="1">
        <v>15.538791731535108</v>
      </c>
      <c r="BA760" s="1">
        <v>17.46488943526586</v>
      </c>
      <c r="BB760" s="2">
        <v>1249380.5975002388</v>
      </c>
      <c r="BC760" s="2">
        <f t="shared" si="84"/>
        <v>-411096.35081753111</v>
      </c>
      <c r="BD760" s="292">
        <f t="shared" si="85"/>
        <v>1.7920211628146099</v>
      </c>
      <c r="BF760" s="170">
        <f t="shared" si="80"/>
        <v>539006.34267750988</v>
      </c>
      <c r="BG760" s="2">
        <f t="shared" si="81"/>
        <v>1236826.0795453785</v>
      </c>
      <c r="BI760">
        <f t="shared" si="82"/>
        <v>0</v>
      </c>
      <c r="BJ760" s="95">
        <f t="shared" si="83"/>
        <v>1</v>
      </c>
      <c r="BP760" s="217">
        <f t="shared" si="86"/>
        <v>1236826.0795453785</v>
      </c>
    </row>
    <row r="761" spans="1:68">
      <c r="A761" s="11">
        <v>755</v>
      </c>
      <c r="C761" s="27">
        <v>0.92499006148980534</v>
      </c>
      <c r="D761" s="27">
        <v>7.500993851019469E-2</v>
      </c>
      <c r="E761" s="27">
        <v>0</v>
      </c>
      <c r="F761" s="27">
        <v>0.85586549279624835</v>
      </c>
      <c r="G761" s="27">
        <v>0.14413450720375165</v>
      </c>
      <c r="H761" s="27">
        <v>0</v>
      </c>
      <c r="I761" s="27">
        <v>0.74964580289273197</v>
      </c>
      <c r="J761" s="27">
        <v>0.25035419710726803</v>
      </c>
      <c r="K761" s="27">
        <v>0</v>
      </c>
      <c r="L761" s="27">
        <v>0.26823526988094937</v>
      </c>
      <c r="M761" s="27">
        <v>0.44518259025374335</v>
      </c>
      <c r="N761" s="27">
        <v>0.28658213986530723</v>
      </c>
      <c r="O761" s="27">
        <v>-10.901242409689928</v>
      </c>
      <c r="P761" s="27">
        <v>3.2044148248916132E-2</v>
      </c>
      <c r="Q761" s="27">
        <v>7.081864933703149E-5</v>
      </c>
      <c r="R761" s="27">
        <v>1.0575636232541725</v>
      </c>
      <c r="S761" s="154"/>
      <c r="T761">
        <v>1.063069886995565</v>
      </c>
      <c r="U761">
        <v>2.189144974294452</v>
      </c>
      <c r="V761">
        <v>2.9592427176974607</v>
      </c>
      <c r="W761">
        <v>1</v>
      </c>
      <c r="Y761" s="2">
        <v>120.01902787940094</v>
      </c>
      <c r="Z761" s="2">
        <v>3138.3192397290718</v>
      </c>
      <c r="AA761" s="2">
        <v>6222.3989568919806</v>
      </c>
      <c r="AB761" s="2">
        <v>2012.0678002187442</v>
      </c>
      <c r="AC761" s="2">
        <v>1396.1334940290094</v>
      </c>
      <c r="AD761" s="2">
        <v>72.400013086136994</v>
      </c>
      <c r="AE761" s="2">
        <v>566.40893524863645</v>
      </c>
      <c r="AF761" s="2">
        <v>952.71348219489357</v>
      </c>
      <c r="AG761" s="2">
        <v>102.59069595423922</v>
      </c>
      <c r="AH761" s="2">
        <v>361.91205446171517</v>
      </c>
      <c r="AI761" s="2">
        <v>375216.92482105171</v>
      </c>
      <c r="AJ761" s="2">
        <v>348060.20255233801</v>
      </c>
      <c r="AL761" s="27">
        <v>0.91361622133397291</v>
      </c>
      <c r="AM761" s="27">
        <v>0.91366089297838871</v>
      </c>
      <c r="AN761" s="27">
        <v>0.91001298201196268</v>
      </c>
      <c r="AO761" s="27">
        <v>0.84984822841052332</v>
      </c>
      <c r="AP761" s="27">
        <v>0.79861723510109983</v>
      </c>
      <c r="AQ761" s="27">
        <v>0.91361622133397291</v>
      </c>
      <c r="AR761" s="27">
        <v>0.91366089297838871</v>
      </c>
      <c r="AS761" s="27">
        <v>0.91001298201196268</v>
      </c>
      <c r="AT761" s="27">
        <v>0.84984822841052332</v>
      </c>
      <c r="AU761" s="27">
        <v>0.79861723510109983</v>
      </c>
      <c r="AW761" s="1">
        <v>13.974053708871105</v>
      </c>
      <c r="AX761" s="1">
        <v>15.782989807129956</v>
      </c>
      <c r="AY761" s="2">
        <v>1534172.7921469181</v>
      </c>
      <c r="AZ761" s="1">
        <v>15.762495786903603</v>
      </c>
      <c r="BA761" s="1">
        <v>17.598152168019226</v>
      </c>
      <c r="BB761" s="2">
        <v>1162312.1628655368</v>
      </c>
      <c r="BC761" s="2">
        <f t="shared" si="84"/>
        <v>-371860.62928138138</v>
      </c>
      <c r="BD761" s="292">
        <f t="shared" si="85"/>
        <v>1.7884420780324977</v>
      </c>
      <c r="BF761" s="170">
        <f t="shared" si="80"/>
        <v>701675.80127245863</v>
      </c>
      <c r="BG761" s="2">
        <f t="shared" si="81"/>
        <v>1359687.1630390398</v>
      </c>
      <c r="BI761">
        <f t="shared" si="82"/>
        <v>0</v>
      </c>
      <c r="BJ761" s="95">
        <f t="shared" si="83"/>
        <v>1</v>
      </c>
      <c r="BP761" s="217">
        <f t="shared" si="86"/>
        <v>1359687.1630390398</v>
      </c>
    </row>
    <row r="762" spans="1:68">
      <c r="A762" s="11">
        <v>756</v>
      </c>
      <c r="C762" s="27">
        <v>0.91945914285264796</v>
      </c>
      <c r="D762" s="27">
        <v>8.0540857147352041E-2</v>
      </c>
      <c r="E762" s="27">
        <v>0</v>
      </c>
      <c r="F762" s="27">
        <v>0.85915681624177342</v>
      </c>
      <c r="G762" s="27">
        <v>0.14084318375822655</v>
      </c>
      <c r="H762" s="27">
        <v>0</v>
      </c>
      <c r="I762" s="27">
        <v>0.75322293239922777</v>
      </c>
      <c r="J762" s="27">
        <v>0.2467770676007722</v>
      </c>
      <c r="K762" s="27">
        <v>0</v>
      </c>
      <c r="L762" s="27">
        <v>0.12433977838334609</v>
      </c>
      <c r="M762" s="27">
        <v>0.50857819445589603</v>
      </c>
      <c r="N762" s="27">
        <v>0.36708202716075788</v>
      </c>
      <c r="O762" s="27">
        <v>-11.713585799040064</v>
      </c>
      <c r="P762" s="27">
        <v>3.4113524836294644E-2</v>
      </c>
      <c r="Q762" s="27">
        <v>3.4284480974019407E-5</v>
      </c>
      <c r="R762" s="27">
        <v>1.1602478190042782</v>
      </c>
      <c r="S762" s="154"/>
      <c r="T762">
        <v>1.0130544851742518</v>
      </c>
      <c r="U762">
        <v>2.254540102591525</v>
      </c>
      <c r="V762">
        <v>3.0312747760113115</v>
      </c>
      <c r="W762">
        <v>1</v>
      </c>
      <c r="Y762" s="2">
        <v>1987.0960028890559</v>
      </c>
      <c r="Z762" s="2">
        <v>4442.0059054153762</v>
      </c>
      <c r="AA762" s="2">
        <v>160.32362613385547</v>
      </c>
      <c r="AB762" s="2">
        <v>599.28018243570784</v>
      </c>
      <c r="AC762" s="2">
        <v>2375.6016570408697</v>
      </c>
      <c r="AD762" s="2">
        <v>180.74366024614196</v>
      </c>
      <c r="AE762" s="2">
        <v>553.88500039849248</v>
      </c>
      <c r="AF762" s="2">
        <v>960.00432618861203</v>
      </c>
      <c r="AG762" s="2">
        <v>103.59262348179384</v>
      </c>
      <c r="AH762" s="2">
        <v>437.27520827627791</v>
      </c>
      <c r="AI762" s="2">
        <v>430931.64965420542</v>
      </c>
      <c r="AJ762" s="2">
        <v>398734.16564263462</v>
      </c>
      <c r="AL762" s="27">
        <v>0.9210513853564537</v>
      </c>
      <c r="AM762" s="27">
        <v>0.91540992095865437</v>
      </c>
      <c r="AN762" s="27">
        <v>0.90426747454618217</v>
      </c>
      <c r="AO762" s="27">
        <v>0.86498088090305902</v>
      </c>
      <c r="AP762" s="27">
        <v>0.81275258492574476</v>
      </c>
      <c r="AQ762" s="27">
        <v>0.9210513853564537</v>
      </c>
      <c r="AR762" s="27">
        <v>0.91540992095865437</v>
      </c>
      <c r="AS762" s="27">
        <v>0.90426747454618217</v>
      </c>
      <c r="AT762" s="27">
        <v>0.86498088090305902</v>
      </c>
      <c r="AU762" s="27">
        <v>0.81275258492574476</v>
      </c>
      <c r="AW762" s="1">
        <v>13.555092745513427</v>
      </c>
      <c r="AX762" s="1">
        <v>15.138237690840679</v>
      </c>
      <c r="AY762" s="2">
        <v>1585212.6999422021</v>
      </c>
      <c r="AZ762" s="1">
        <v>15.44543728135587</v>
      </c>
      <c r="BA762" s="1">
        <v>17.106657441486998</v>
      </c>
      <c r="BB762" s="2">
        <v>1053149.003193981</v>
      </c>
      <c r="BC762" s="2">
        <f t="shared" si="84"/>
        <v>-532063.69674822106</v>
      </c>
      <c r="BD762" s="292">
        <f t="shared" si="85"/>
        <v>1.8903445358424431</v>
      </c>
      <c r="BF762" s="170">
        <f t="shared" si="80"/>
        <v>583602.13933994644</v>
      </c>
      <c r="BG762" s="2">
        <f t="shared" si="81"/>
        <v>1418120.9618229582</v>
      </c>
      <c r="BI762">
        <f t="shared" si="82"/>
        <v>0</v>
      </c>
      <c r="BJ762" s="95">
        <f t="shared" si="83"/>
        <v>1</v>
      </c>
      <c r="BP762" s="217">
        <f t="shared" si="86"/>
        <v>1418120.9618229582</v>
      </c>
    </row>
    <row r="763" spans="1:68">
      <c r="A763" s="11">
        <v>757</v>
      </c>
      <c r="C763" s="27">
        <v>0.92598772029269349</v>
      </c>
      <c r="D763" s="27">
        <v>7.4012279707306464E-2</v>
      </c>
      <c r="E763" s="27">
        <v>0</v>
      </c>
      <c r="F763" s="27">
        <v>0.8606528774696921</v>
      </c>
      <c r="G763" s="27">
        <v>0.1393471225303079</v>
      </c>
      <c r="H763" s="27">
        <v>0</v>
      </c>
      <c r="I763" s="27">
        <v>0.75547470134504657</v>
      </c>
      <c r="J763" s="27">
        <v>0.24452529865495345</v>
      </c>
      <c r="K763" s="27">
        <v>0</v>
      </c>
      <c r="L763" s="27">
        <v>0.16738955236086106</v>
      </c>
      <c r="M763" s="27">
        <v>0.46883454182199474</v>
      </c>
      <c r="N763" s="27">
        <v>0.36377590581714414</v>
      </c>
      <c r="O763" s="27">
        <v>-11.256671190850998</v>
      </c>
      <c r="P763" s="27">
        <v>3.7071217628744074E-2</v>
      </c>
      <c r="Q763" s="27">
        <v>6.1303105817330422E-5</v>
      </c>
      <c r="R763" s="27">
        <v>1.0755020089071128</v>
      </c>
      <c r="S763" s="154"/>
      <c r="T763">
        <v>0.94463460613285866</v>
      </c>
      <c r="U763">
        <v>2.2311651172288327</v>
      </c>
      <c r="V763">
        <v>2.9028554389594592</v>
      </c>
      <c r="W763">
        <v>1</v>
      </c>
      <c r="Y763" s="2">
        <v>1252.8928604677399</v>
      </c>
      <c r="Z763" s="2">
        <v>1447.3741097117227</v>
      </c>
      <c r="AA763" s="2">
        <v>2898.1661132965751</v>
      </c>
      <c r="AB763" s="2">
        <v>11538.930106036083</v>
      </c>
      <c r="AC763" s="2">
        <v>585.40863359194691</v>
      </c>
      <c r="AD763" s="2">
        <v>1760.1842720922227</v>
      </c>
      <c r="AE763" s="2">
        <v>524.29727648145331</v>
      </c>
      <c r="AF763" s="2">
        <v>982.29161657070802</v>
      </c>
      <c r="AG763" s="2">
        <v>85.91885811025503</v>
      </c>
      <c r="AH763" s="2">
        <v>417.25078574147659</v>
      </c>
      <c r="AI763" s="2">
        <v>581540.88183029299</v>
      </c>
      <c r="AJ763" s="2">
        <v>544883.79625098628</v>
      </c>
      <c r="AL763" s="27">
        <v>0.91466330539933027</v>
      </c>
      <c r="AM763" s="27">
        <v>0.91802043251851329</v>
      </c>
      <c r="AN763" s="27">
        <v>0.91111504935534038</v>
      </c>
      <c r="AO763" s="27">
        <v>0.85220038261603615</v>
      </c>
      <c r="AP763" s="27">
        <v>0.66645640131174999</v>
      </c>
      <c r="AQ763" s="27">
        <v>0.91466330539933027</v>
      </c>
      <c r="AR763" s="27">
        <v>0.91802043251851329</v>
      </c>
      <c r="AS763" s="27">
        <v>0.91111504935534038</v>
      </c>
      <c r="AT763" s="27">
        <v>0.85220038261603615</v>
      </c>
      <c r="AU763" s="27">
        <v>0.66645640131174999</v>
      </c>
      <c r="AW763" s="1">
        <v>13.723305156098505</v>
      </c>
      <c r="AX763" s="1">
        <v>15.843907349995085</v>
      </c>
      <c r="AY763" s="2">
        <v>2021536.0628824858</v>
      </c>
      <c r="AZ763" s="1">
        <v>15.405405361645711</v>
      </c>
      <c r="BA763" s="1">
        <v>17.450158556852223</v>
      </c>
      <c r="BB763" s="2">
        <v>1708948.6067877053</v>
      </c>
      <c r="BC763" s="2">
        <f t="shared" si="84"/>
        <v>-312587.45609478047</v>
      </c>
      <c r="BD763" s="292">
        <f t="shared" si="85"/>
        <v>1.6821002055472061</v>
      </c>
      <c r="BF763" s="170">
        <f t="shared" si="80"/>
        <v>174192.76209327485</v>
      </c>
      <c r="BG763" s="2">
        <f t="shared" si="81"/>
        <v>755916.25107560819</v>
      </c>
      <c r="BI763">
        <f t="shared" si="82"/>
        <v>0</v>
      </c>
      <c r="BJ763" s="95">
        <f t="shared" si="83"/>
        <v>1</v>
      </c>
      <c r="BP763" s="217">
        <f t="shared" si="86"/>
        <v>755916.25107560819</v>
      </c>
    </row>
    <row r="764" spans="1:68">
      <c r="A764" s="11">
        <v>758</v>
      </c>
      <c r="C764" s="27">
        <v>0.91988481170837466</v>
      </c>
      <c r="D764" s="27">
        <v>8.0115188291625339E-2</v>
      </c>
      <c r="E764" s="27">
        <v>0</v>
      </c>
      <c r="F764" s="27">
        <v>0.85875208110551104</v>
      </c>
      <c r="G764" s="27">
        <v>0.14124791889448896</v>
      </c>
      <c r="H764" s="27">
        <v>0</v>
      </c>
      <c r="I764" s="27">
        <v>0.75136489309510912</v>
      </c>
      <c r="J764" s="27">
        <v>0.24863510690489088</v>
      </c>
      <c r="K764" s="27">
        <v>0</v>
      </c>
      <c r="L764" s="27">
        <v>0.16187477632584052</v>
      </c>
      <c r="M764" s="27">
        <v>0.46987426815124322</v>
      </c>
      <c r="N764" s="27">
        <v>0.36825095552291626</v>
      </c>
      <c r="O764" s="27">
        <v>-11.425842330925123</v>
      </c>
      <c r="P764" s="27">
        <v>3.4770960661587608E-2</v>
      </c>
      <c r="Q764" s="27">
        <v>4.6995345966882312E-5</v>
      </c>
      <c r="R764" s="27">
        <v>1.1074536822484893</v>
      </c>
      <c r="S764" s="154"/>
      <c r="T764">
        <v>1.0242707171287109</v>
      </c>
      <c r="U764">
        <v>2.3106811513108907</v>
      </c>
      <c r="V764">
        <v>2.926821571985383</v>
      </c>
      <c r="W764">
        <v>1</v>
      </c>
      <c r="Y764" s="2">
        <v>756.89908201059552</v>
      </c>
      <c r="Z764" s="2">
        <v>12547.483124703353</v>
      </c>
      <c r="AA764" s="2">
        <v>2909.8577498644709</v>
      </c>
      <c r="AB764" s="2">
        <v>1252.0461116131642</v>
      </c>
      <c r="AC764" s="2">
        <v>159.68196346812067</v>
      </c>
      <c r="AD764" s="2">
        <v>2094.3496252741879</v>
      </c>
      <c r="AE764" s="2">
        <v>581.50140848703438</v>
      </c>
      <c r="AF764" s="2">
        <v>932.58542423064171</v>
      </c>
      <c r="AG764" s="2">
        <v>121.096364758096</v>
      </c>
      <c r="AH764" s="2">
        <v>717.068378653987</v>
      </c>
      <c r="AI764" s="2">
        <v>479741.14824292919</v>
      </c>
      <c r="AJ764" s="2">
        <v>449140.39781781274</v>
      </c>
      <c r="AL764" s="27">
        <v>0.92024462411351404</v>
      </c>
      <c r="AM764" s="27">
        <v>0.91989067769264676</v>
      </c>
      <c r="AN764" s="27">
        <v>0.90664693444592637</v>
      </c>
      <c r="AO764" s="27">
        <v>0.90501010295356377</v>
      </c>
      <c r="AP764" s="27">
        <v>0.71780302481275637</v>
      </c>
      <c r="AQ764" s="27">
        <v>0.92024462411351404</v>
      </c>
      <c r="AR764" s="27">
        <v>0.91989067769264676</v>
      </c>
      <c r="AS764" s="27">
        <v>0.90664693444592637</v>
      </c>
      <c r="AT764" s="27">
        <v>0.90501010295356377</v>
      </c>
      <c r="AU764" s="27">
        <v>0.71780302481275637</v>
      </c>
      <c r="AW764" s="1">
        <v>13.379197305856858</v>
      </c>
      <c r="AX764" s="1">
        <v>15.257197391128329</v>
      </c>
      <c r="AY764" s="2">
        <v>1922356.6666457739</v>
      </c>
      <c r="AZ764" s="1">
        <v>15.355673996395797</v>
      </c>
      <c r="BA764" s="1">
        <v>17.207941178902797</v>
      </c>
      <c r="BB764" s="2">
        <v>1327790.4215226679</v>
      </c>
      <c r="BC764" s="2">
        <f t="shared" si="84"/>
        <v>-594566.24512310605</v>
      </c>
      <c r="BD764" s="292">
        <f t="shared" si="85"/>
        <v>1.9764766905389397</v>
      </c>
      <c r="BF764" s="170">
        <f t="shared" si="80"/>
        <v>218314.90229132329</v>
      </c>
      <c r="BG764" s="2">
        <f t="shared" si="81"/>
        <v>1129117.4179006598</v>
      </c>
      <c r="BI764">
        <f t="shared" si="82"/>
        <v>0</v>
      </c>
      <c r="BJ764" s="95">
        <f t="shared" si="83"/>
        <v>1</v>
      </c>
      <c r="BP764" s="217">
        <f t="shared" si="86"/>
        <v>1129117.4179006598</v>
      </c>
    </row>
    <row r="765" spans="1:68">
      <c r="A765" s="11">
        <v>759</v>
      </c>
      <c r="C765" s="27">
        <v>0.92074202723896514</v>
      </c>
      <c r="D765" s="27">
        <v>7.9257972761034856E-2</v>
      </c>
      <c r="E765" s="27">
        <v>0</v>
      </c>
      <c r="F765" s="27">
        <v>0.86229456777953284</v>
      </c>
      <c r="G765" s="27">
        <v>0.13770543222046716</v>
      </c>
      <c r="H765" s="27">
        <v>0</v>
      </c>
      <c r="I765" s="27">
        <v>0.75468882066673115</v>
      </c>
      <c r="J765" s="27">
        <v>0.24531117933326882</v>
      </c>
      <c r="K765" s="27">
        <v>0</v>
      </c>
      <c r="L765" s="27">
        <v>0.10314786544372467</v>
      </c>
      <c r="M765" s="27">
        <v>0.51748154208252606</v>
      </c>
      <c r="N765" s="27">
        <v>0.37937059247374927</v>
      </c>
      <c r="O765" s="27">
        <v>-10.960160960498909</v>
      </c>
      <c r="P765" s="27">
        <v>3.4423498002729931E-2</v>
      </c>
      <c r="Q765" s="27">
        <v>7.378360213166985E-5</v>
      </c>
      <c r="R765" s="27">
        <v>1.0531119281158243</v>
      </c>
      <c r="S765" s="154"/>
      <c r="T765">
        <v>0.96132724003759373</v>
      </c>
      <c r="U765">
        <v>2.2173709504883323</v>
      </c>
      <c r="V765">
        <v>2.8879112362163299</v>
      </c>
      <c r="W765">
        <v>1</v>
      </c>
      <c r="Y765" s="2">
        <v>259.42358037353654</v>
      </c>
      <c r="Z765" s="2">
        <v>1238.8641950109532</v>
      </c>
      <c r="AA765" s="2">
        <v>13.457441987105593</v>
      </c>
      <c r="AB765" s="2">
        <v>2556.7554988308593</v>
      </c>
      <c r="AC765" s="2">
        <v>836.17151463067364</v>
      </c>
      <c r="AD765" s="2">
        <v>171.59301862729541</v>
      </c>
      <c r="AE765" s="2">
        <v>604.05049114081498</v>
      </c>
      <c r="AF765" s="2">
        <v>948.88384317268481</v>
      </c>
      <c r="AG765" s="2">
        <v>125.91091004986387</v>
      </c>
      <c r="AH765" s="2">
        <v>565.25143330626167</v>
      </c>
      <c r="AI765" s="2">
        <v>388415.21254232066</v>
      </c>
      <c r="AJ765" s="2">
        <v>362985.34943095216</v>
      </c>
      <c r="AL765" s="27">
        <v>0.90545138152134486</v>
      </c>
      <c r="AM765" s="27">
        <v>0.90982302236230894</v>
      </c>
      <c r="AN765" s="27">
        <v>0.91353370553489566</v>
      </c>
      <c r="AO765" s="27">
        <v>0.8910217691208524</v>
      </c>
      <c r="AP765" s="27">
        <v>0.69295433077862734</v>
      </c>
      <c r="AQ765" s="27">
        <v>0.90545138152134486</v>
      </c>
      <c r="AR765" s="27">
        <v>0.90982302236230894</v>
      </c>
      <c r="AS765" s="27">
        <v>0.91353370553489566</v>
      </c>
      <c r="AT765" s="27">
        <v>0.8910217691208524</v>
      </c>
      <c r="AU765" s="27">
        <v>0.69295433077862734</v>
      </c>
      <c r="AW765" s="1">
        <v>13.544828535561331</v>
      </c>
      <c r="AX765" s="1">
        <v>15.702229181761094</v>
      </c>
      <c r="AY765" s="2">
        <v>1464536.3619346896</v>
      </c>
      <c r="AZ765" s="1">
        <v>15.278812484612802</v>
      </c>
      <c r="BA765" s="1">
        <v>17.386326719200742</v>
      </c>
      <c r="BB765" s="2">
        <v>1085477.8313505626</v>
      </c>
      <c r="BC765" s="2">
        <f t="shared" si="84"/>
        <v>-379058.53058412694</v>
      </c>
      <c r="BD765" s="292">
        <f t="shared" si="85"/>
        <v>1.7339839490514706</v>
      </c>
      <c r="BF765" s="170">
        <f t="shared" si="80"/>
        <v>702636.20375512331</v>
      </c>
      <c r="BG765" s="2">
        <f t="shared" si="81"/>
        <v>1359132.1661874857</v>
      </c>
      <c r="BI765">
        <f t="shared" si="82"/>
        <v>0</v>
      </c>
      <c r="BJ765" s="95">
        <f t="shared" si="83"/>
        <v>1</v>
      </c>
      <c r="BP765" s="217">
        <f t="shared" si="86"/>
        <v>1359132.1661874857</v>
      </c>
    </row>
    <row r="766" spans="1:68">
      <c r="A766" s="11">
        <v>760</v>
      </c>
      <c r="C766" s="27">
        <v>0.92155847504496435</v>
      </c>
      <c r="D766" s="27">
        <v>7.8441524955035646E-2</v>
      </c>
      <c r="E766" s="27">
        <v>0</v>
      </c>
      <c r="F766" s="27">
        <v>0.85507343354723764</v>
      </c>
      <c r="G766" s="27">
        <v>0.14492656645276236</v>
      </c>
      <c r="H766" s="27">
        <v>0</v>
      </c>
      <c r="I766" s="27">
        <v>0.7530779277365397</v>
      </c>
      <c r="J766" s="27">
        <v>0.2469220722634603</v>
      </c>
      <c r="K766" s="27">
        <v>0</v>
      </c>
      <c r="L766" s="27">
        <v>0.13047105291344474</v>
      </c>
      <c r="M766" s="27">
        <v>0.4341000619722703</v>
      </c>
      <c r="N766" s="27">
        <v>0.4354288851142849</v>
      </c>
      <c r="O766" s="27">
        <v>-11.272894321284028</v>
      </c>
      <c r="P766" s="27">
        <v>3.6797732817131078E-2</v>
      </c>
      <c r="Q766" s="27">
        <v>5.9627746736067902E-5</v>
      </c>
      <c r="R766" s="27">
        <v>1.0680041906669917</v>
      </c>
      <c r="S766" s="154"/>
      <c r="T766">
        <v>0.91757287557056799</v>
      </c>
      <c r="U766">
        <v>2.2366488488337932</v>
      </c>
      <c r="V766">
        <v>3.0725501334690306</v>
      </c>
      <c r="W766">
        <v>1</v>
      </c>
      <c r="Y766" s="2">
        <v>1065.1086826810315</v>
      </c>
      <c r="Z766" s="2">
        <v>483.60953191877343</v>
      </c>
      <c r="AA766" s="2">
        <v>172.35281275135065</v>
      </c>
      <c r="AB766" s="2">
        <v>2328.4853795957229</v>
      </c>
      <c r="AC766" s="2">
        <v>1488.068107191551</v>
      </c>
      <c r="AD766" s="2">
        <v>685.8358029521662</v>
      </c>
      <c r="AE766" s="2">
        <v>563.19594570777838</v>
      </c>
      <c r="AF766" s="2">
        <v>889.53775383816003</v>
      </c>
      <c r="AG766" s="2">
        <v>114.44874722636806</v>
      </c>
      <c r="AH766" s="2">
        <v>459.00221985240495</v>
      </c>
      <c r="AI766" s="2">
        <v>475329.79804208421</v>
      </c>
      <c r="AJ766" s="2">
        <v>450123.93512261182</v>
      </c>
      <c r="AL766" s="27">
        <v>0.9139633869940591</v>
      </c>
      <c r="AM766" s="27">
        <v>0.90979356911648046</v>
      </c>
      <c r="AN766" s="27">
        <v>0.9145494559187447</v>
      </c>
      <c r="AO766" s="27">
        <v>0.85873478771392175</v>
      </c>
      <c r="AP766" s="27">
        <v>0.72954316920008599</v>
      </c>
      <c r="AQ766" s="27">
        <v>0.9139633869940591</v>
      </c>
      <c r="AR766" s="27">
        <v>0.90979356911648046</v>
      </c>
      <c r="AS766" s="27">
        <v>0.9145494559187447</v>
      </c>
      <c r="AT766" s="27">
        <v>0.85873478771392175</v>
      </c>
      <c r="AU766" s="27">
        <v>0.72954316920008599</v>
      </c>
      <c r="AW766" s="1">
        <v>13.539515161280081</v>
      </c>
      <c r="AX766" s="1">
        <v>15.42305872807802</v>
      </c>
      <c r="AY766" s="2">
        <v>1594557.7600825268</v>
      </c>
      <c r="AZ766" s="1">
        <v>15.177839114803962</v>
      </c>
      <c r="BA766" s="1">
        <v>17.068082878066029</v>
      </c>
      <c r="BB766" s="2">
        <v>1203527.2747406131</v>
      </c>
      <c r="BC766" s="2">
        <f t="shared" si="84"/>
        <v>-391030.48534191377</v>
      </c>
      <c r="BD766" s="292">
        <f t="shared" si="85"/>
        <v>1.6383239535238818</v>
      </c>
      <c r="BF766" s="170">
        <f t="shared" si="80"/>
        <v>571764.6657222861</v>
      </c>
      <c r="BG766" s="2">
        <f t="shared" si="81"/>
        <v>1224926.9836280211</v>
      </c>
      <c r="BI766">
        <f t="shared" si="82"/>
        <v>0</v>
      </c>
      <c r="BJ766" s="95">
        <f t="shared" si="83"/>
        <v>1</v>
      </c>
      <c r="BP766" s="217">
        <f t="shared" si="86"/>
        <v>1224926.9836280211</v>
      </c>
    </row>
    <row r="767" spans="1:68">
      <c r="A767" s="11">
        <v>761</v>
      </c>
      <c r="C767" s="27">
        <v>0.92346137618211499</v>
      </c>
      <c r="D767" s="27">
        <v>7.6538623817884968E-2</v>
      </c>
      <c r="E767" s="27">
        <v>0</v>
      </c>
      <c r="F767" s="27">
        <v>0.85606906539410554</v>
      </c>
      <c r="G767" s="27">
        <v>0.14393093460589446</v>
      </c>
      <c r="H767" s="27">
        <v>0</v>
      </c>
      <c r="I767" s="27">
        <v>0.75218426493422208</v>
      </c>
      <c r="J767" s="27">
        <v>0.24781573506577786</v>
      </c>
      <c r="K767" s="27">
        <v>0</v>
      </c>
      <c r="L767" s="27">
        <v>0.17520329889585251</v>
      </c>
      <c r="M767" s="27">
        <v>0.46084092441523966</v>
      </c>
      <c r="N767" s="27">
        <v>0.36395577668890788</v>
      </c>
      <c r="O767" s="27">
        <v>-11.61670463038903</v>
      </c>
      <c r="P767" s="27">
        <v>3.6259957214473566E-2</v>
      </c>
      <c r="Q767" s="27">
        <v>4.133560067956209E-5</v>
      </c>
      <c r="R767" s="27">
        <v>1.1217528228476588</v>
      </c>
      <c r="S767" s="154"/>
      <c r="T767">
        <v>0.94018286987766819</v>
      </c>
      <c r="U767">
        <v>2.2269394900517243</v>
      </c>
      <c r="V767">
        <v>3.2953224204298146</v>
      </c>
      <c r="W767">
        <v>1</v>
      </c>
      <c r="Y767" s="2">
        <v>324.88434448370242</v>
      </c>
      <c r="Z767" s="2">
        <v>681.02463729869521</v>
      </c>
      <c r="AA767" s="2">
        <v>322.26024081475566</v>
      </c>
      <c r="AB767" s="2">
        <v>2493.5946939463925</v>
      </c>
      <c r="AC767" s="2">
        <v>516.05103867474554</v>
      </c>
      <c r="AD767" s="2">
        <v>199.40920888712503</v>
      </c>
      <c r="AE767" s="2">
        <v>555.37141775462203</v>
      </c>
      <c r="AF767" s="2">
        <v>1002.9015124229504</v>
      </c>
      <c r="AG767" s="2">
        <v>125.06390336750265</v>
      </c>
      <c r="AH767" s="2">
        <v>353.21552071091259</v>
      </c>
      <c r="AI767" s="2">
        <v>455043.4743444093</v>
      </c>
      <c r="AJ767" s="2">
        <v>418555.69197320141</v>
      </c>
      <c r="AL767" s="27">
        <v>0.91968622046799431</v>
      </c>
      <c r="AM767" s="27">
        <v>0.90657120009898984</v>
      </c>
      <c r="AN767" s="27">
        <v>0.91096411996733595</v>
      </c>
      <c r="AO767" s="27">
        <v>0.88610490228560312</v>
      </c>
      <c r="AP767" s="27">
        <v>0.73947523204197452</v>
      </c>
      <c r="AQ767" s="27">
        <v>0.91968622046799431</v>
      </c>
      <c r="AR767" s="27">
        <v>0.90657120009898984</v>
      </c>
      <c r="AS767" s="27">
        <v>0.91096411996733595</v>
      </c>
      <c r="AT767" s="27">
        <v>0.88610490228560312</v>
      </c>
      <c r="AU767" s="27">
        <v>0.73947523204197452</v>
      </c>
      <c r="AW767" s="1">
        <v>13.75109148937004</v>
      </c>
      <c r="AX767" s="1">
        <v>15.588362173142071</v>
      </c>
      <c r="AY767" s="2">
        <v>1541826.6673140347</v>
      </c>
      <c r="AZ767" s="1">
        <v>15.410874779330527</v>
      </c>
      <c r="BA767" s="1">
        <v>17.266099838561367</v>
      </c>
      <c r="BB767" s="2">
        <v>1159188.6874125605</v>
      </c>
      <c r="BC767" s="2">
        <f t="shared" si="84"/>
        <v>-382637.9799014742</v>
      </c>
      <c r="BD767" s="292">
        <f t="shared" si="85"/>
        <v>1.6597832899604867</v>
      </c>
      <c r="BF767" s="170">
        <f t="shared" si="80"/>
        <v>658347.97098517162</v>
      </c>
      <c r="BG767" s="2">
        <f t="shared" si="81"/>
        <v>1306551.2772803237</v>
      </c>
      <c r="BI767">
        <f t="shared" si="82"/>
        <v>0</v>
      </c>
      <c r="BJ767" s="95">
        <f t="shared" si="83"/>
        <v>1</v>
      </c>
      <c r="BP767" s="217">
        <f t="shared" si="86"/>
        <v>1306551.2772803237</v>
      </c>
    </row>
    <row r="768" spans="1:68">
      <c r="A768" s="11">
        <v>762</v>
      </c>
      <c r="C768" s="27">
        <v>0.92327218295865843</v>
      </c>
      <c r="D768" s="27">
        <v>7.6727817041341559E-2</v>
      </c>
      <c r="E768" s="27">
        <v>0</v>
      </c>
      <c r="F768" s="27">
        <v>0.85834135545710677</v>
      </c>
      <c r="G768" s="27">
        <v>0.14165864454289323</v>
      </c>
      <c r="H768" s="27">
        <v>0</v>
      </c>
      <c r="I768" s="27">
        <v>0.74069302738908416</v>
      </c>
      <c r="J768" s="27">
        <v>0.25930697261091584</v>
      </c>
      <c r="K768" s="27">
        <v>0</v>
      </c>
      <c r="L768" s="27">
        <v>0.12809184789183303</v>
      </c>
      <c r="M768" s="27">
        <v>0.50277767425173092</v>
      </c>
      <c r="N768" s="27">
        <v>0.36913047785643605</v>
      </c>
      <c r="O768" s="27">
        <v>-11.587954267905095</v>
      </c>
      <c r="P768" s="27">
        <v>3.4417783073936829E-2</v>
      </c>
      <c r="Q768" s="27">
        <v>3.9373900744831964E-5</v>
      </c>
      <c r="R768" s="27">
        <v>1.1337623906465015</v>
      </c>
      <c r="S768" s="154"/>
      <c r="T768">
        <v>0.92163821163110493</v>
      </c>
      <c r="U768">
        <v>2.3053708211885229</v>
      </c>
      <c r="V768">
        <v>2.8671623979535021</v>
      </c>
      <c r="W768">
        <v>1</v>
      </c>
      <c r="Y768" s="2">
        <v>756.92109970453225</v>
      </c>
      <c r="Z768" s="2">
        <v>2813.1805877266761</v>
      </c>
      <c r="AA768" s="2">
        <v>1192.3908677498985</v>
      </c>
      <c r="AB768" s="2">
        <v>2157.826621639409</v>
      </c>
      <c r="AC768" s="2">
        <v>108.81262122762806</v>
      </c>
      <c r="AD768" s="2">
        <v>1318.1110564451931</v>
      </c>
      <c r="AE768" s="2">
        <v>595.48801693830444</v>
      </c>
      <c r="AF768" s="2">
        <v>1381.2275522692605</v>
      </c>
      <c r="AG768" s="2">
        <v>102.99915681232237</v>
      </c>
      <c r="AH768" s="2">
        <v>419.8755871866029</v>
      </c>
      <c r="AI768" s="2">
        <v>387916.70061142382</v>
      </c>
      <c r="AJ768" s="2">
        <v>347645.77069201111</v>
      </c>
      <c r="AL768" s="27">
        <v>0.92060013150042774</v>
      </c>
      <c r="AM768" s="27">
        <v>0.92061455667207359</v>
      </c>
      <c r="AN768" s="27">
        <v>0.90995235373608818</v>
      </c>
      <c r="AO768" s="27">
        <v>0.8620368759221736</v>
      </c>
      <c r="AP768" s="27">
        <v>0.73302386600105152</v>
      </c>
      <c r="AQ768" s="27">
        <v>0.92060013150042774</v>
      </c>
      <c r="AR768" s="27">
        <v>0.92061455667207359</v>
      </c>
      <c r="AS768" s="27">
        <v>0.90995235373608818</v>
      </c>
      <c r="AT768" s="27">
        <v>0.8620368759221736</v>
      </c>
      <c r="AU768" s="27">
        <v>0.73302386600105152</v>
      </c>
      <c r="AW768" s="1">
        <v>13.815919697612774</v>
      </c>
      <c r="AX768" s="1">
        <v>15.655721183048318</v>
      </c>
      <c r="AY768" s="2">
        <v>1309392.3361216551</v>
      </c>
      <c r="AZ768" s="1">
        <v>15.412347284524603</v>
      </c>
      <c r="BA768" s="1">
        <v>17.237275115190371</v>
      </c>
      <c r="BB768" s="2">
        <v>1022671.6763355101</v>
      </c>
      <c r="BC768" s="2">
        <f t="shared" si="84"/>
        <v>-286720.65978614497</v>
      </c>
      <c r="BD768" s="292">
        <f t="shared" si="85"/>
        <v>1.5964275869118296</v>
      </c>
      <c r="BF768" s="170">
        <f t="shared" si="80"/>
        <v>901154.81549638882</v>
      </c>
      <c r="BG768" s="2">
        <f t="shared" si="81"/>
        <v>1443303.8891884263</v>
      </c>
      <c r="BI768">
        <f t="shared" si="82"/>
        <v>0</v>
      </c>
      <c r="BJ768" s="95">
        <f t="shared" si="83"/>
        <v>1</v>
      </c>
      <c r="BP768" s="217">
        <f t="shared" si="86"/>
        <v>1443303.8891884263</v>
      </c>
    </row>
    <row r="769" spans="1:68">
      <c r="A769" s="11">
        <v>763</v>
      </c>
      <c r="C769" s="27">
        <v>0.9222635734173229</v>
      </c>
      <c r="D769" s="27">
        <v>7.7736426582677098E-2</v>
      </c>
      <c r="E769" s="27">
        <v>0</v>
      </c>
      <c r="F769" s="27">
        <v>0.85903173206771766</v>
      </c>
      <c r="G769" s="27">
        <v>0.1409682679322824</v>
      </c>
      <c r="H769" s="27">
        <v>0</v>
      </c>
      <c r="I769" s="27">
        <v>0.7523611345519583</v>
      </c>
      <c r="J769" s="27">
        <v>0.2476388654480417</v>
      </c>
      <c r="K769" s="27">
        <v>0</v>
      </c>
      <c r="L769" s="27">
        <v>0.16378448344406971</v>
      </c>
      <c r="M769" s="27">
        <v>0.46521569326930906</v>
      </c>
      <c r="N769" s="27">
        <v>0.37099982328662129</v>
      </c>
      <c r="O769" s="27">
        <v>-11.004849744350238</v>
      </c>
      <c r="P769" s="27">
        <v>3.522811341362652E-2</v>
      </c>
      <c r="Q769" s="27">
        <v>7.2984097648510064E-5</v>
      </c>
      <c r="R769" s="27">
        <v>1.0477827513716056</v>
      </c>
      <c r="S769" s="154"/>
      <c r="T769">
        <v>1.0286402795187302</v>
      </c>
      <c r="U769">
        <v>2.1852059879274943</v>
      </c>
      <c r="V769">
        <v>2.9102127279908756</v>
      </c>
      <c r="W769">
        <v>1</v>
      </c>
      <c r="Y769" s="2">
        <v>1227.1723544064844</v>
      </c>
      <c r="Z769" s="2">
        <v>3427.8002267463157</v>
      </c>
      <c r="AA769" s="2">
        <v>4655.9562474808145</v>
      </c>
      <c r="AB769" s="2">
        <v>2714.6224202501071</v>
      </c>
      <c r="AC769" s="2">
        <v>1042.0795879273981</v>
      </c>
      <c r="AD769" s="2">
        <v>835.79347492260774</v>
      </c>
      <c r="AE769" s="2">
        <v>529.98187961971598</v>
      </c>
      <c r="AF769" s="2">
        <v>1191.8187639415626</v>
      </c>
      <c r="AG769" s="2">
        <v>72.878652656920323</v>
      </c>
      <c r="AH769" s="2">
        <v>443.65658658197708</v>
      </c>
      <c r="AI769" s="2">
        <v>363640.91629741114</v>
      </c>
      <c r="AJ769" s="2">
        <v>333473.06073713471</v>
      </c>
      <c r="AL769" s="27">
        <v>0.91097226616896676</v>
      </c>
      <c r="AM769" s="27">
        <v>0.91308282068423441</v>
      </c>
      <c r="AN769" s="27">
        <v>0.91327943549675794</v>
      </c>
      <c r="AO769" s="27">
        <v>0.88340546782428842</v>
      </c>
      <c r="AP769" s="27">
        <v>0.74902130942818734</v>
      </c>
      <c r="AQ769" s="27">
        <v>0.91097226616896676</v>
      </c>
      <c r="AR769" s="27">
        <v>0.91308282068423441</v>
      </c>
      <c r="AS769" s="27">
        <v>0.91327943549675794</v>
      </c>
      <c r="AT769" s="27">
        <v>0.88340546782428842</v>
      </c>
      <c r="AU769" s="27">
        <v>0.74902130942818734</v>
      </c>
      <c r="AW769" s="1">
        <v>13.615863285956086</v>
      </c>
      <c r="AX769" s="1">
        <v>15.532396008767925</v>
      </c>
      <c r="AY769" s="2">
        <v>1405555.9402781071</v>
      </c>
      <c r="AZ769" s="1">
        <v>15.454704370668177</v>
      </c>
      <c r="BA769" s="1">
        <v>17.367824276225573</v>
      </c>
      <c r="BB769" s="2">
        <v>1079844.3603269514</v>
      </c>
      <c r="BC769" s="2">
        <f t="shared" si="84"/>
        <v>-325711.5799511557</v>
      </c>
      <c r="BD769" s="292">
        <f t="shared" si="85"/>
        <v>1.8388410847120902</v>
      </c>
      <c r="BF769" s="170">
        <f t="shared" si="80"/>
        <v>772982.18547486677</v>
      </c>
      <c r="BG769" s="2">
        <f t="shared" si="81"/>
        <v>1392908.3389799567</v>
      </c>
      <c r="BI769">
        <f t="shared" si="82"/>
        <v>0</v>
      </c>
      <c r="BJ769" s="95">
        <f t="shared" si="83"/>
        <v>1</v>
      </c>
      <c r="BP769" s="217">
        <f t="shared" si="86"/>
        <v>1392908.3389799567</v>
      </c>
    </row>
    <row r="770" spans="1:68">
      <c r="A770" s="11">
        <v>764</v>
      </c>
      <c r="C770" s="27">
        <v>0.92140294747835927</v>
      </c>
      <c r="D770" s="27">
        <v>7.8597052521640731E-2</v>
      </c>
      <c r="E770" s="27">
        <v>0</v>
      </c>
      <c r="F770" s="27">
        <v>0.85771756307513702</v>
      </c>
      <c r="G770" s="27">
        <v>0.14228243692486295</v>
      </c>
      <c r="H770" s="27">
        <v>0</v>
      </c>
      <c r="I770" s="27">
        <v>0.75058636968390136</v>
      </c>
      <c r="J770" s="27">
        <v>0.24941363031609867</v>
      </c>
      <c r="K770" s="27">
        <v>0</v>
      </c>
      <c r="L770" s="27">
        <v>2.8021526061270174E-2</v>
      </c>
      <c r="M770" s="27">
        <v>0.56596782755483677</v>
      </c>
      <c r="N770" s="27">
        <v>0.40601064638389306</v>
      </c>
      <c r="O770" s="27">
        <v>-10.558719263661235</v>
      </c>
      <c r="P770" s="27">
        <v>3.2887897008589163E-2</v>
      </c>
      <c r="Q770" s="27">
        <v>1.0334603996596593E-4</v>
      </c>
      <c r="R770" s="27">
        <v>1.0030399868289159</v>
      </c>
      <c r="S770" s="154"/>
      <c r="T770">
        <v>0.97579007830022213</v>
      </c>
      <c r="U770">
        <v>2.2671149475447883</v>
      </c>
      <c r="V770">
        <v>2.7832030375719907</v>
      </c>
      <c r="W770">
        <v>1</v>
      </c>
      <c r="Y770" s="2">
        <v>444.39308888800349</v>
      </c>
      <c r="Z770" s="2">
        <v>3177.066267484297</v>
      </c>
      <c r="AA770" s="2">
        <v>3276.5877166536843</v>
      </c>
      <c r="AB770" s="2">
        <v>3567.9623008332774</v>
      </c>
      <c r="AC770" s="2">
        <v>391.29794929645408</v>
      </c>
      <c r="AD770" s="2">
        <v>1501.2604171886376</v>
      </c>
      <c r="AE770" s="2">
        <v>516.09213738803646</v>
      </c>
      <c r="AF770" s="2">
        <v>1118.7121633978243</v>
      </c>
      <c r="AG770" s="2">
        <v>100.19702887174496</v>
      </c>
      <c r="AH770" s="2">
        <v>373.81935275176511</v>
      </c>
      <c r="AI770" s="2">
        <v>372063.78638911119</v>
      </c>
      <c r="AJ770" s="2">
        <v>339226.48068453808</v>
      </c>
      <c r="AL770" s="27">
        <v>0.92082972605680546</v>
      </c>
      <c r="AM770" s="27">
        <v>0.91859269268711208</v>
      </c>
      <c r="AN770" s="27">
        <v>0.9099817137159889</v>
      </c>
      <c r="AO770" s="27">
        <v>0.84674204011717213</v>
      </c>
      <c r="AP770" s="27">
        <v>0.70579022878256903</v>
      </c>
      <c r="AQ770" s="27">
        <v>0.92082972605680546</v>
      </c>
      <c r="AR770" s="27">
        <v>0.91859269268711208</v>
      </c>
      <c r="AS770" s="27">
        <v>0.9099817137159889</v>
      </c>
      <c r="AT770" s="27">
        <v>0.84674204011717213</v>
      </c>
      <c r="AU770" s="27">
        <v>0.70579022878256903</v>
      </c>
      <c r="AW770" s="1">
        <v>13.759791577755497</v>
      </c>
      <c r="AX770" s="1">
        <v>15.808863511629863</v>
      </c>
      <c r="AY770" s="2">
        <v>1505965.0200453338</v>
      </c>
      <c r="AZ770" s="1">
        <v>15.481515171959508</v>
      </c>
      <c r="BA770" s="1">
        <v>17.458601386790054</v>
      </c>
      <c r="BB770" s="2">
        <v>1191341.7625102145</v>
      </c>
      <c r="BC770" s="2">
        <f t="shared" si="84"/>
        <v>-314623.25753511931</v>
      </c>
      <c r="BD770" s="292">
        <f t="shared" si="85"/>
        <v>1.7217235942040112</v>
      </c>
      <c r="BF770" s="170">
        <f t="shared" si="80"/>
        <v>695601.63239554572</v>
      </c>
      <c r="BG770" s="2">
        <f t="shared" si="81"/>
        <v>1285700.6650033067</v>
      </c>
      <c r="BI770">
        <f t="shared" si="82"/>
        <v>0</v>
      </c>
      <c r="BJ770" s="95">
        <f t="shared" si="83"/>
        <v>1</v>
      </c>
      <c r="BP770" s="217">
        <f t="shared" si="86"/>
        <v>1285700.6650033067</v>
      </c>
    </row>
    <row r="771" spans="1:68">
      <c r="A771" s="11">
        <v>765</v>
      </c>
      <c r="C771" s="27">
        <v>0.9268721108236887</v>
      </c>
      <c r="D771" s="27">
        <v>7.3127889176311286E-2</v>
      </c>
      <c r="E771" s="27">
        <v>0</v>
      </c>
      <c r="F771" s="27">
        <v>0.8570827889137187</v>
      </c>
      <c r="G771" s="27">
        <v>0.1429172110862813</v>
      </c>
      <c r="H771" s="27">
        <v>0</v>
      </c>
      <c r="I771" s="27">
        <v>0.76690245618026343</v>
      </c>
      <c r="J771" s="27">
        <v>0.2330975438197366</v>
      </c>
      <c r="K771" s="27">
        <v>0</v>
      </c>
      <c r="L771" s="27">
        <v>8.0318515920086542E-2</v>
      </c>
      <c r="M771" s="27">
        <v>0.50707526062585395</v>
      </c>
      <c r="N771" s="27">
        <v>0.41260622345405951</v>
      </c>
      <c r="O771" s="27">
        <v>-11.357479556449075</v>
      </c>
      <c r="P771" s="27">
        <v>3.448763136207398E-2</v>
      </c>
      <c r="Q771" s="27">
        <v>4.9725183683607667E-5</v>
      </c>
      <c r="R771" s="27">
        <v>1.1064641094327354</v>
      </c>
      <c r="S771" s="154"/>
      <c r="T771">
        <v>1.041667241550412</v>
      </c>
      <c r="U771">
        <v>2.2025851949385959</v>
      </c>
      <c r="V771">
        <v>3.0079905226833281</v>
      </c>
      <c r="W771">
        <v>1</v>
      </c>
      <c r="Y771" s="2">
        <v>3342.8370062468039</v>
      </c>
      <c r="Z771" s="2">
        <v>10040.961077440485</v>
      </c>
      <c r="AA771" s="2">
        <v>2464.9161769551865</v>
      </c>
      <c r="AB771" s="2">
        <v>539.61620900377113</v>
      </c>
      <c r="AC771" s="2">
        <v>1214.9418592179532</v>
      </c>
      <c r="AD771" s="2">
        <v>1892.4188115874158</v>
      </c>
      <c r="AE771" s="2">
        <v>586.1432461459616</v>
      </c>
      <c r="AF771" s="2">
        <v>1484.521110251136</v>
      </c>
      <c r="AG771" s="2">
        <v>195.14166956875047</v>
      </c>
      <c r="AH771" s="2">
        <v>517.21907660779209</v>
      </c>
      <c r="AI771" s="2">
        <v>562515.32114069222</v>
      </c>
      <c r="AJ771" s="2">
        <v>527393.48653894209</v>
      </c>
      <c r="AL771" s="27">
        <v>0.91992042995315915</v>
      </c>
      <c r="AM771" s="27">
        <v>0.91868026866844654</v>
      </c>
      <c r="AN771" s="27">
        <v>0.90931308123280008</v>
      </c>
      <c r="AO771" s="27">
        <v>0.88827986820228366</v>
      </c>
      <c r="AP771" s="27">
        <v>0.7117243397109313</v>
      </c>
      <c r="AQ771" s="27">
        <v>0.91992042995315915</v>
      </c>
      <c r="AR771" s="27">
        <v>0.91868026866844654</v>
      </c>
      <c r="AS771" s="27">
        <v>0.90931308123280008</v>
      </c>
      <c r="AT771" s="27">
        <v>0.88827986820228366</v>
      </c>
      <c r="AU771" s="27">
        <v>0.7117243397109313</v>
      </c>
      <c r="AW771" s="1">
        <v>13.513041954030474</v>
      </c>
      <c r="AX771" s="1">
        <v>15.386419521334869</v>
      </c>
      <c r="AY771" s="2">
        <v>2098678.3235103521</v>
      </c>
      <c r="AZ771" s="1">
        <v>15.493207557055159</v>
      </c>
      <c r="BA771" s="1">
        <v>17.341635290016637</v>
      </c>
      <c r="BB771" s="2">
        <v>1403994.1764582663</v>
      </c>
      <c r="BC771" s="2">
        <f t="shared" si="84"/>
        <v>-694684.14705208573</v>
      </c>
      <c r="BD771" s="292">
        <f t="shared" si="85"/>
        <v>1.9801656030246857</v>
      </c>
      <c r="BF771" s="170">
        <f t="shared" si="80"/>
        <v>63408.389134523924</v>
      </c>
      <c r="BG771" s="2">
        <f t="shared" si="81"/>
        <v>1074919.0326705591</v>
      </c>
      <c r="BI771">
        <f t="shared" si="82"/>
        <v>0</v>
      </c>
      <c r="BJ771" s="95">
        <f t="shared" si="83"/>
        <v>1</v>
      </c>
      <c r="BP771" s="217">
        <f t="shared" si="86"/>
        <v>1074919.0326705591</v>
      </c>
    </row>
    <row r="772" spans="1:68">
      <c r="A772" s="11">
        <v>766</v>
      </c>
      <c r="C772" s="27">
        <v>0.92400459913372579</v>
      </c>
      <c r="D772" s="27">
        <v>7.599540086627421E-2</v>
      </c>
      <c r="E772" s="27">
        <v>0</v>
      </c>
      <c r="F772" s="27">
        <v>0.8561775086898582</v>
      </c>
      <c r="G772" s="27">
        <v>0.1438224913101418</v>
      </c>
      <c r="H772" s="27">
        <v>0</v>
      </c>
      <c r="I772" s="27">
        <v>0.73772393493015898</v>
      </c>
      <c r="J772" s="27">
        <v>0.26227606506984102</v>
      </c>
      <c r="K772" s="27">
        <v>0</v>
      </c>
      <c r="L772" s="27">
        <v>0.11190331764740041</v>
      </c>
      <c r="M772" s="27">
        <v>0.53086612464945615</v>
      </c>
      <c r="N772" s="27">
        <v>0.35723055770314344</v>
      </c>
      <c r="O772" s="27">
        <v>-11.272472753282079</v>
      </c>
      <c r="P772" s="27">
        <v>3.2191867949964946E-2</v>
      </c>
      <c r="Q772" s="27">
        <v>4.9160785282354771E-5</v>
      </c>
      <c r="R772" s="27">
        <v>1.1077768864903799</v>
      </c>
      <c r="S772" s="154"/>
      <c r="T772">
        <v>1.0583103914715437</v>
      </c>
      <c r="U772">
        <v>2.1435391633164764</v>
      </c>
      <c r="V772">
        <v>3.1278188305659085</v>
      </c>
      <c r="W772">
        <v>1</v>
      </c>
      <c r="Y772" s="2">
        <v>150.81790842778167</v>
      </c>
      <c r="Z772" s="2">
        <v>3124.7201398625161</v>
      </c>
      <c r="AA772" s="2">
        <v>83.523517284599166</v>
      </c>
      <c r="AB772" s="2">
        <v>6064.2289398046969</v>
      </c>
      <c r="AC772" s="2">
        <v>1764.5469515320442</v>
      </c>
      <c r="AD772" s="2">
        <v>930.28605177971258</v>
      </c>
      <c r="AE772" s="2">
        <v>585.55808403211324</v>
      </c>
      <c r="AF772" s="2">
        <v>912.82083421507093</v>
      </c>
      <c r="AG772" s="2">
        <v>73.653908447091723</v>
      </c>
      <c r="AH772" s="2">
        <v>298.43918976788672</v>
      </c>
      <c r="AI772" s="2">
        <v>507700.48837438272</v>
      </c>
      <c r="AJ772" s="2">
        <v>480165.23588546587</v>
      </c>
      <c r="AL772" s="27">
        <v>0.90972944762395347</v>
      </c>
      <c r="AM772" s="27">
        <v>0.91556448756678588</v>
      </c>
      <c r="AN772" s="27">
        <v>0.91449235226826631</v>
      </c>
      <c r="AO772" s="27">
        <v>0.87520435591782086</v>
      </c>
      <c r="AP772" s="27">
        <v>0.76818580589334906</v>
      </c>
      <c r="AQ772" s="27">
        <v>0.90972944762395347</v>
      </c>
      <c r="AR772" s="27">
        <v>0.91556448756678588</v>
      </c>
      <c r="AS772" s="27">
        <v>0.91449235226826631</v>
      </c>
      <c r="AT772" s="27">
        <v>0.87520435591782086</v>
      </c>
      <c r="AU772" s="27">
        <v>0.76818580589334906</v>
      </c>
      <c r="AW772" s="1">
        <v>13.575007275973388</v>
      </c>
      <c r="AX772" s="1">
        <v>15.440121850773197</v>
      </c>
      <c r="AY772" s="2">
        <v>1998909.2928768187</v>
      </c>
      <c r="AZ772" s="1">
        <v>15.450572841906679</v>
      </c>
      <c r="BA772" s="1">
        <v>17.326236020468738</v>
      </c>
      <c r="BB772" s="2">
        <v>1468923.4491867963</v>
      </c>
      <c r="BC772" s="2">
        <f t="shared" si="84"/>
        <v>-529985.84369002236</v>
      </c>
      <c r="BD772" s="292">
        <f t="shared" si="85"/>
        <v>1.8755655659332913</v>
      </c>
      <c r="BF772" s="170">
        <f t="shared" si="80"/>
        <v>173091.87127892347</v>
      </c>
      <c r="BG772" s="2">
        <f t="shared" si="81"/>
        <v>1003168.2055182722</v>
      </c>
      <c r="BI772">
        <f t="shared" si="82"/>
        <v>0</v>
      </c>
      <c r="BJ772" s="95">
        <f t="shared" si="83"/>
        <v>1</v>
      </c>
      <c r="BP772" s="217">
        <f t="shared" si="86"/>
        <v>1003168.2055182722</v>
      </c>
    </row>
    <row r="773" spans="1:68">
      <c r="A773" s="11">
        <v>767</v>
      </c>
      <c r="C773" s="27">
        <v>0.92032853338644127</v>
      </c>
      <c r="D773" s="27">
        <v>7.9671466613558728E-2</v>
      </c>
      <c r="E773" s="27">
        <v>0</v>
      </c>
      <c r="F773" s="27">
        <v>0.86091712965960177</v>
      </c>
      <c r="G773" s="27">
        <v>0.13908287034039826</v>
      </c>
      <c r="H773" s="27">
        <v>0</v>
      </c>
      <c r="I773" s="27">
        <v>0.75181999317402404</v>
      </c>
      <c r="J773" s="27">
        <v>0.24818000682597596</v>
      </c>
      <c r="K773" s="27">
        <v>0</v>
      </c>
      <c r="L773" s="27">
        <v>0.17998185731246302</v>
      </c>
      <c r="M773" s="27">
        <v>0.46564743865968672</v>
      </c>
      <c r="N773" s="27">
        <v>0.35437070402785026</v>
      </c>
      <c r="O773" s="27">
        <v>-10.91811731371862</v>
      </c>
      <c r="P773" s="27">
        <v>3.5032188169706602E-2</v>
      </c>
      <c r="Q773" s="27">
        <v>7.8944505797911362E-5</v>
      </c>
      <c r="R773" s="27">
        <v>1.0383694126570777</v>
      </c>
      <c r="S773" s="154"/>
      <c r="T773">
        <v>0.92080807157245148</v>
      </c>
      <c r="U773">
        <v>2.1995624307851558</v>
      </c>
      <c r="V773">
        <v>3.2654727707106166</v>
      </c>
      <c r="W773">
        <v>1</v>
      </c>
      <c r="Y773" s="2">
        <v>542.19177626588532</v>
      </c>
      <c r="Z773" s="2">
        <v>12834.692622641114</v>
      </c>
      <c r="AA773" s="2">
        <v>1143.8344188383653</v>
      </c>
      <c r="AB773" s="2">
        <v>6691.4449481505817</v>
      </c>
      <c r="AC773" s="2">
        <v>542.96049726699584</v>
      </c>
      <c r="AD773" s="2">
        <v>360.47988903679845</v>
      </c>
      <c r="AE773" s="2">
        <v>551.99551318715203</v>
      </c>
      <c r="AF773" s="2">
        <v>1009.3136294662276</v>
      </c>
      <c r="AG773" s="2">
        <v>120.1557595291516</v>
      </c>
      <c r="AH773" s="2">
        <v>147.83751884937726</v>
      </c>
      <c r="AI773" s="2">
        <v>466364.85915950243</v>
      </c>
      <c r="AJ773" s="2">
        <v>437457.16523550672</v>
      </c>
      <c r="AL773" s="27">
        <v>0.91837230009684978</v>
      </c>
      <c r="AM773" s="27">
        <v>0.91573578749499807</v>
      </c>
      <c r="AN773" s="27">
        <v>0.91144000235565659</v>
      </c>
      <c r="AO773" s="27">
        <v>0.85368605280762666</v>
      </c>
      <c r="AP773" s="27">
        <v>0.71472611762498106</v>
      </c>
      <c r="AQ773" s="27">
        <v>0.91837230009684978</v>
      </c>
      <c r="AR773" s="27">
        <v>0.91573578749499807</v>
      </c>
      <c r="AS773" s="27">
        <v>0.91144000235565659</v>
      </c>
      <c r="AT773" s="27">
        <v>0.85368605280762666</v>
      </c>
      <c r="AU773" s="27">
        <v>0.71472611762498106</v>
      </c>
      <c r="AW773" s="1">
        <v>13.821402796752741</v>
      </c>
      <c r="AX773" s="1">
        <v>15.8139527585335</v>
      </c>
      <c r="AY773" s="2">
        <v>1914787.9941985009</v>
      </c>
      <c r="AZ773" s="1">
        <v>15.448785401120979</v>
      </c>
      <c r="BA773" s="1">
        <v>17.400106999260604</v>
      </c>
      <c r="BB773" s="2">
        <v>1395666.8277729708</v>
      </c>
      <c r="BC773" s="2">
        <f t="shared" si="84"/>
        <v>-519121.1664255301</v>
      </c>
      <c r="BD773" s="292">
        <f t="shared" si="85"/>
        <v>1.627382604368238</v>
      </c>
      <c r="BF773" s="170">
        <f t="shared" si="80"/>
        <v>296636.45328193787</v>
      </c>
      <c r="BG773" s="2">
        <f t="shared" si="81"/>
        <v>1076138.836406386</v>
      </c>
      <c r="BI773">
        <f t="shared" si="82"/>
        <v>0</v>
      </c>
      <c r="BJ773" s="95">
        <f t="shared" si="83"/>
        <v>1</v>
      </c>
      <c r="BP773" s="217">
        <f t="shared" si="86"/>
        <v>1076138.836406386</v>
      </c>
    </row>
    <row r="774" spans="1:68">
      <c r="A774" s="11">
        <v>768</v>
      </c>
      <c r="C774" s="27">
        <v>0.92380478182211045</v>
      </c>
      <c r="D774" s="27">
        <v>7.619521817788949E-2</v>
      </c>
      <c r="E774" s="27">
        <v>0</v>
      </c>
      <c r="F774" s="27">
        <v>0.85377736264894855</v>
      </c>
      <c r="G774" s="27">
        <v>0.14622263735105145</v>
      </c>
      <c r="H774" s="27">
        <v>0</v>
      </c>
      <c r="I774" s="27">
        <v>0.74982958668215172</v>
      </c>
      <c r="J774" s="27">
        <v>0.25017041331784828</v>
      </c>
      <c r="K774" s="27">
        <v>0</v>
      </c>
      <c r="L774" s="27">
        <v>0.10998747631282974</v>
      </c>
      <c r="M774" s="27">
        <v>0.53323886594805403</v>
      </c>
      <c r="N774" s="27">
        <v>0.35677365773911623</v>
      </c>
      <c r="O774" s="27">
        <v>-11.175452849278438</v>
      </c>
      <c r="P774" s="27">
        <v>3.7557455186870196E-2</v>
      </c>
      <c r="Q774" s="27">
        <v>6.7861633218372898E-5</v>
      </c>
      <c r="R774" s="27">
        <v>1.0599033910915976</v>
      </c>
      <c r="S774" s="154"/>
      <c r="T774">
        <v>1.0635622620369005</v>
      </c>
      <c r="U774">
        <v>2.2431064349502461</v>
      </c>
      <c r="V774">
        <v>3.0676995836841656</v>
      </c>
      <c r="W774">
        <v>1</v>
      </c>
      <c r="Y774" s="2">
        <v>1374.356840604368</v>
      </c>
      <c r="Z774" s="2">
        <v>4194.5037207061787</v>
      </c>
      <c r="AA774" s="2">
        <v>645.10847237469534</v>
      </c>
      <c r="AB774" s="2">
        <v>367.08190142669901</v>
      </c>
      <c r="AC774" s="2">
        <v>1198.8185039397197</v>
      </c>
      <c r="AD774" s="2">
        <v>256.68997088528067</v>
      </c>
      <c r="AE774" s="2">
        <v>540.30154718253573</v>
      </c>
      <c r="AF774" s="2">
        <v>1042.7906235470143</v>
      </c>
      <c r="AG774" s="2">
        <v>121.29090704844766</v>
      </c>
      <c r="AH774" s="2">
        <v>408.76532758341187</v>
      </c>
      <c r="AI774" s="2">
        <v>412590.8526968403</v>
      </c>
      <c r="AJ774" s="2">
        <v>381749.77101146692</v>
      </c>
      <c r="AL774" s="27">
        <v>0.91626145035881346</v>
      </c>
      <c r="AM774" s="27">
        <v>0.9132320342327217</v>
      </c>
      <c r="AN774" s="27">
        <v>0.90673329303188777</v>
      </c>
      <c r="AO774" s="27">
        <v>0.8720470529107448</v>
      </c>
      <c r="AP774" s="27">
        <v>0.79230443267965334</v>
      </c>
      <c r="AQ774" s="27">
        <v>0.91626145035881346</v>
      </c>
      <c r="AR774" s="27">
        <v>0.9132320342327217</v>
      </c>
      <c r="AS774" s="27">
        <v>0.90673329303188777</v>
      </c>
      <c r="AT774" s="27">
        <v>0.8720470529107448</v>
      </c>
      <c r="AU774" s="27">
        <v>0.79230443267965334</v>
      </c>
      <c r="AW774" s="1">
        <v>13.790801620739446</v>
      </c>
      <c r="AX774" s="1">
        <v>15.570047982115085</v>
      </c>
      <c r="AY774" s="2">
        <v>1738968.6716445684</v>
      </c>
      <c r="AZ774" s="1">
        <v>15.654522604075147</v>
      </c>
      <c r="BA774" s="1">
        <v>17.466226496106923</v>
      </c>
      <c r="BB774" s="2">
        <v>1165969.9244298688</v>
      </c>
      <c r="BC774" s="2">
        <f t="shared" si="84"/>
        <v>-572998.74721469963</v>
      </c>
      <c r="BD774" s="292">
        <f t="shared" si="85"/>
        <v>1.8637209833357016</v>
      </c>
      <c r="BF774" s="170">
        <f t="shared" si="80"/>
        <v>467559.58767374279</v>
      </c>
      <c r="BG774" s="2">
        <f t="shared" si="81"/>
        <v>1338753.6922221547</v>
      </c>
      <c r="BI774">
        <f t="shared" si="82"/>
        <v>0</v>
      </c>
      <c r="BJ774" s="95">
        <f t="shared" si="83"/>
        <v>1</v>
      </c>
      <c r="BP774" s="217">
        <f t="shared" si="86"/>
        <v>1338753.6922221547</v>
      </c>
    </row>
    <row r="775" spans="1:68">
      <c r="A775" s="11">
        <v>769</v>
      </c>
      <c r="C775" s="27">
        <v>0.92297468097373725</v>
      </c>
      <c r="D775" s="27">
        <v>7.7025319026262751E-2</v>
      </c>
      <c r="E775" s="27">
        <v>0</v>
      </c>
      <c r="F775" s="27">
        <v>0.85704287237406296</v>
      </c>
      <c r="G775" s="27">
        <v>0.14295712762593704</v>
      </c>
      <c r="H775" s="27">
        <v>0</v>
      </c>
      <c r="I775" s="27">
        <v>0.74983459569703959</v>
      </c>
      <c r="J775" s="27">
        <v>0.25016540430296041</v>
      </c>
      <c r="K775" s="27">
        <v>0</v>
      </c>
      <c r="L775" s="27">
        <v>3.745827452336592E-2</v>
      </c>
      <c r="M775" s="27">
        <v>0.51392234141141624</v>
      </c>
      <c r="N775" s="27">
        <v>0.44861938406521784</v>
      </c>
      <c r="O775" s="27">
        <v>-11.400732567920437</v>
      </c>
      <c r="P775" s="27">
        <v>3.8335978985278976E-2</v>
      </c>
      <c r="Q775" s="27">
        <v>5.5974101325271785E-5</v>
      </c>
      <c r="R775" s="27">
        <v>1.0768695553137104</v>
      </c>
      <c r="S775" s="154"/>
      <c r="T775">
        <v>0.89574576982060339</v>
      </c>
      <c r="U775">
        <v>2.2195634252739302</v>
      </c>
      <c r="V775">
        <v>2.8297418809596895</v>
      </c>
      <c r="W775">
        <v>1</v>
      </c>
      <c r="Y775" s="2">
        <v>694.36235561387275</v>
      </c>
      <c r="Z775" s="2">
        <v>10062.507286353031</v>
      </c>
      <c r="AA775" s="2">
        <v>4861.7741652926788</v>
      </c>
      <c r="AB775" s="2">
        <v>6215.0293939432304</v>
      </c>
      <c r="AC775" s="2">
        <v>364.09182753687338</v>
      </c>
      <c r="AD775" s="2">
        <v>1445.1732365112969</v>
      </c>
      <c r="AE775" s="2">
        <v>525.54174338149596</v>
      </c>
      <c r="AF775" s="2">
        <v>868.17195543003015</v>
      </c>
      <c r="AG775" s="2">
        <v>148.55196561504948</v>
      </c>
      <c r="AH775" s="2">
        <v>723.56392125611285</v>
      </c>
      <c r="AI775" s="2">
        <v>491703.23706325341</v>
      </c>
      <c r="AJ775" s="2">
        <v>469546.56392801221</v>
      </c>
      <c r="AL775" s="27">
        <v>0.91444727499879574</v>
      </c>
      <c r="AM775" s="27">
        <v>0.91834198913181231</v>
      </c>
      <c r="AN775" s="27">
        <v>0.91218036068234265</v>
      </c>
      <c r="AO775" s="27">
        <v>0.80800050276762647</v>
      </c>
      <c r="AP775" s="27">
        <v>0.59556258568792386</v>
      </c>
      <c r="AQ775" s="27">
        <v>0.91444727499879574</v>
      </c>
      <c r="AR775" s="27">
        <v>0.91834198913181231</v>
      </c>
      <c r="AS775" s="27">
        <v>0.91218036068234265</v>
      </c>
      <c r="AT775" s="27">
        <v>0.80800050276762647</v>
      </c>
      <c r="AU775" s="27">
        <v>0.59556258568792386</v>
      </c>
      <c r="AW775" s="1">
        <v>13.410368600205169</v>
      </c>
      <c r="AX775" s="1">
        <v>15.731821488096868</v>
      </c>
      <c r="AY775" s="2">
        <v>1831672.8473440651</v>
      </c>
      <c r="AZ775" s="1">
        <v>15.004892402956033</v>
      </c>
      <c r="BA775" s="1">
        <v>17.208184704463065</v>
      </c>
      <c r="BB775" s="2">
        <v>1476443.8080341767</v>
      </c>
      <c r="BC775" s="2">
        <f t="shared" si="84"/>
        <v>-355229.03930988838</v>
      </c>
      <c r="BD775" s="292">
        <f t="shared" si="85"/>
        <v>1.5945238027508637</v>
      </c>
      <c r="BF775" s="170">
        <f t="shared" ref="BF775:BF838" si="87">AW775*Threshold-AY775</f>
        <v>313986.12868876196</v>
      </c>
      <c r="BG775" s="2">
        <f t="shared" ref="BG775:BG838" si="88">AZ775*Threshold-BB775</f>
        <v>924338.97643878846</v>
      </c>
      <c r="BI775">
        <f t="shared" ref="BI775:BI838" si="89">IF(MAX($BF775:$BG775)=$BF775,1,0)</f>
        <v>0</v>
      </c>
      <c r="BJ775" s="95">
        <f t="shared" ref="BJ775:BJ838" si="90">IF(MAX($BF775:$BG775)=$BF775,0,1)</f>
        <v>1</v>
      </c>
      <c r="BP775" s="217">
        <f t="shared" si="86"/>
        <v>924338.97643878846</v>
      </c>
    </row>
    <row r="776" spans="1:68">
      <c r="A776" s="11">
        <v>770</v>
      </c>
      <c r="C776" s="27">
        <v>0.9194317124266852</v>
      </c>
      <c r="D776" s="27">
        <v>8.0568287573314801E-2</v>
      </c>
      <c r="E776" s="27">
        <v>0</v>
      </c>
      <c r="F776" s="27">
        <v>0.86318532740856901</v>
      </c>
      <c r="G776" s="27">
        <v>0.13681467259143101</v>
      </c>
      <c r="H776" s="27">
        <v>0</v>
      </c>
      <c r="I776" s="27">
        <v>0.74478868275901189</v>
      </c>
      <c r="J776" s="27">
        <v>0.25521131724098811</v>
      </c>
      <c r="K776" s="27">
        <v>0</v>
      </c>
      <c r="L776" s="27">
        <v>0.12996828091838208</v>
      </c>
      <c r="M776" s="27">
        <v>0.50318622007978853</v>
      </c>
      <c r="N776" s="27">
        <v>0.36684549900182939</v>
      </c>
      <c r="O776" s="27">
        <v>-11.237975575234961</v>
      </c>
      <c r="P776" s="27">
        <v>3.5340014976668027E-2</v>
      </c>
      <c r="Q776" s="27">
        <v>5.8079665531765844E-5</v>
      </c>
      <c r="R776" s="27">
        <v>1.0731700344065791</v>
      </c>
      <c r="S776" s="154"/>
      <c r="T776">
        <v>0.96648465633887981</v>
      </c>
      <c r="U776">
        <v>2.2267494964987726</v>
      </c>
      <c r="V776">
        <v>3.0778140289414413</v>
      </c>
      <c r="W776">
        <v>1</v>
      </c>
      <c r="Y776" s="2">
        <v>127.30459494176836</v>
      </c>
      <c r="Z776" s="2">
        <v>3554.5980291573374</v>
      </c>
      <c r="AA776" s="2">
        <v>1622.690650533305</v>
      </c>
      <c r="AB776" s="2">
        <v>2939.7894738904938</v>
      </c>
      <c r="AC776" s="2">
        <v>633.06509703955646</v>
      </c>
      <c r="AD776" s="2">
        <v>2972.571777149597</v>
      </c>
      <c r="AE776" s="2">
        <v>553.98088831404482</v>
      </c>
      <c r="AF776" s="2">
        <v>1092.2588749138945</v>
      </c>
      <c r="AG776" s="2">
        <v>90.036566826085959</v>
      </c>
      <c r="AH776" s="2">
        <v>730.60813574243446</v>
      </c>
      <c r="AI776" s="2">
        <v>479456.93504897074</v>
      </c>
      <c r="AJ776" s="2">
        <v>444988.91525270574</v>
      </c>
      <c r="AL776" s="27">
        <v>0.91720139466725215</v>
      </c>
      <c r="AM776" s="27">
        <v>0.91299411931809638</v>
      </c>
      <c r="AN776" s="27">
        <v>0.90725996296428957</v>
      </c>
      <c r="AO776" s="27">
        <v>0.88844062536261559</v>
      </c>
      <c r="AP776" s="27">
        <v>0.69682069376816713</v>
      </c>
      <c r="AQ776" s="27">
        <v>0.91720139466725215</v>
      </c>
      <c r="AR776" s="27">
        <v>0.91299411931809638</v>
      </c>
      <c r="AS776" s="27">
        <v>0.90725996296428957</v>
      </c>
      <c r="AT776" s="27">
        <v>0.88844062536261559</v>
      </c>
      <c r="AU776" s="27">
        <v>0.69682069376816713</v>
      </c>
      <c r="AW776" s="1">
        <v>13.606818479950082</v>
      </c>
      <c r="AX776" s="1">
        <v>15.66731491874334</v>
      </c>
      <c r="AY776" s="2">
        <v>1875431.0236867743</v>
      </c>
      <c r="AZ776" s="1">
        <v>15.364632599615776</v>
      </c>
      <c r="BA776" s="1">
        <v>17.373791680596778</v>
      </c>
      <c r="BB776" s="2">
        <v>1437525.6448247312</v>
      </c>
      <c r="BC776" s="2">
        <f t="shared" ref="BC776:BC839" si="91">BB776-AY776</f>
        <v>-437905.37886204314</v>
      </c>
      <c r="BD776" s="292">
        <f t="shared" ref="BD776:BD839" si="92">AZ776-AW776</f>
        <v>1.757814119665694</v>
      </c>
      <c r="BF776" s="170">
        <f t="shared" si="87"/>
        <v>301659.93310523895</v>
      </c>
      <c r="BG776" s="2">
        <f t="shared" si="88"/>
        <v>1020815.5711137932</v>
      </c>
      <c r="BI776">
        <f t="shared" si="89"/>
        <v>0</v>
      </c>
      <c r="BJ776" s="95">
        <f t="shared" si="90"/>
        <v>1</v>
      </c>
      <c r="BP776" s="217">
        <f t="shared" ref="BP776:BP839" si="93">MAX(BF776,BG776)</f>
        <v>1020815.5711137932</v>
      </c>
    </row>
    <row r="777" spans="1:68">
      <c r="A777" s="11">
        <v>771</v>
      </c>
      <c r="C777" s="27">
        <v>0.92285733758755251</v>
      </c>
      <c r="D777" s="27">
        <v>7.7142662412447494E-2</v>
      </c>
      <c r="E777" s="27">
        <v>0</v>
      </c>
      <c r="F777" s="27">
        <v>0.85369462437595767</v>
      </c>
      <c r="G777" s="27">
        <v>0.14630537562404233</v>
      </c>
      <c r="H777" s="27">
        <v>0</v>
      </c>
      <c r="I777" s="27">
        <v>0.74802438052271636</v>
      </c>
      <c r="J777" s="27">
        <v>0.25197561947728364</v>
      </c>
      <c r="K777" s="27">
        <v>0</v>
      </c>
      <c r="L777" s="27">
        <v>8.1028423738888744E-2</v>
      </c>
      <c r="M777" s="27">
        <v>0.48583838023155845</v>
      </c>
      <c r="N777" s="27">
        <v>0.4331331960295528</v>
      </c>
      <c r="O777" s="27">
        <v>-11.701399663034332</v>
      </c>
      <c r="P777" s="27">
        <v>3.5565419770261966E-2</v>
      </c>
      <c r="Q777" s="27">
        <v>3.6886975648352817E-5</v>
      </c>
      <c r="R777" s="27">
        <v>1.1443904267853922</v>
      </c>
      <c r="S777" s="154"/>
      <c r="T777">
        <v>0.96632702332636489</v>
      </c>
      <c r="U777">
        <v>2.297778594202597</v>
      </c>
      <c r="V777">
        <v>3.0570920025809856</v>
      </c>
      <c r="W777">
        <v>1</v>
      </c>
      <c r="Y777" s="2">
        <v>114.87889326078492</v>
      </c>
      <c r="Z777" s="2">
        <v>1811.6948653851111</v>
      </c>
      <c r="AA777" s="2">
        <v>2212.396033491978</v>
      </c>
      <c r="AB777" s="2">
        <v>409.12327906863305</v>
      </c>
      <c r="AC777" s="2">
        <v>235.36383376309118</v>
      </c>
      <c r="AD777" s="2">
        <v>202.67088222684177</v>
      </c>
      <c r="AE777" s="2">
        <v>583.30766285893731</v>
      </c>
      <c r="AF777" s="2">
        <v>1235.0330655087912</v>
      </c>
      <c r="AG777" s="2">
        <v>140.46319184064697</v>
      </c>
      <c r="AH777" s="2">
        <v>476.16703189060848</v>
      </c>
      <c r="AI777" s="2">
        <v>484863.93187151465</v>
      </c>
      <c r="AJ777" s="2">
        <v>451803.40275362134</v>
      </c>
      <c r="AL777" s="27">
        <v>0.91432302893018946</v>
      </c>
      <c r="AM777" s="27">
        <v>0.9188338162154821</v>
      </c>
      <c r="AN777" s="27">
        <v>0.91436503632220456</v>
      </c>
      <c r="AO777" s="27">
        <v>0.87478460160972604</v>
      </c>
      <c r="AP777" s="27">
        <v>0.66219290467578207</v>
      </c>
      <c r="AQ777" s="27">
        <v>0.91432302893018946</v>
      </c>
      <c r="AR777" s="27">
        <v>0.9188338162154821</v>
      </c>
      <c r="AS777" s="27">
        <v>0.91436503632220456</v>
      </c>
      <c r="AT777" s="27">
        <v>0.87478460160972604</v>
      </c>
      <c r="AU777" s="27">
        <v>0.66219290467578207</v>
      </c>
      <c r="AW777" s="1">
        <v>13.130819363474204</v>
      </c>
      <c r="AX777" s="1">
        <v>15.139065322646996</v>
      </c>
      <c r="AY777" s="2">
        <v>1555677.2565217454</v>
      </c>
      <c r="AZ777" s="1">
        <v>15.019284317250644</v>
      </c>
      <c r="BA777" s="1">
        <v>16.977736829741328</v>
      </c>
      <c r="BB777" s="2">
        <v>1158932.3299337937</v>
      </c>
      <c r="BC777" s="2">
        <f t="shared" si="91"/>
        <v>-396744.9265879516</v>
      </c>
      <c r="BD777" s="292">
        <f t="shared" si="92"/>
        <v>1.88846495377644</v>
      </c>
      <c r="BF777" s="170">
        <f t="shared" si="87"/>
        <v>545253.84163412754</v>
      </c>
      <c r="BG777" s="2">
        <f t="shared" si="88"/>
        <v>1244153.1608263091</v>
      </c>
      <c r="BI777">
        <f t="shared" si="89"/>
        <v>0</v>
      </c>
      <c r="BJ777" s="95">
        <f t="shared" si="90"/>
        <v>1</v>
      </c>
      <c r="BP777" s="217">
        <f t="shared" si="93"/>
        <v>1244153.1608263091</v>
      </c>
    </row>
    <row r="778" spans="1:68">
      <c r="A778" s="11">
        <v>772</v>
      </c>
      <c r="C778" s="27">
        <v>0.92170720775612125</v>
      </c>
      <c r="D778" s="27">
        <v>7.829279224387875E-2</v>
      </c>
      <c r="E778" s="27">
        <v>0</v>
      </c>
      <c r="F778" s="27">
        <v>0.85844866095147598</v>
      </c>
      <c r="G778" s="27">
        <v>0.14155133904852404</v>
      </c>
      <c r="H778" s="27">
        <v>0</v>
      </c>
      <c r="I778" s="27">
        <v>0.74789044190520082</v>
      </c>
      <c r="J778" s="27">
        <v>0.25210955809479918</v>
      </c>
      <c r="K778" s="27">
        <v>0</v>
      </c>
      <c r="L778" s="27">
        <v>0.18447752883512208</v>
      </c>
      <c r="M778" s="27">
        <v>0.45190408478596206</v>
      </c>
      <c r="N778" s="27">
        <v>0.3636183863789158</v>
      </c>
      <c r="O778" s="27">
        <v>-11.315223677826287</v>
      </c>
      <c r="P778" s="27">
        <v>3.7675488088633156E-2</v>
      </c>
      <c r="Q778" s="27">
        <v>5.9302850848239279E-5</v>
      </c>
      <c r="R778" s="27">
        <v>1.0679425582292694</v>
      </c>
      <c r="S778" s="154"/>
      <c r="T778">
        <v>0.98064508580311605</v>
      </c>
      <c r="U778">
        <v>2.1844629479893056</v>
      </c>
      <c r="V778">
        <v>2.8225285308254815</v>
      </c>
      <c r="W778">
        <v>1</v>
      </c>
      <c r="Y778" s="2">
        <v>6.0669529693254063</v>
      </c>
      <c r="Z778" s="2">
        <v>3075.8356200067874</v>
      </c>
      <c r="AA778" s="2">
        <v>983.42978315196876</v>
      </c>
      <c r="AB778" s="2">
        <v>1482.5312682656324</v>
      </c>
      <c r="AC778" s="2">
        <v>487.400574217734</v>
      </c>
      <c r="AD778" s="2">
        <v>3533.2818800289897</v>
      </c>
      <c r="AE778" s="2">
        <v>628.31472418600731</v>
      </c>
      <c r="AF778" s="2">
        <v>1145.4399770413056</v>
      </c>
      <c r="AG778" s="2">
        <v>113.70463696736806</v>
      </c>
      <c r="AH778" s="2">
        <v>424.46976479245836</v>
      </c>
      <c r="AI778" s="2">
        <v>421405.93900648999</v>
      </c>
      <c r="AJ778" s="2">
        <v>399413.66653275152</v>
      </c>
      <c r="AL778" s="27">
        <v>0.91757071303631488</v>
      </c>
      <c r="AM778" s="27">
        <v>0.91751076062552772</v>
      </c>
      <c r="AN778" s="27">
        <v>0.90686630071117713</v>
      </c>
      <c r="AO778" s="27">
        <v>0.87944995571111195</v>
      </c>
      <c r="AP778" s="27">
        <v>0.73339022313361035</v>
      </c>
      <c r="AQ778" s="27">
        <v>0.91757071303631488</v>
      </c>
      <c r="AR778" s="27">
        <v>0.91751076062552772</v>
      </c>
      <c r="AS778" s="27">
        <v>0.90686630071117713</v>
      </c>
      <c r="AT778" s="27">
        <v>0.87944995571111195</v>
      </c>
      <c r="AU778" s="27">
        <v>0.73339022313361035</v>
      </c>
      <c r="AW778" s="1">
        <v>13.753465170672772</v>
      </c>
      <c r="AX778" s="1">
        <v>15.65937077851356</v>
      </c>
      <c r="AY778" s="2">
        <v>1605761.5453182408</v>
      </c>
      <c r="AZ778" s="1">
        <v>15.450196672792222</v>
      </c>
      <c r="BA778" s="1">
        <v>17.336788748236778</v>
      </c>
      <c r="BB778" s="2">
        <v>1228939.4227741465</v>
      </c>
      <c r="BC778" s="2">
        <f t="shared" si="91"/>
        <v>-376822.12254409422</v>
      </c>
      <c r="BD778" s="292">
        <f t="shared" si="92"/>
        <v>1.6967315021194498</v>
      </c>
      <c r="BF778" s="170">
        <f t="shared" si="87"/>
        <v>594792.8819894027</v>
      </c>
      <c r="BG778" s="2">
        <f t="shared" si="88"/>
        <v>1243092.0448726092</v>
      </c>
      <c r="BI778">
        <f t="shared" si="89"/>
        <v>0</v>
      </c>
      <c r="BJ778" s="95">
        <f t="shared" si="90"/>
        <v>1</v>
      </c>
      <c r="BP778" s="217">
        <f t="shared" si="93"/>
        <v>1243092.0448726092</v>
      </c>
    </row>
    <row r="779" spans="1:68">
      <c r="A779" s="11">
        <v>773</v>
      </c>
      <c r="C779" s="27">
        <v>0.92287450451997011</v>
      </c>
      <c r="D779" s="27">
        <v>7.7125495480029893E-2</v>
      </c>
      <c r="E779" s="27">
        <v>0</v>
      </c>
      <c r="F779" s="27">
        <v>0.85095001023959926</v>
      </c>
      <c r="G779" s="27">
        <v>0.14904998976040074</v>
      </c>
      <c r="H779" s="27">
        <v>0</v>
      </c>
      <c r="I779" s="27">
        <v>0.7560768471496625</v>
      </c>
      <c r="J779" s="27">
        <v>0.24392315285033747</v>
      </c>
      <c r="K779" s="27">
        <v>0</v>
      </c>
      <c r="L779" s="27">
        <v>0.19802030682685062</v>
      </c>
      <c r="M779" s="27">
        <v>0.49553020313052049</v>
      </c>
      <c r="N779" s="27">
        <v>0.30644949004262895</v>
      </c>
      <c r="O779" s="27">
        <v>-11.044441634936428</v>
      </c>
      <c r="P779" s="27">
        <v>3.6098786265202971E-2</v>
      </c>
      <c r="Q779" s="27">
        <v>7.2763753968334348E-5</v>
      </c>
      <c r="R779" s="27">
        <v>1.0415978126662677</v>
      </c>
      <c r="S779" s="154"/>
      <c r="T779">
        <v>1.120753152117137</v>
      </c>
      <c r="U779">
        <v>2.2770361859417934</v>
      </c>
      <c r="V779">
        <v>2.9947468256293468</v>
      </c>
      <c r="W779">
        <v>1</v>
      </c>
      <c r="Y779" s="2">
        <v>383.24136505130264</v>
      </c>
      <c r="Z779" s="2">
        <v>3602.306246588892</v>
      </c>
      <c r="AA779" s="2">
        <v>871.38605553794309</v>
      </c>
      <c r="AB779" s="2">
        <v>6411.6226990517343</v>
      </c>
      <c r="AC779" s="2">
        <v>1474.6571218996187</v>
      </c>
      <c r="AD779" s="2">
        <v>3330.4303895994562</v>
      </c>
      <c r="AE779" s="2">
        <v>526.85873842147555</v>
      </c>
      <c r="AF779" s="2">
        <v>893.63663163955221</v>
      </c>
      <c r="AG779" s="2">
        <v>129.64948163550966</v>
      </c>
      <c r="AH779" s="2">
        <v>826.62409662311302</v>
      </c>
      <c r="AI779" s="2">
        <v>446855.16654404649</v>
      </c>
      <c r="AJ779" s="2">
        <v>418182.95599860657</v>
      </c>
      <c r="AL779" s="27">
        <v>0.91848501711725783</v>
      </c>
      <c r="AM779" s="27">
        <v>0.92223687698647505</v>
      </c>
      <c r="AN779" s="27">
        <v>0.91059885333139778</v>
      </c>
      <c r="AO779" s="27">
        <v>0.87383049370412536</v>
      </c>
      <c r="AP779" s="27">
        <v>0.72430829725906887</v>
      </c>
      <c r="AQ779" s="27">
        <v>0.91848501711725783</v>
      </c>
      <c r="AR779" s="27">
        <v>0.92223687698647505</v>
      </c>
      <c r="AS779" s="27">
        <v>0.91059885333139778</v>
      </c>
      <c r="AT779" s="27">
        <v>0.87383049370412536</v>
      </c>
      <c r="AU779" s="27">
        <v>0.72430829725906887</v>
      </c>
      <c r="AW779" s="1">
        <v>13.624603421940174</v>
      </c>
      <c r="AX779" s="1">
        <v>15.679862619531766</v>
      </c>
      <c r="AY779" s="2">
        <v>2057938.9527351498</v>
      </c>
      <c r="AZ779" s="1">
        <v>15.673108814971226</v>
      </c>
      <c r="BA779" s="1">
        <v>17.636039539166156</v>
      </c>
      <c r="BB779" s="2">
        <v>1519486.8943414739</v>
      </c>
      <c r="BC779" s="2">
        <f t="shared" si="91"/>
        <v>-538452.05839367583</v>
      </c>
      <c r="BD779" s="292">
        <f t="shared" si="92"/>
        <v>2.0485053930310517</v>
      </c>
      <c r="BF779" s="170">
        <f t="shared" si="87"/>
        <v>121997.59477527812</v>
      </c>
      <c r="BG779" s="2">
        <f t="shared" si="88"/>
        <v>988210.51605392201</v>
      </c>
      <c r="BI779">
        <f t="shared" si="89"/>
        <v>0</v>
      </c>
      <c r="BJ779" s="95">
        <f t="shared" si="90"/>
        <v>1</v>
      </c>
      <c r="BP779" s="217">
        <f t="shared" si="93"/>
        <v>988210.51605392201</v>
      </c>
    </row>
    <row r="780" spans="1:68">
      <c r="A780" s="11">
        <v>774</v>
      </c>
      <c r="C780" s="27">
        <v>0.92641254929380279</v>
      </c>
      <c r="D780" s="27">
        <v>7.3587450706197224E-2</v>
      </c>
      <c r="E780" s="27">
        <v>0</v>
      </c>
      <c r="F780" s="27">
        <v>0.85878186949160329</v>
      </c>
      <c r="G780" s="27">
        <v>0.14121813050839674</v>
      </c>
      <c r="H780" s="27">
        <v>0</v>
      </c>
      <c r="I780" s="27">
        <v>0.7502365234447681</v>
      </c>
      <c r="J780" s="27">
        <v>0.2497634765552319</v>
      </c>
      <c r="K780" s="27">
        <v>0</v>
      </c>
      <c r="L780" s="27">
        <v>0.16540523177723127</v>
      </c>
      <c r="M780" s="27">
        <v>0.52843217920791441</v>
      </c>
      <c r="N780" s="27">
        <v>0.30616258901485432</v>
      </c>
      <c r="O780" s="27">
        <v>-10.721602961066452</v>
      </c>
      <c r="P780" s="27">
        <v>3.0485005181202472E-2</v>
      </c>
      <c r="Q780" s="27">
        <v>7.9382489963688714E-5</v>
      </c>
      <c r="R780" s="27">
        <v>1.0492012343832555</v>
      </c>
      <c r="S780" s="154"/>
      <c r="T780">
        <v>1.0115866917270737</v>
      </c>
      <c r="U780">
        <v>2.3055340401299693</v>
      </c>
      <c r="V780">
        <v>3.0097894640030316</v>
      </c>
      <c r="W780">
        <v>1</v>
      </c>
      <c r="Y780" s="2">
        <v>505.31482601926928</v>
      </c>
      <c r="Z780" s="2">
        <v>11142.57320180954</v>
      </c>
      <c r="AA780" s="2">
        <v>52.759480960729888</v>
      </c>
      <c r="AB780" s="2">
        <v>1510.2587423203579</v>
      </c>
      <c r="AC780" s="2">
        <v>422.3369226618189</v>
      </c>
      <c r="AD780" s="2">
        <v>1294.6815547318949</v>
      </c>
      <c r="AE780" s="2">
        <v>563.28437212675146</v>
      </c>
      <c r="AF780" s="2">
        <v>1171.7017051126395</v>
      </c>
      <c r="AG780" s="2">
        <v>148.50488177649007</v>
      </c>
      <c r="AH780" s="2">
        <v>191.54998330395304</v>
      </c>
      <c r="AI780" s="2">
        <v>464775.53258845722</v>
      </c>
      <c r="AJ780" s="2">
        <v>431238.8653970178</v>
      </c>
      <c r="AL780" s="27">
        <v>0.9165287001952066</v>
      </c>
      <c r="AM780" s="27">
        <v>0.90785705981818987</v>
      </c>
      <c r="AN780" s="27">
        <v>0.91303749617853502</v>
      </c>
      <c r="AO780" s="27">
        <v>0.84939775195021883</v>
      </c>
      <c r="AP780" s="27">
        <v>0.58026652014111324</v>
      </c>
      <c r="AQ780" s="27">
        <v>0.9165287001952066</v>
      </c>
      <c r="AR780" s="27">
        <v>0.90785705981818987</v>
      </c>
      <c r="AS780" s="27">
        <v>0.91303749617853502</v>
      </c>
      <c r="AT780" s="27">
        <v>0.84939775195021883</v>
      </c>
      <c r="AU780" s="27">
        <v>0.58026652014111324</v>
      </c>
      <c r="AW780" s="1">
        <v>13.409365096454998</v>
      </c>
      <c r="AX780" s="1">
        <v>15.968894509420656</v>
      </c>
      <c r="AY780" s="2">
        <v>2002778.2026865727</v>
      </c>
      <c r="AZ780" s="1">
        <v>15.328402069508904</v>
      </c>
      <c r="BA780" s="1">
        <v>17.690999636965302</v>
      </c>
      <c r="BB780" s="2">
        <v>1337089.0974445667</v>
      </c>
      <c r="BC780" s="2">
        <f t="shared" si="91"/>
        <v>-665689.10524200602</v>
      </c>
      <c r="BD780" s="292">
        <f t="shared" si="92"/>
        <v>1.9190369730539061</v>
      </c>
      <c r="BF780" s="170">
        <f t="shared" si="87"/>
        <v>142720.21274622693</v>
      </c>
      <c r="BG780" s="2">
        <f t="shared" si="88"/>
        <v>1115455.233676858</v>
      </c>
      <c r="BI780">
        <f t="shared" si="89"/>
        <v>0</v>
      </c>
      <c r="BJ780" s="95">
        <f t="shared" si="90"/>
        <v>1</v>
      </c>
      <c r="BP780" s="217">
        <f t="shared" si="93"/>
        <v>1115455.233676858</v>
      </c>
    </row>
    <row r="781" spans="1:68">
      <c r="A781" s="11">
        <v>775</v>
      </c>
      <c r="C781" s="27">
        <v>0.92416757701664842</v>
      </c>
      <c r="D781" s="27">
        <v>7.583242298335155E-2</v>
      </c>
      <c r="E781" s="27">
        <v>0</v>
      </c>
      <c r="F781" s="27">
        <v>0.85284503664132494</v>
      </c>
      <c r="G781" s="27">
        <v>0.14715496335867506</v>
      </c>
      <c r="H781" s="27">
        <v>0</v>
      </c>
      <c r="I781" s="27">
        <v>0.74623752346679428</v>
      </c>
      <c r="J781" s="27">
        <v>0.25376247653320572</v>
      </c>
      <c r="K781" s="27">
        <v>0</v>
      </c>
      <c r="L781" s="27">
        <v>0.186978665332242</v>
      </c>
      <c r="M781" s="27">
        <v>0.50392557290441353</v>
      </c>
      <c r="N781" s="27">
        <v>0.30909576176334447</v>
      </c>
      <c r="O781" s="27">
        <v>-11.317883505699001</v>
      </c>
      <c r="P781" s="27">
        <v>3.6026295512298599E-2</v>
      </c>
      <c r="Q781" s="27">
        <v>5.5187223258429578E-5</v>
      </c>
      <c r="R781" s="27">
        <v>1.0814153039440095</v>
      </c>
      <c r="S781" s="154"/>
      <c r="T781">
        <v>1.0656804765796579</v>
      </c>
      <c r="U781">
        <v>2.2443045405882778</v>
      </c>
      <c r="V781">
        <v>3.1701577364547315</v>
      </c>
      <c r="W781">
        <v>1</v>
      </c>
      <c r="Y781" s="2">
        <v>379.15465131364812</v>
      </c>
      <c r="Z781" s="2">
        <v>5668.2739656120202</v>
      </c>
      <c r="AA781" s="2">
        <v>2551.5016262058757</v>
      </c>
      <c r="AB781" s="2">
        <v>849.65523596878722</v>
      </c>
      <c r="AC781" s="2">
        <v>2350.4800770504953</v>
      </c>
      <c r="AD781" s="2">
        <v>334.69402672124465</v>
      </c>
      <c r="AE781" s="2">
        <v>536.25796615331808</v>
      </c>
      <c r="AF781" s="2">
        <v>1119.0911743966658</v>
      </c>
      <c r="AG781" s="2">
        <v>148.29714532212273</v>
      </c>
      <c r="AH781" s="2">
        <v>330.65675731991621</v>
      </c>
      <c r="AI781" s="2">
        <v>457919.67742737685</v>
      </c>
      <c r="AJ781" s="2">
        <v>434857.3881530668</v>
      </c>
      <c r="AL781" s="27">
        <v>0.91806336425072321</v>
      </c>
      <c r="AM781" s="27">
        <v>0.91073197709859444</v>
      </c>
      <c r="AN781" s="27">
        <v>0.90515221952055325</v>
      </c>
      <c r="AO781" s="27">
        <v>0.85945925148331825</v>
      </c>
      <c r="AP781" s="27">
        <v>0.7165256815291563</v>
      </c>
      <c r="AQ781" s="27">
        <v>0.91806336425072321</v>
      </c>
      <c r="AR781" s="27">
        <v>0.91073197709859444</v>
      </c>
      <c r="AS781" s="27">
        <v>0.90515221952055325</v>
      </c>
      <c r="AT781" s="27">
        <v>0.85945925148331825</v>
      </c>
      <c r="AU781" s="27">
        <v>0.7165256815291563</v>
      </c>
      <c r="AW781" s="1">
        <v>13.627247892786135</v>
      </c>
      <c r="AX781" s="1">
        <v>15.706101592398571</v>
      </c>
      <c r="AY781" s="2">
        <v>2045868.0194552862</v>
      </c>
      <c r="AZ781" s="1">
        <v>15.540548529354451</v>
      </c>
      <c r="BA781" s="1">
        <v>17.56096460900687</v>
      </c>
      <c r="BB781" s="2">
        <v>1398522.0909507379</v>
      </c>
      <c r="BC781" s="2">
        <f t="shared" si="91"/>
        <v>-647345.92850454827</v>
      </c>
      <c r="BD781" s="292">
        <f t="shared" si="92"/>
        <v>1.9133006365683158</v>
      </c>
      <c r="BF781" s="170">
        <f t="shared" si="87"/>
        <v>134491.64339049533</v>
      </c>
      <c r="BG781" s="2">
        <f t="shared" si="88"/>
        <v>1087965.6737459742</v>
      </c>
      <c r="BI781">
        <f t="shared" si="89"/>
        <v>0</v>
      </c>
      <c r="BJ781" s="95">
        <f t="shared" si="90"/>
        <v>1</v>
      </c>
      <c r="BP781" s="217">
        <f t="shared" si="93"/>
        <v>1087965.6737459742</v>
      </c>
    </row>
    <row r="782" spans="1:68">
      <c r="A782" s="11">
        <v>776</v>
      </c>
      <c r="C782" s="27">
        <v>0.92700077138805104</v>
      </c>
      <c r="D782" s="27">
        <v>7.2999228611948935E-2</v>
      </c>
      <c r="E782" s="27">
        <v>0</v>
      </c>
      <c r="F782" s="27">
        <v>0.85552295106743848</v>
      </c>
      <c r="G782" s="27">
        <v>0.14447704893256152</v>
      </c>
      <c r="H782" s="27">
        <v>0</v>
      </c>
      <c r="I782" s="27">
        <v>0.74876633536413706</v>
      </c>
      <c r="J782" s="27">
        <v>0.25123366463586294</v>
      </c>
      <c r="K782" s="27">
        <v>0</v>
      </c>
      <c r="L782" s="27">
        <v>0.14844680415061717</v>
      </c>
      <c r="M782" s="27">
        <v>0.52789920275466407</v>
      </c>
      <c r="N782" s="27">
        <v>0.32365399309471876</v>
      </c>
      <c r="O782" s="27">
        <v>-11.119098360548069</v>
      </c>
      <c r="P782" s="27">
        <v>3.4635035378938257E-2</v>
      </c>
      <c r="Q782" s="27">
        <v>6.3502779927841958E-5</v>
      </c>
      <c r="R782" s="27">
        <v>1.0632006676538601</v>
      </c>
      <c r="S782" s="154"/>
      <c r="T782">
        <v>0.97431229061117974</v>
      </c>
      <c r="U782">
        <v>2.2655604249237253</v>
      </c>
      <c r="V782">
        <v>2.8667939885510383</v>
      </c>
      <c r="W782">
        <v>1</v>
      </c>
      <c r="Y782" s="2">
        <v>306.41408861118413</v>
      </c>
      <c r="Z782" s="2">
        <v>1983.614893710873</v>
      </c>
      <c r="AA782" s="2">
        <v>348.09159222520987</v>
      </c>
      <c r="AB782" s="2">
        <v>9340.1911294881374</v>
      </c>
      <c r="AC782" s="2">
        <v>213.38534253903671</v>
      </c>
      <c r="AD782" s="2">
        <v>4582.2041875231689</v>
      </c>
      <c r="AE782" s="2">
        <v>610.69229367804519</v>
      </c>
      <c r="AF782" s="2">
        <v>965.87194842368149</v>
      </c>
      <c r="AG782" s="2">
        <v>88.516745231653417</v>
      </c>
      <c r="AH782" s="2">
        <v>410.89553312288604</v>
      </c>
      <c r="AI782" s="2">
        <v>375165.40378168854</v>
      </c>
      <c r="AJ782" s="2">
        <v>343388.35704493331</v>
      </c>
      <c r="AL782" s="27">
        <v>0.92164891797593484</v>
      </c>
      <c r="AM782" s="27">
        <v>0.91175225483474787</v>
      </c>
      <c r="AN782" s="27">
        <v>0.91695791376125202</v>
      </c>
      <c r="AO782" s="27">
        <v>0.86722273406387473</v>
      </c>
      <c r="AP782" s="27">
        <v>0.74855825103157259</v>
      </c>
      <c r="AQ782" s="27">
        <v>0.92164891797593484</v>
      </c>
      <c r="AR782" s="27">
        <v>0.91175225483474787</v>
      </c>
      <c r="AS782" s="27">
        <v>0.91695791376125202</v>
      </c>
      <c r="AT782" s="27">
        <v>0.86722273406387473</v>
      </c>
      <c r="AU782" s="27">
        <v>0.74855825103157259</v>
      </c>
      <c r="AW782" s="1">
        <v>14.220681366710295</v>
      </c>
      <c r="AX782" s="1">
        <v>16.131745659116682</v>
      </c>
      <c r="AY782" s="2">
        <v>1484598.5702453398</v>
      </c>
      <c r="AZ782" s="1">
        <v>15.801268513123853</v>
      </c>
      <c r="BA782" s="1">
        <v>17.68261949786184</v>
      </c>
      <c r="BB782" s="2">
        <v>1288171.0341749776</v>
      </c>
      <c r="BC782" s="2">
        <f t="shared" si="91"/>
        <v>-196427.5360703622</v>
      </c>
      <c r="BD782" s="292">
        <f t="shared" si="92"/>
        <v>1.5805871464135581</v>
      </c>
      <c r="BF782" s="170">
        <f t="shared" si="87"/>
        <v>790710.44842830743</v>
      </c>
      <c r="BG782" s="2">
        <f t="shared" si="88"/>
        <v>1240031.9279248391</v>
      </c>
      <c r="BI782">
        <f t="shared" si="89"/>
        <v>0</v>
      </c>
      <c r="BJ782" s="95">
        <f t="shared" si="90"/>
        <v>1</v>
      </c>
      <c r="BP782" s="217">
        <f t="shared" si="93"/>
        <v>1240031.9279248391</v>
      </c>
    </row>
    <row r="783" spans="1:68">
      <c r="A783" s="11">
        <v>777</v>
      </c>
      <c r="C783" s="27">
        <v>0.92381692963017359</v>
      </c>
      <c r="D783" s="27">
        <v>7.6183070369826439E-2</v>
      </c>
      <c r="E783" s="27">
        <v>0</v>
      </c>
      <c r="F783" s="27">
        <v>0.85569295447836924</v>
      </c>
      <c r="G783" s="27">
        <v>0.14430704552163076</v>
      </c>
      <c r="H783" s="27">
        <v>0</v>
      </c>
      <c r="I783" s="27">
        <v>0.75117053595363636</v>
      </c>
      <c r="J783" s="27">
        <v>0.24882946404636364</v>
      </c>
      <c r="K783" s="27">
        <v>0</v>
      </c>
      <c r="L783" s="27">
        <v>0.10879044771308505</v>
      </c>
      <c r="M783" s="27">
        <v>0.53223949015617578</v>
      </c>
      <c r="N783" s="27">
        <v>0.35897006213073918</v>
      </c>
      <c r="O783" s="27">
        <v>-10.904001480797207</v>
      </c>
      <c r="P783" s="27">
        <v>3.4092202003276603E-2</v>
      </c>
      <c r="Q783" s="27">
        <v>7.696736965357382E-5</v>
      </c>
      <c r="R783" s="27">
        <v>1.0454125009217174</v>
      </c>
      <c r="S783" s="154"/>
      <c r="T783">
        <v>1.0908425907527939</v>
      </c>
      <c r="U783">
        <v>2.2910039377636315</v>
      </c>
      <c r="V783">
        <v>3.0777325339692614</v>
      </c>
      <c r="W783">
        <v>1</v>
      </c>
      <c r="Y783" s="2">
        <v>515.46760121012005</v>
      </c>
      <c r="Z783" s="2">
        <v>374.79140698269248</v>
      </c>
      <c r="AA783" s="2">
        <v>616.62924936458603</v>
      </c>
      <c r="AB783" s="2">
        <v>241.74575024477571</v>
      </c>
      <c r="AC783" s="2">
        <v>135.09772015926654</v>
      </c>
      <c r="AD783" s="2">
        <v>1823.5811503025759</v>
      </c>
      <c r="AE783" s="2">
        <v>627.07060511460861</v>
      </c>
      <c r="AF783" s="2">
        <v>1034.7327639953235</v>
      </c>
      <c r="AG783" s="2">
        <v>224.6651454721102</v>
      </c>
      <c r="AH783" s="2">
        <v>731.46834370825604</v>
      </c>
      <c r="AI783" s="2">
        <v>390474.75632916036</v>
      </c>
      <c r="AJ783" s="2">
        <v>367450.54252573359</v>
      </c>
      <c r="AL783" s="27">
        <v>0.9233926369155403</v>
      </c>
      <c r="AM783" s="27">
        <v>0.90955369346915926</v>
      </c>
      <c r="AN783" s="27">
        <v>0.90674810162983943</v>
      </c>
      <c r="AO783" s="27">
        <v>0.88238653004948198</v>
      </c>
      <c r="AP783" s="27">
        <v>0.72111524391536319</v>
      </c>
      <c r="AQ783" s="27">
        <v>0.9233926369155403</v>
      </c>
      <c r="AR783" s="27">
        <v>0.90955369346915926</v>
      </c>
      <c r="AS783" s="27">
        <v>0.90674810162983943</v>
      </c>
      <c r="AT783" s="27">
        <v>0.88238653004948198</v>
      </c>
      <c r="AU783" s="27">
        <v>0.72111524391536319</v>
      </c>
      <c r="AW783" s="1">
        <v>13.528033908799845</v>
      </c>
      <c r="AX783" s="1">
        <v>15.500096303066291</v>
      </c>
      <c r="AY783" s="2">
        <v>1627228.5538022465</v>
      </c>
      <c r="AZ783" s="1">
        <v>15.566015382858659</v>
      </c>
      <c r="BA783" s="1">
        <v>17.494150708821287</v>
      </c>
      <c r="BB783" s="2">
        <v>1149050.7657264587</v>
      </c>
      <c r="BC783" s="2">
        <f t="shared" si="91"/>
        <v>-478177.78807578771</v>
      </c>
      <c r="BD783" s="292">
        <f t="shared" si="92"/>
        <v>2.0379814740588138</v>
      </c>
      <c r="BF783" s="170">
        <f t="shared" si="87"/>
        <v>537256.87160572852</v>
      </c>
      <c r="BG783" s="2">
        <f t="shared" si="88"/>
        <v>1341511.6955309268</v>
      </c>
      <c r="BI783">
        <f t="shared" si="89"/>
        <v>0</v>
      </c>
      <c r="BJ783" s="95">
        <f t="shared" si="90"/>
        <v>1</v>
      </c>
      <c r="BP783" s="217">
        <f t="shared" si="93"/>
        <v>1341511.6955309268</v>
      </c>
    </row>
    <row r="784" spans="1:68">
      <c r="A784" s="11">
        <v>778</v>
      </c>
      <c r="C784" s="27">
        <v>0.92239701427710219</v>
      </c>
      <c r="D784" s="27">
        <v>7.760298572289781E-2</v>
      </c>
      <c r="E784" s="27">
        <v>0</v>
      </c>
      <c r="F784" s="27">
        <v>0.85473029424854952</v>
      </c>
      <c r="G784" s="27">
        <v>0.14526970575145048</v>
      </c>
      <c r="H784" s="27">
        <v>0</v>
      </c>
      <c r="I784" s="27">
        <v>0.74985631685089971</v>
      </c>
      <c r="J784" s="27">
        <v>0.25014368314910029</v>
      </c>
      <c r="K784" s="27">
        <v>0</v>
      </c>
      <c r="L784" s="27">
        <v>9.4781171079236115E-2</v>
      </c>
      <c r="M784" s="27">
        <v>0.4985341986424322</v>
      </c>
      <c r="N784" s="27">
        <v>0.40668463027833168</v>
      </c>
      <c r="O784" s="27">
        <v>-10.876822753447021</v>
      </c>
      <c r="P784" s="27">
        <v>3.3216571888138306E-2</v>
      </c>
      <c r="Q784" s="27">
        <v>7.6232190715411221E-5</v>
      </c>
      <c r="R784" s="27">
        <v>1.045087794455799</v>
      </c>
      <c r="S784" s="154"/>
      <c r="T784">
        <v>1.0241780199900574</v>
      </c>
      <c r="U784">
        <v>2.2681215934732544</v>
      </c>
      <c r="V784">
        <v>3.0775188780968454</v>
      </c>
      <c r="W784">
        <v>1</v>
      </c>
      <c r="Y784" s="2">
        <v>1764.5456711566533</v>
      </c>
      <c r="Z784" s="2">
        <v>2411.6112104387639</v>
      </c>
      <c r="AA784" s="2">
        <v>3639.4354537827521</v>
      </c>
      <c r="AB784" s="2">
        <v>9975.5834012984233</v>
      </c>
      <c r="AC784" s="2">
        <v>446.17581566666991</v>
      </c>
      <c r="AD784" s="2">
        <v>6401.1929018943683</v>
      </c>
      <c r="AE784" s="2">
        <v>578.43872558290809</v>
      </c>
      <c r="AF784" s="2">
        <v>978.82430749898685</v>
      </c>
      <c r="AG784" s="2">
        <v>167.39756103758461</v>
      </c>
      <c r="AH784" s="2">
        <v>680.7807925563784</v>
      </c>
      <c r="AI784" s="2">
        <v>517851.76641455077</v>
      </c>
      <c r="AJ784" s="2">
        <v>484715.05309529445</v>
      </c>
      <c r="AL784" s="27">
        <v>0.91980386696570138</v>
      </c>
      <c r="AM784" s="27">
        <v>0.91273041521596732</v>
      </c>
      <c r="AN784" s="27">
        <v>0.91295707502509738</v>
      </c>
      <c r="AO784" s="27">
        <v>0.86832758805720234</v>
      </c>
      <c r="AP784" s="27">
        <v>0.70099613708972308</v>
      </c>
      <c r="AQ784" s="27">
        <v>0.91980386696570138</v>
      </c>
      <c r="AR784" s="27">
        <v>0.91273041521596732</v>
      </c>
      <c r="AS784" s="27">
        <v>0.91295707502509738</v>
      </c>
      <c r="AT784" s="27">
        <v>0.86832758805720234</v>
      </c>
      <c r="AU784" s="27">
        <v>0.70099613708972308</v>
      </c>
      <c r="AW784" s="1">
        <v>13.37276454131654</v>
      </c>
      <c r="AX784" s="1">
        <v>15.361292887572176</v>
      </c>
      <c r="AY784" s="2">
        <v>1992050.4880109802</v>
      </c>
      <c r="AZ784" s="1">
        <v>15.317664994513821</v>
      </c>
      <c r="BA784" s="1">
        <v>17.259608883621119</v>
      </c>
      <c r="BB784" s="2">
        <v>1691150.0472477009</v>
      </c>
      <c r="BC784" s="2">
        <f t="shared" si="91"/>
        <v>-300900.44076327933</v>
      </c>
      <c r="BD784" s="292">
        <f t="shared" si="92"/>
        <v>1.9449004531972811</v>
      </c>
      <c r="BF784" s="170">
        <f t="shared" si="87"/>
        <v>147591.83859966602</v>
      </c>
      <c r="BG784" s="2">
        <f t="shared" si="88"/>
        <v>759676.35187451076</v>
      </c>
      <c r="BI784">
        <f t="shared" si="89"/>
        <v>0</v>
      </c>
      <c r="BJ784" s="95">
        <f t="shared" si="90"/>
        <v>1</v>
      </c>
      <c r="BP784" s="217">
        <f t="shared" si="93"/>
        <v>759676.35187451076</v>
      </c>
    </row>
    <row r="785" spans="1:68">
      <c r="A785" s="11">
        <v>779</v>
      </c>
      <c r="C785" s="27">
        <v>0.92533324831752406</v>
      </c>
      <c r="D785" s="27">
        <v>7.4666751682475885E-2</v>
      </c>
      <c r="E785" s="27">
        <v>0</v>
      </c>
      <c r="F785" s="27">
        <v>0.85192514655283269</v>
      </c>
      <c r="G785" s="27">
        <v>0.14807485344716731</v>
      </c>
      <c r="H785" s="27">
        <v>0</v>
      </c>
      <c r="I785" s="27">
        <v>0.75208876630573229</v>
      </c>
      <c r="J785" s="27">
        <v>0.24791123369426765</v>
      </c>
      <c r="K785" s="27">
        <v>0</v>
      </c>
      <c r="L785" s="27">
        <v>0.15840472362640257</v>
      </c>
      <c r="M785" s="27">
        <v>0.49866176833779907</v>
      </c>
      <c r="N785" s="27">
        <v>0.34293350803579836</v>
      </c>
      <c r="O785" s="27">
        <v>-11.190878576897768</v>
      </c>
      <c r="P785" s="27">
        <v>3.4479483247744157E-2</v>
      </c>
      <c r="Q785" s="27">
        <v>5.8719406529677216E-5</v>
      </c>
      <c r="R785" s="27">
        <v>1.0782795170525379</v>
      </c>
      <c r="S785" s="154"/>
      <c r="T785">
        <v>0.94472393027628221</v>
      </c>
      <c r="U785">
        <v>2.218659924497778</v>
      </c>
      <c r="V785">
        <v>3.084197917612832</v>
      </c>
      <c r="W785">
        <v>1</v>
      </c>
      <c r="Y785" s="2">
        <v>1937.8513450524486</v>
      </c>
      <c r="Z785" s="2">
        <v>2003.4029483876384</v>
      </c>
      <c r="AA785" s="2">
        <v>3556.8376360028255</v>
      </c>
      <c r="AB785" s="2">
        <v>4953.575647714858</v>
      </c>
      <c r="AC785" s="2">
        <v>1384.1174777472334</v>
      </c>
      <c r="AD785" s="2">
        <v>2980.6673262111062</v>
      </c>
      <c r="AE785" s="2">
        <v>564.62668521706735</v>
      </c>
      <c r="AF785" s="2">
        <v>1037.0775279791869</v>
      </c>
      <c r="AG785" s="2">
        <v>115.20693382619847</v>
      </c>
      <c r="AH785" s="2">
        <v>365.42419003947123</v>
      </c>
      <c r="AI785" s="2">
        <v>503206.38618533866</v>
      </c>
      <c r="AJ785" s="2">
        <v>465335.30751054507</v>
      </c>
      <c r="AL785" s="27">
        <v>0.91611299633133669</v>
      </c>
      <c r="AM785" s="27">
        <v>0.90985380394827542</v>
      </c>
      <c r="AN785" s="27">
        <v>0.90478135612259503</v>
      </c>
      <c r="AO785" s="27">
        <v>0.8505381333556532</v>
      </c>
      <c r="AP785" s="27">
        <v>0.61685264933621942</v>
      </c>
      <c r="AQ785" s="27">
        <v>0.91611299633133669</v>
      </c>
      <c r="AR785" s="27">
        <v>0.90985380394827542</v>
      </c>
      <c r="AS785" s="27">
        <v>0.90478135612259503</v>
      </c>
      <c r="AT785" s="27">
        <v>0.8505381333556532</v>
      </c>
      <c r="AU785" s="27">
        <v>0.61685264933621942</v>
      </c>
      <c r="AW785" s="1">
        <v>13.551633748059858</v>
      </c>
      <c r="AX785" s="1">
        <v>15.900423026493486</v>
      </c>
      <c r="AY785" s="2">
        <v>1899590.4751424363</v>
      </c>
      <c r="AZ785" s="1">
        <v>15.221213663842612</v>
      </c>
      <c r="BA785" s="1">
        <v>17.459482658350499</v>
      </c>
      <c r="BB785" s="2">
        <v>1531400.9790616545</v>
      </c>
      <c r="BC785" s="2">
        <f t="shared" si="91"/>
        <v>-368189.4960807818</v>
      </c>
      <c r="BD785" s="292">
        <f t="shared" si="92"/>
        <v>1.6695799157827533</v>
      </c>
      <c r="BF785" s="170">
        <f t="shared" si="87"/>
        <v>268670.92454714119</v>
      </c>
      <c r="BG785" s="2">
        <f t="shared" si="88"/>
        <v>903993.20715316315</v>
      </c>
      <c r="BI785">
        <f t="shared" si="89"/>
        <v>0</v>
      </c>
      <c r="BJ785" s="95">
        <f t="shared" si="90"/>
        <v>1</v>
      </c>
      <c r="BP785" s="217">
        <f t="shared" si="93"/>
        <v>903993.20715316315</v>
      </c>
    </row>
    <row r="786" spans="1:68">
      <c r="A786" s="11">
        <v>780</v>
      </c>
      <c r="C786" s="27">
        <v>0.92182509909659716</v>
      </c>
      <c r="D786" s="27">
        <v>7.8174900903402844E-2</v>
      </c>
      <c r="E786" s="27">
        <v>0</v>
      </c>
      <c r="F786" s="27">
        <v>0.85712043429847384</v>
      </c>
      <c r="G786" s="27">
        <v>0.14287956570152616</v>
      </c>
      <c r="H786" s="27">
        <v>0</v>
      </c>
      <c r="I786" s="27">
        <v>0.73932208896578222</v>
      </c>
      <c r="J786" s="27">
        <v>0.26067791103421778</v>
      </c>
      <c r="K786" s="27">
        <v>0</v>
      </c>
      <c r="L786" s="27">
        <v>0.13737392583726793</v>
      </c>
      <c r="M786" s="27">
        <v>0.51792555992822764</v>
      </c>
      <c r="N786" s="27">
        <v>0.34470051423450443</v>
      </c>
      <c r="O786" s="27">
        <v>-11.307792573025241</v>
      </c>
      <c r="P786" s="27">
        <v>3.340118026794784E-2</v>
      </c>
      <c r="Q786" s="27">
        <v>4.9927280470863343E-5</v>
      </c>
      <c r="R786" s="27">
        <v>1.1003165365645329</v>
      </c>
      <c r="S786" s="154"/>
      <c r="T786">
        <v>1.0084679591060168</v>
      </c>
      <c r="U786">
        <v>2.2251999584690356</v>
      </c>
      <c r="V786">
        <v>2.8817883125036485</v>
      </c>
      <c r="W786">
        <v>1</v>
      </c>
      <c r="Y786" s="2">
        <v>11.182875237460072</v>
      </c>
      <c r="Z786" s="2">
        <v>6337.2248385214752</v>
      </c>
      <c r="AA786" s="2">
        <v>919.53396538825268</v>
      </c>
      <c r="AB786" s="2">
        <v>1434.8998460510741</v>
      </c>
      <c r="AC786" s="2">
        <v>643.16295053568729</v>
      </c>
      <c r="AD786" s="2">
        <v>24.088856348562885</v>
      </c>
      <c r="AE786" s="2">
        <v>562.95903212468158</v>
      </c>
      <c r="AF786" s="2">
        <v>1267.2696115816898</v>
      </c>
      <c r="AG786" s="2">
        <v>179.30595309810622</v>
      </c>
      <c r="AH786" s="2">
        <v>343.67836830344208</v>
      </c>
      <c r="AI786" s="2">
        <v>437210.79422851512</v>
      </c>
      <c r="AJ786" s="2">
        <v>399412.62616316054</v>
      </c>
      <c r="AL786" s="27">
        <v>0.92102976365908784</v>
      </c>
      <c r="AM786" s="27">
        <v>0.91504716724990409</v>
      </c>
      <c r="AN786" s="27">
        <v>0.91252020458811023</v>
      </c>
      <c r="AO786" s="27">
        <v>0.86187472284705846</v>
      </c>
      <c r="AP786" s="27">
        <v>0.71553066893632888</v>
      </c>
      <c r="AQ786" s="27">
        <v>0.92102976365908784</v>
      </c>
      <c r="AR786" s="27">
        <v>0.91504716724990409</v>
      </c>
      <c r="AS786" s="27">
        <v>0.91252020458811023</v>
      </c>
      <c r="AT786" s="27">
        <v>0.86187472284705846</v>
      </c>
      <c r="AU786" s="27">
        <v>0.71553066893632888</v>
      </c>
      <c r="AW786" s="1">
        <v>13.629494253482211</v>
      </c>
      <c r="AX786" s="1">
        <v>15.602545056994192</v>
      </c>
      <c r="AY786" s="2">
        <v>1731424.2930250668</v>
      </c>
      <c r="AZ786" s="1">
        <v>15.426019174602681</v>
      </c>
      <c r="BA786" s="1">
        <v>17.351688289847953</v>
      </c>
      <c r="BB786" s="2">
        <v>1215953.5148878163</v>
      </c>
      <c r="BC786" s="2">
        <f t="shared" si="91"/>
        <v>-515470.77813725057</v>
      </c>
      <c r="BD786" s="292">
        <f t="shared" si="92"/>
        <v>1.7965249211204704</v>
      </c>
      <c r="BF786" s="170">
        <f t="shared" si="87"/>
        <v>449294.78753208672</v>
      </c>
      <c r="BG786" s="2">
        <f t="shared" si="88"/>
        <v>1252209.5530486125</v>
      </c>
      <c r="BI786">
        <f t="shared" si="89"/>
        <v>0</v>
      </c>
      <c r="BJ786" s="95">
        <f t="shared" si="90"/>
        <v>1</v>
      </c>
      <c r="BP786" s="217">
        <f t="shared" si="93"/>
        <v>1252209.5530486125</v>
      </c>
    </row>
    <row r="787" spans="1:68">
      <c r="A787" s="11">
        <v>781</v>
      </c>
      <c r="C787" s="27">
        <v>0.92552161625540919</v>
      </c>
      <c r="D787" s="27">
        <v>7.4478383744590829E-2</v>
      </c>
      <c r="E787" s="27">
        <v>0</v>
      </c>
      <c r="F787" s="27">
        <v>0.85888154680486428</v>
      </c>
      <c r="G787" s="27">
        <v>0.14111845319513566</v>
      </c>
      <c r="H787" s="27">
        <v>0</v>
      </c>
      <c r="I787" s="27">
        <v>0.74927216786794149</v>
      </c>
      <c r="J787" s="27">
        <v>0.25072783213205851</v>
      </c>
      <c r="K787" s="27">
        <v>0</v>
      </c>
      <c r="L787" s="27">
        <v>0.12886120772942622</v>
      </c>
      <c r="M787" s="27">
        <v>0.54838524404442968</v>
      </c>
      <c r="N787" s="27">
        <v>0.3227535482261441</v>
      </c>
      <c r="O787" s="27">
        <v>-11.325585118602854</v>
      </c>
      <c r="P787" s="27">
        <v>3.8140752600890587E-2</v>
      </c>
      <c r="Q787" s="27">
        <v>5.9849737653776328E-5</v>
      </c>
      <c r="R787" s="27">
        <v>1.0664005683994335</v>
      </c>
      <c r="S787" s="154"/>
      <c r="T787">
        <v>0.87494958817144863</v>
      </c>
      <c r="U787">
        <v>2.1794968674747861</v>
      </c>
      <c r="V787">
        <v>2.9340034578510634</v>
      </c>
      <c r="W787">
        <v>1</v>
      </c>
      <c r="Y787" s="2">
        <v>356.51603453484603</v>
      </c>
      <c r="Z787" s="2">
        <v>886.02970340414049</v>
      </c>
      <c r="AA787" s="2">
        <v>1792.6702268999247</v>
      </c>
      <c r="AB787" s="2">
        <v>13304.90039979516</v>
      </c>
      <c r="AC787" s="2">
        <v>514.68188317979855</v>
      </c>
      <c r="AD787" s="2">
        <v>3329.3283132392103</v>
      </c>
      <c r="AE787" s="2">
        <v>591.96211727856883</v>
      </c>
      <c r="AF787" s="2">
        <v>1068.3137013531443</v>
      </c>
      <c r="AG787" s="2">
        <v>132.9246060980494</v>
      </c>
      <c r="AH787" s="2">
        <v>297.73089215510765</v>
      </c>
      <c r="AI787" s="2">
        <v>388605.05566541426</v>
      </c>
      <c r="AJ787" s="2">
        <v>354759.43611844262</v>
      </c>
      <c r="AL787" s="27">
        <v>0.91448240273264969</v>
      </c>
      <c r="AM787" s="27">
        <v>0.9139240348320754</v>
      </c>
      <c r="AN787" s="27">
        <v>0.91538691401402617</v>
      </c>
      <c r="AO787" s="27">
        <v>0.88029067646915382</v>
      </c>
      <c r="AP787" s="27">
        <v>0.79757097529017917</v>
      </c>
      <c r="AQ787" s="27">
        <v>0.91448240273264969</v>
      </c>
      <c r="AR787" s="27">
        <v>0.9139240348320754</v>
      </c>
      <c r="AS787" s="27">
        <v>0.91538691401402617</v>
      </c>
      <c r="AT787" s="27">
        <v>0.88029067646915382</v>
      </c>
      <c r="AU787" s="27">
        <v>0.79757097529017917</v>
      </c>
      <c r="AW787" s="1">
        <v>14.665719176868029</v>
      </c>
      <c r="AX787" s="1">
        <v>16.484164417335176</v>
      </c>
      <c r="AY787" s="2">
        <v>1483003.8288460013</v>
      </c>
      <c r="AZ787" s="1">
        <v>15.902506738703394</v>
      </c>
      <c r="BA787" s="1">
        <v>17.730666118942516</v>
      </c>
      <c r="BB787" s="2">
        <v>1422142.415861035</v>
      </c>
      <c r="BC787" s="2">
        <f t="shared" si="91"/>
        <v>-60861.4129849663</v>
      </c>
      <c r="BD787" s="292">
        <f t="shared" si="92"/>
        <v>1.2367875618353654</v>
      </c>
      <c r="BF787" s="170">
        <f t="shared" si="87"/>
        <v>863511.23945288337</v>
      </c>
      <c r="BG787" s="2">
        <f t="shared" si="88"/>
        <v>1122258.6623315082</v>
      </c>
      <c r="BI787">
        <f t="shared" si="89"/>
        <v>0</v>
      </c>
      <c r="BJ787" s="95">
        <f t="shared" si="90"/>
        <v>1</v>
      </c>
      <c r="BP787" s="217">
        <f t="shared" si="93"/>
        <v>1122258.6623315082</v>
      </c>
    </row>
    <row r="788" spans="1:68">
      <c r="A788" s="11">
        <v>782</v>
      </c>
      <c r="C788" s="27">
        <v>0.92264802411755698</v>
      </c>
      <c r="D788" s="27">
        <v>7.7351975882443025E-2</v>
      </c>
      <c r="E788" s="27">
        <v>0</v>
      </c>
      <c r="F788" s="27">
        <v>0.85629299241004497</v>
      </c>
      <c r="G788" s="27">
        <v>0.14370700758995503</v>
      </c>
      <c r="H788" s="27">
        <v>0</v>
      </c>
      <c r="I788" s="27">
        <v>0.75267438949941057</v>
      </c>
      <c r="J788" s="27">
        <v>0.2473256105005894</v>
      </c>
      <c r="K788" s="27">
        <v>0</v>
      </c>
      <c r="L788" s="27">
        <v>0.12713609101578233</v>
      </c>
      <c r="M788" s="27">
        <v>0.53552482747457519</v>
      </c>
      <c r="N788" s="27">
        <v>0.33733908150964248</v>
      </c>
      <c r="O788" s="27">
        <v>-10.919093009252583</v>
      </c>
      <c r="P788" s="27">
        <v>3.1972633070117121E-2</v>
      </c>
      <c r="Q788" s="27">
        <v>6.9357073429328244E-5</v>
      </c>
      <c r="R788" s="27">
        <v>1.0736888692490381</v>
      </c>
      <c r="S788" s="154"/>
      <c r="T788">
        <v>1.024448002922508</v>
      </c>
      <c r="U788">
        <v>2.2665258898560929</v>
      </c>
      <c r="V788">
        <v>2.9374666607521944</v>
      </c>
      <c r="W788">
        <v>1</v>
      </c>
      <c r="Y788" s="2">
        <v>442.39274508881323</v>
      </c>
      <c r="Z788" s="2">
        <v>410.2009830355716</v>
      </c>
      <c r="AA788" s="2">
        <v>1817.1875215874907</v>
      </c>
      <c r="AB788" s="2">
        <v>3524.8231608335004</v>
      </c>
      <c r="AC788" s="2">
        <v>70.635943634004178</v>
      </c>
      <c r="AD788" s="2">
        <v>1458.9266321402088</v>
      </c>
      <c r="AE788" s="2">
        <v>555.53338437087962</v>
      </c>
      <c r="AF788" s="2">
        <v>1172.818496237898</v>
      </c>
      <c r="AG788" s="2">
        <v>112.34252747314716</v>
      </c>
      <c r="AH788" s="2">
        <v>529.01668705375766</v>
      </c>
      <c r="AI788" s="2">
        <v>378096.96505319938</v>
      </c>
      <c r="AJ788" s="2">
        <v>354315.22518123948</v>
      </c>
      <c r="AL788" s="27">
        <v>0.91868068967227889</v>
      </c>
      <c r="AM788" s="27">
        <v>0.9137838421461143</v>
      </c>
      <c r="AN788" s="27">
        <v>0.91041730216588301</v>
      </c>
      <c r="AO788" s="27">
        <v>0.88801969410736992</v>
      </c>
      <c r="AP788" s="27">
        <v>0.64921920911701092</v>
      </c>
      <c r="AQ788" s="27">
        <v>0.91868068967227889</v>
      </c>
      <c r="AR788" s="27">
        <v>0.9137838421461143</v>
      </c>
      <c r="AS788" s="27">
        <v>0.91041730216588301</v>
      </c>
      <c r="AT788" s="27">
        <v>0.88801969410736992</v>
      </c>
      <c r="AU788" s="27">
        <v>0.64921920911701092</v>
      </c>
      <c r="AW788" s="1">
        <v>13.358395521755853</v>
      </c>
      <c r="AX788" s="1">
        <v>15.55462908782728</v>
      </c>
      <c r="AY788" s="2">
        <v>1457137.7127108104</v>
      </c>
      <c r="AZ788" s="1">
        <v>15.310152728667839</v>
      </c>
      <c r="BA788" s="1">
        <v>17.40315638314922</v>
      </c>
      <c r="BB788" s="2">
        <v>1140560.3689259335</v>
      </c>
      <c r="BC788" s="2">
        <f t="shared" si="91"/>
        <v>-316577.34378487687</v>
      </c>
      <c r="BD788" s="292">
        <f t="shared" si="92"/>
        <v>1.9517572069119868</v>
      </c>
      <c r="BF788" s="170">
        <f t="shared" si="87"/>
        <v>680205.57077012584</v>
      </c>
      <c r="BG788" s="2">
        <f t="shared" si="88"/>
        <v>1309064.067660921</v>
      </c>
      <c r="BI788">
        <f t="shared" si="89"/>
        <v>0</v>
      </c>
      <c r="BJ788" s="95">
        <f t="shared" si="90"/>
        <v>1</v>
      </c>
      <c r="BP788" s="217">
        <f t="shared" si="93"/>
        <v>1309064.067660921</v>
      </c>
    </row>
    <row r="789" spans="1:68">
      <c r="A789" s="11">
        <v>783</v>
      </c>
      <c r="C789" s="27">
        <v>0.92095891558441856</v>
      </c>
      <c r="D789" s="27">
        <v>7.9041084415581442E-2</v>
      </c>
      <c r="E789" s="27">
        <v>0</v>
      </c>
      <c r="F789" s="27">
        <v>0.85873664988445852</v>
      </c>
      <c r="G789" s="27">
        <v>0.14126335011554145</v>
      </c>
      <c r="H789" s="27">
        <v>0</v>
      </c>
      <c r="I789" s="27">
        <v>0.7515647435242534</v>
      </c>
      <c r="J789" s="27">
        <v>0.24843525647574655</v>
      </c>
      <c r="K789" s="27">
        <v>0</v>
      </c>
      <c r="L789" s="27">
        <v>5.3010907575213762E-2</v>
      </c>
      <c r="M789" s="27">
        <v>0.51063560408797781</v>
      </c>
      <c r="N789" s="27">
        <v>0.43635348833680843</v>
      </c>
      <c r="O789" s="27">
        <v>-10.890352302449839</v>
      </c>
      <c r="P789" s="27">
        <v>3.3733221722760547E-2</v>
      </c>
      <c r="Q789" s="27">
        <v>7.6857539192304967E-5</v>
      </c>
      <c r="R789" s="27">
        <v>1.0458957694802842</v>
      </c>
      <c r="S789" s="154"/>
      <c r="T789">
        <v>0.90500932306083881</v>
      </c>
      <c r="U789">
        <v>2.2406913179953598</v>
      </c>
      <c r="V789">
        <v>3.3709744943833826</v>
      </c>
      <c r="W789">
        <v>1</v>
      </c>
      <c r="Y789" s="2">
        <v>872.34573687574061</v>
      </c>
      <c r="Z789" s="2">
        <v>6354.7111019252297</v>
      </c>
      <c r="AA789" s="2">
        <v>3721.5446017096751</v>
      </c>
      <c r="AB789" s="2">
        <v>4369.5646273026896</v>
      </c>
      <c r="AC789" s="2">
        <v>11.883844044675726</v>
      </c>
      <c r="AD789" s="2">
        <v>647.47805040048468</v>
      </c>
      <c r="AE789" s="2">
        <v>571.15469299445238</v>
      </c>
      <c r="AF789" s="2">
        <v>857.86104144895978</v>
      </c>
      <c r="AG789" s="2">
        <v>72.414744852744903</v>
      </c>
      <c r="AH789" s="2">
        <v>174.98061921353212</v>
      </c>
      <c r="AI789" s="2">
        <v>568529.02672276821</v>
      </c>
      <c r="AJ789" s="2">
        <v>540585.94254015782</v>
      </c>
      <c r="AL789" s="27">
        <v>0.91777486507298423</v>
      </c>
      <c r="AM789" s="27">
        <v>0.91220585634941354</v>
      </c>
      <c r="AN789" s="27">
        <v>0.90245285939472553</v>
      </c>
      <c r="AO789" s="27">
        <v>0.83344286300265946</v>
      </c>
      <c r="AP789" s="27">
        <v>0.71512639237700826</v>
      </c>
      <c r="AQ789" s="27">
        <v>0.91777486507298423</v>
      </c>
      <c r="AR789" s="27">
        <v>0.91220585634941354</v>
      </c>
      <c r="AS789" s="27">
        <v>0.90245285939472553</v>
      </c>
      <c r="AT789" s="27">
        <v>0.83344286300265946</v>
      </c>
      <c r="AU789" s="27">
        <v>0.71512639237700826</v>
      </c>
      <c r="AW789" s="1">
        <v>13.614560470515844</v>
      </c>
      <c r="AX789" s="1">
        <v>15.570097613216181</v>
      </c>
      <c r="AY789" s="2">
        <v>2090634.4198459256</v>
      </c>
      <c r="AZ789" s="1">
        <v>15.247991319606367</v>
      </c>
      <c r="BA789" s="1">
        <v>17.196703992605929</v>
      </c>
      <c r="BB789" s="2">
        <v>1609582.2466366643</v>
      </c>
      <c r="BC789" s="2">
        <f t="shared" si="91"/>
        <v>-481052.17320926138</v>
      </c>
      <c r="BD789" s="292">
        <f t="shared" si="92"/>
        <v>1.6334308490905229</v>
      </c>
      <c r="BF789" s="170">
        <f t="shared" si="87"/>
        <v>87695.255436609499</v>
      </c>
      <c r="BG789" s="2">
        <f t="shared" si="88"/>
        <v>830096.36450035428</v>
      </c>
      <c r="BI789">
        <f t="shared" si="89"/>
        <v>0</v>
      </c>
      <c r="BJ789" s="95">
        <f t="shared" si="90"/>
        <v>1</v>
      </c>
      <c r="BP789" s="217">
        <f t="shared" si="93"/>
        <v>830096.36450035428</v>
      </c>
    </row>
    <row r="790" spans="1:68">
      <c r="A790" s="11">
        <v>784</v>
      </c>
      <c r="C790" s="27">
        <v>0.92463858981548952</v>
      </c>
      <c r="D790" s="27">
        <v>7.5361410184510494E-2</v>
      </c>
      <c r="E790" s="27">
        <v>0</v>
      </c>
      <c r="F790" s="27">
        <v>0.86367389283706186</v>
      </c>
      <c r="G790" s="27">
        <v>0.13632610716293816</v>
      </c>
      <c r="H790" s="27">
        <v>0</v>
      </c>
      <c r="I790" s="27">
        <v>0.74163385886161903</v>
      </c>
      <c r="J790" s="27">
        <v>0.25836614113838097</v>
      </c>
      <c r="K790" s="27">
        <v>0</v>
      </c>
      <c r="L790" s="27">
        <v>0.15402469141870856</v>
      </c>
      <c r="M790" s="27">
        <v>0.47832019801108661</v>
      </c>
      <c r="N790" s="27">
        <v>0.36765511057020483</v>
      </c>
      <c r="O790" s="27">
        <v>-11.186066398609814</v>
      </c>
      <c r="P790" s="27">
        <v>3.2583436267097865E-2</v>
      </c>
      <c r="Q790" s="27">
        <v>5.4486255792582401E-5</v>
      </c>
      <c r="R790" s="27">
        <v>1.0939122634892358</v>
      </c>
      <c r="S790" s="154"/>
      <c r="T790">
        <v>0.9424596417728387</v>
      </c>
      <c r="U790">
        <v>2.2252116091721001</v>
      </c>
      <c r="V790">
        <v>2.8800115841521321</v>
      </c>
      <c r="W790">
        <v>1</v>
      </c>
      <c r="Y790" s="2">
        <v>61.543249712861474</v>
      </c>
      <c r="Z790" s="2">
        <v>1140.1263096155428</v>
      </c>
      <c r="AA790" s="2">
        <v>379.27834563894174</v>
      </c>
      <c r="AB790" s="2">
        <v>5668.8455606144616</v>
      </c>
      <c r="AC790" s="2">
        <v>819.8017682912041</v>
      </c>
      <c r="AD790" s="2">
        <v>8237.1642177201793</v>
      </c>
      <c r="AE790" s="2">
        <v>479.6124658532741</v>
      </c>
      <c r="AF790" s="2">
        <v>1082.9394664526806</v>
      </c>
      <c r="AG790" s="2">
        <v>155.798374289527</v>
      </c>
      <c r="AH790" s="2">
        <v>393.89112644857403</v>
      </c>
      <c r="AI790" s="2">
        <v>396519.89863964543</v>
      </c>
      <c r="AJ790" s="2">
        <v>367485.22623995412</v>
      </c>
      <c r="AL790" s="27">
        <v>0.91900640802666278</v>
      </c>
      <c r="AM790" s="27">
        <v>0.91223346378764603</v>
      </c>
      <c r="AN790" s="27">
        <v>0.91330137232787301</v>
      </c>
      <c r="AO790" s="27">
        <v>0.86058946723771212</v>
      </c>
      <c r="AP790" s="27">
        <v>0.71337503871856267</v>
      </c>
      <c r="AQ790" s="27">
        <v>0.91900640802666278</v>
      </c>
      <c r="AR790" s="27">
        <v>0.91223346378764603</v>
      </c>
      <c r="AS790" s="27">
        <v>0.91330137232787301</v>
      </c>
      <c r="AT790" s="27">
        <v>0.86058946723771212</v>
      </c>
      <c r="AU790" s="27">
        <v>0.71337503871856267</v>
      </c>
      <c r="AW790" s="1">
        <v>13.811079245386523</v>
      </c>
      <c r="AX790" s="1">
        <v>15.741215770627713</v>
      </c>
      <c r="AY790" s="2">
        <v>1347820.7127353272</v>
      </c>
      <c r="AZ790" s="1">
        <v>15.442774293499582</v>
      </c>
      <c r="BA790" s="1">
        <v>17.351697457640959</v>
      </c>
      <c r="BB790" s="2">
        <v>1212275.5679151802</v>
      </c>
      <c r="BC790" s="2">
        <f t="shared" si="91"/>
        <v>-135545.14482014696</v>
      </c>
      <c r="BD790" s="292">
        <f t="shared" si="92"/>
        <v>1.631695048113059</v>
      </c>
      <c r="BF790" s="170">
        <f t="shared" si="87"/>
        <v>861951.96652651648</v>
      </c>
      <c r="BG790" s="2">
        <f t="shared" si="88"/>
        <v>1258568.319044753</v>
      </c>
      <c r="BI790">
        <f t="shared" si="89"/>
        <v>0</v>
      </c>
      <c r="BJ790" s="95">
        <f t="shared" si="90"/>
        <v>1</v>
      </c>
      <c r="BP790" s="217">
        <f t="shared" si="93"/>
        <v>1258568.319044753</v>
      </c>
    </row>
    <row r="791" spans="1:68">
      <c r="A791" s="11">
        <v>785</v>
      </c>
      <c r="C791" s="27">
        <v>0.92257807232727518</v>
      </c>
      <c r="D791" s="27">
        <v>7.7421927672724822E-2</v>
      </c>
      <c r="E791" s="27">
        <v>0</v>
      </c>
      <c r="F791" s="27">
        <v>0.85659149891591801</v>
      </c>
      <c r="G791" s="27">
        <v>0.14340850108408199</v>
      </c>
      <c r="H791" s="27">
        <v>0</v>
      </c>
      <c r="I791" s="27">
        <v>0.74600697121834747</v>
      </c>
      <c r="J791" s="27">
        <v>0.25399302878165253</v>
      </c>
      <c r="K791" s="27">
        <v>0</v>
      </c>
      <c r="L791" s="27">
        <v>9.0056506347124032E-2</v>
      </c>
      <c r="M791" s="27">
        <v>0.49361703228506709</v>
      </c>
      <c r="N791" s="27">
        <v>0.41632646136780893</v>
      </c>
      <c r="O791" s="27">
        <v>-10.762928997357747</v>
      </c>
      <c r="P791" s="27">
        <v>3.1812980344630225E-2</v>
      </c>
      <c r="Q791" s="27">
        <v>8.0537807703467835E-5</v>
      </c>
      <c r="R791" s="27">
        <v>1.0404376775220805</v>
      </c>
      <c r="S791" s="154"/>
      <c r="T791">
        <v>0.88555788677215763</v>
      </c>
      <c r="U791">
        <v>2.3259509031255998</v>
      </c>
      <c r="V791">
        <v>3.2495885532720337</v>
      </c>
      <c r="W791">
        <v>1</v>
      </c>
      <c r="Y791" s="2">
        <v>778.80437838211856</v>
      </c>
      <c r="Z791" s="2">
        <v>5341.1368061765415</v>
      </c>
      <c r="AA791" s="2">
        <v>2474.1586653983973</v>
      </c>
      <c r="AB791" s="2">
        <v>3661.0114025220651</v>
      </c>
      <c r="AC791" s="2">
        <v>2146.858795560051</v>
      </c>
      <c r="AD791" s="2">
        <v>567.22476324035529</v>
      </c>
      <c r="AE791" s="2">
        <v>581.15816907462272</v>
      </c>
      <c r="AF791" s="2">
        <v>899.47951683811698</v>
      </c>
      <c r="AG791" s="2">
        <v>129.21478583291329</v>
      </c>
      <c r="AH791" s="2">
        <v>475.05354562334935</v>
      </c>
      <c r="AI791" s="2">
        <v>470350.30608205654</v>
      </c>
      <c r="AJ791" s="2">
        <v>431490.12077672675</v>
      </c>
      <c r="AL791" s="27">
        <v>0.91938730079406217</v>
      </c>
      <c r="AM791" s="27">
        <v>0.91136646979977298</v>
      </c>
      <c r="AN791" s="27">
        <v>0.91429032439908431</v>
      </c>
      <c r="AO791" s="27">
        <v>0.89161873139878756</v>
      </c>
      <c r="AP791" s="27">
        <v>0.79759762399594214</v>
      </c>
      <c r="AQ791" s="27">
        <v>0.91938730079406217</v>
      </c>
      <c r="AR791" s="27">
        <v>0.91136646979977298</v>
      </c>
      <c r="AS791" s="27">
        <v>0.91429032439908431</v>
      </c>
      <c r="AT791" s="27">
        <v>0.89161873139878756</v>
      </c>
      <c r="AU791" s="27">
        <v>0.79759762399594214</v>
      </c>
      <c r="AW791" s="1">
        <v>14.028140151344433</v>
      </c>
      <c r="AX791" s="1">
        <v>15.687862219282701</v>
      </c>
      <c r="AY791" s="2">
        <v>1695885.2863774463</v>
      </c>
      <c r="AZ791" s="1">
        <v>15.51556300969292</v>
      </c>
      <c r="BA791" s="1">
        <v>17.226402582739539</v>
      </c>
      <c r="BB791" s="2">
        <v>1297089.752441271</v>
      </c>
      <c r="BC791" s="2">
        <f t="shared" si="91"/>
        <v>-398795.53393617528</v>
      </c>
      <c r="BD791" s="292">
        <f t="shared" si="92"/>
        <v>1.4874228583484879</v>
      </c>
      <c r="BF791" s="170">
        <f t="shared" si="87"/>
        <v>548617.13783766283</v>
      </c>
      <c r="BG791" s="2">
        <f t="shared" si="88"/>
        <v>1185400.3291095963</v>
      </c>
      <c r="BI791">
        <f t="shared" si="89"/>
        <v>0</v>
      </c>
      <c r="BJ791" s="95">
        <f t="shared" si="90"/>
        <v>1</v>
      </c>
      <c r="BP791" s="217">
        <f t="shared" si="93"/>
        <v>1185400.3291095963</v>
      </c>
    </row>
    <row r="792" spans="1:68">
      <c r="A792" s="11">
        <v>786</v>
      </c>
      <c r="C792" s="27">
        <v>0.9229052744856614</v>
      </c>
      <c r="D792" s="27">
        <v>7.7094725514338602E-2</v>
      </c>
      <c r="E792" s="27">
        <v>0</v>
      </c>
      <c r="F792" s="27">
        <v>0.86434961646794428</v>
      </c>
      <c r="G792" s="27">
        <v>0.13565038353205572</v>
      </c>
      <c r="H792" s="27">
        <v>0</v>
      </c>
      <c r="I792" s="27">
        <v>0.74995743824637751</v>
      </c>
      <c r="J792" s="27">
        <v>0.25004256175362249</v>
      </c>
      <c r="K792" s="27">
        <v>0</v>
      </c>
      <c r="L792" s="27">
        <v>0.10910602088257926</v>
      </c>
      <c r="M792" s="27">
        <v>0.49671350050625079</v>
      </c>
      <c r="N792" s="27">
        <v>0.39418047861116989</v>
      </c>
      <c r="O792" s="27">
        <v>-10.903666403579093</v>
      </c>
      <c r="P792" s="27">
        <v>3.5614899651449948E-2</v>
      </c>
      <c r="Q792" s="27">
        <v>8.2077993851719611E-5</v>
      </c>
      <c r="R792" s="27">
        <v>1.0289235782957211</v>
      </c>
      <c r="S792" s="154"/>
      <c r="T792">
        <v>0.9824855202289895</v>
      </c>
      <c r="U792">
        <v>2.2437234693774495</v>
      </c>
      <c r="V792">
        <v>2.715801131216157</v>
      </c>
      <c r="W792">
        <v>1</v>
      </c>
      <c r="Y792" s="2">
        <v>795.48430921407783</v>
      </c>
      <c r="Z792" s="2">
        <v>1302.8023770136836</v>
      </c>
      <c r="AA792" s="2">
        <v>1997.5579231950323</v>
      </c>
      <c r="AB792" s="2">
        <v>16621.902469312052</v>
      </c>
      <c r="AC792" s="2">
        <v>57.036210918375346</v>
      </c>
      <c r="AD792" s="2">
        <v>638.81819028658208</v>
      </c>
      <c r="AE792" s="2">
        <v>554.23578400269253</v>
      </c>
      <c r="AF792" s="2">
        <v>999.38846541665566</v>
      </c>
      <c r="AG792" s="2">
        <v>112.42314711536449</v>
      </c>
      <c r="AH792" s="2">
        <v>470.98390340488641</v>
      </c>
      <c r="AI792" s="2">
        <v>466703.41034876771</v>
      </c>
      <c r="AJ792" s="2">
        <v>414940.99041437247</v>
      </c>
      <c r="AL792" s="27">
        <v>0.91942288331309552</v>
      </c>
      <c r="AM792" s="27">
        <v>0.91848712137999799</v>
      </c>
      <c r="AN792" s="27">
        <v>0.90763889937251097</v>
      </c>
      <c r="AO792" s="27">
        <v>0.82775966749890051</v>
      </c>
      <c r="AP792" s="27">
        <v>0.73151181649598873</v>
      </c>
      <c r="AQ792" s="27">
        <v>0.91942288331309552</v>
      </c>
      <c r="AR792" s="27">
        <v>0.91848712137999799</v>
      </c>
      <c r="AS792" s="27">
        <v>0.90763889937251097</v>
      </c>
      <c r="AT792" s="27">
        <v>0.82775966749890051</v>
      </c>
      <c r="AU792" s="27">
        <v>0.73151181649598873</v>
      </c>
      <c r="AW792" s="1">
        <v>13.83523364873311</v>
      </c>
      <c r="AX792" s="1">
        <v>15.77729707634259</v>
      </c>
      <c r="AY792" s="2">
        <v>1679189.6329487867</v>
      </c>
      <c r="AZ792" s="1">
        <v>15.558490110312105</v>
      </c>
      <c r="BA792" s="1">
        <v>17.462902715151632</v>
      </c>
      <c r="BB792" s="2">
        <v>1503802.1296674088</v>
      </c>
      <c r="BC792" s="2">
        <f t="shared" si="91"/>
        <v>-175387.50328137795</v>
      </c>
      <c r="BD792" s="292">
        <f t="shared" si="92"/>
        <v>1.7232564615789947</v>
      </c>
      <c r="BF792" s="170">
        <f t="shared" si="87"/>
        <v>534447.750848511</v>
      </c>
      <c r="BG792" s="2">
        <f t="shared" si="88"/>
        <v>985556.2879825281</v>
      </c>
      <c r="BI792">
        <f t="shared" si="89"/>
        <v>0</v>
      </c>
      <c r="BJ792" s="95">
        <f t="shared" si="90"/>
        <v>1</v>
      </c>
      <c r="BP792" s="217">
        <f t="shared" si="93"/>
        <v>985556.2879825281</v>
      </c>
    </row>
    <row r="793" spans="1:68">
      <c r="A793" s="11">
        <v>787</v>
      </c>
      <c r="C793" s="27">
        <v>0.92355277194136809</v>
      </c>
      <c r="D793" s="27">
        <v>7.6447228058631925E-2</v>
      </c>
      <c r="E793" s="27">
        <v>0</v>
      </c>
      <c r="F793" s="27">
        <v>0.85297134274983799</v>
      </c>
      <c r="G793" s="27">
        <v>0.14702865725016201</v>
      </c>
      <c r="H793" s="27">
        <v>0</v>
      </c>
      <c r="I793" s="27">
        <v>0.7537908952813106</v>
      </c>
      <c r="J793" s="27">
        <v>0.24620910471868937</v>
      </c>
      <c r="K793" s="27">
        <v>0</v>
      </c>
      <c r="L793" s="27">
        <v>0.15198668409961913</v>
      </c>
      <c r="M793" s="27">
        <v>0.43246249316401275</v>
      </c>
      <c r="N793" s="27">
        <v>0.41555082273636812</v>
      </c>
      <c r="O793" s="27">
        <v>-11.266137476152315</v>
      </c>
      <c r="P793" s="27">
        <v>3.434757230166368E-2</v>
      </c>
      <c r="Q793" s="27">
        <v>5.4161543033762751E-5</v>
      </c>
      <c r="R793" s="27">
        <v>1.0940231560820788</v>
      </c>
      <c r="S793" s="154"/>
      <c r="T793">
        <v>0.9240132937998472</v>
      </c>
      <c r="U793">
        <v>2.2596471391028783</v>
      </c>
      <c r="V793">
        <v>3.205320819460312</v>
      </c>
      <c r="W793">
        <v>1</v>
      </c>
      <c r="Y793" s="2">
        <v>2357.4169383265134</v>
      </c>
      <c r="Z793" s="2">
        <v>6758.6825934690251</v>
      </c>
      <c r="AA793" s="2">
        <v>2476.3053266117618</v>
      </c>
      <c r="AB793" s="2">
        <v>1998.7386175482841</v>
      </c>
      <c r="AC793" s="2">
        <v>2133.4676821234884</v>
      </c>
      <c r="AD793" s="2">
        <v>29.538693013262449</v>
      </c>
      <c r="AE793" s="2">
        <v>598.22321668753625</v>
      </c>
      <c r="AF793" s="2">
        <v>1044.4105645615844</v>
      </c>
      <c r="AG793" s="2">
        <v>116.08984201678052</v>
      </c>
      <c r="AH793" s="2">
        <v>389.73075852987438</v>
      </c>
      <c r="AI793" s="2">
        <v>369507.10622511676</v>
      </c>
      <c r="AJ793" s="2">
        <v>342662.44375415047</v>
      </c>
      <c r="AL793" s="27">
        <v>0.91667032759106448</v>
      </c>
      <c r="AM793" s="27">
        <v>0.91472204170975269</v>
      </c>
      <c r="AN793" s="27">
        <v>0.91633906500526718</v>
      </c>
      <c r="AO793" s="27">
        <v>0.88210141996091829</v>
      </c>
      <c r="AP793" s="27">
        <v>0.6606699472750045</v>
      </c>
      <c r="AQ793" s="27">
        <v>0.91667032759106448</v>
      </c>
      <c r="AR793" s="27">
        <v>0.91472204170975269</v>
      </c>
      <c r="AS793" s="27">
        <v>0.91633906500526718</v>
      </c>
      <c r="AT793" s="27">
        <v>0.88210141996091829</v>
      </c>
      <c r="AU793" s="27">
        <v>0.6606699472750045</v>
      </c>
      <c r="AW793" s="1">
        <v>13.358844422139921</v>
      </c>
      <c r="AX793" s="1">
        <v>15.350677349670962</v>
      </c>
      <c r="AY793" s="2">
        <v>1289933.6616201489</v>
      </c>
      <c r="AZ793" s="1">
        <v>15.097588776432827</v>
      </c>
      <c r="BA793" s="1">
        <v>17.04824349564106</v>
      </c>
      <c r="BB793" s="2">
        <v>916816.52783586201</v>
      </c>
      <c r="BC793" s="2">
        <f t="shared" si="91"/>
        <v>-373117.13378428691</v>
      </c>
      <c r="BD793" s="292">
        <f t="shared" si="92"/>
        <v>1.7387443542929066</v>
      </c>
      <c r="BF793" s="170">
        <f t="shared" si="87"/>
        <v>847481.44592223829</v>
      </c>
      <c r="BG793" s="2">
        <f t="shared" si="88"/>
        <v>1498797.6763933904</v>
      </c>
      <c r="BI793">
        <f t="shared" si="89"/>
        <v>0</v>
      </c>
      <c r="BJ793" s="95">
        <f t="shared" si="90"/>
        <v>1</v>
      </c>
      <c r="BP793" s="217">
        <f t="shared" si="93"/>
        <v>1498797.6763933904</v>
      </c>
    </row>
    <row r="794" spans="1:68">
      <c r="A794" s="11">
        <v>788</v>
      </c>
      <c r="C794" s="27">
        <v>0.92232080608105282</v>
      </c>
      <c r="D794" s="27">
        <v>7.7679193918947176E-2</v>
      </c>
      <c r="E794" s="27">
        <v>0</v>
      </c>
      <c r="F794" s="27">
        <v>0.85550605942903479</v>
      </c>
      <c r="G794" s="27">
        <v>0.14449394057096521</v>
      </c>
      <c r="H794" s="27">
        <v>0</v>
      </c>
      <c r="I794" s="27">
        <v>0.74667789802252349</v>
      </c>
      <c r="J794" s="27">
        <v>0.25332210197747651</v>
      </c>
      <c r="K794" s="27">
        <v>0</v>
      </c>
      <c r="L794" s="27">
        <v>9.3831908434451661E-2</v>
      </c>
      <c r="M794" s="27">
        <v>0.48972493645012766</v>
      </c>
      <c r="N794" s="27">
        <v>0.41644315511542063</v>
      </c>
      <c r="O794" s="27">
        <v>-11.26066842467541</v>
      </c>
      <c r="P794" s="27">
        <v>3.3506349852847707E-2</v>
      </c>
      <c r="Q794" s="27">
        <v>5.2568066104979762E-5</v>
      </c>
      <c r="R794" s="27">
        <v>1.0918566204306761</v>
      </c>
      <c r="S794" s="154"/>
      <c r="T794">
        <v>1.0468101015404689</v>
      </c>
      <c r="U794">
        <v>2.2399133869170256</v>
      </c>
      <c r="V794">
        <v>3.0088013294010838</v>
      </c>
      <c r="W794">
        <v>1</v>
      </c>
      <c r="Y794" s="2">
        <v>507.09438536092335</v>
      </c>
      <c r="Z794" s="2">
        <v>2260.2941257460629</v>
      </c>
      <c r="AA794" s="2">
        <v>654.12989651153202</v>
      </c>
      <c r="AB794" s="2">
        <v>1799.8732973278836</v>
      </c>
      <c r="AC794" s="2">
        <v>1944.1611072373435</v>
      </c>
      <c r="AD794" s="2">
        <v>1122.5393367405438</v>
      </c>
      <c r="AE794" s="2">
        <v>551.09476701306698</v>
      </c>
      <c r="AF794" s="2">
        <v>834.28595448588464</v>
      </c>
      <c r="AG794" s="2">
        <v>79.206977969638615</v>
      </c>
      <c r="AH794" s="2">
        <v>455.78705923505396</v>
      </c>
      <c r="AI794" s="2">
        <v>456083.75078965427</v>
      </c>
      <c r="AJ794" s="2">
        <v>419982.07410902483</v>
      </c>
      <c r="AL794" s="27">
        <v>0.91159975362201928</v>
      </c>
      <c r="AM794" s="27">
        <v>0.91138007114192165</v>
      </c>
      <c r="AN794" s="27">
        <v>0.89829726373136509</v>
      </c>
      <c r="AO794" s="27">
        <v>0.86523408988714068</v>
      </c>
      <c r="AP794" s="27">
        <v>0.82097966123275157</v>
      </c>
      <c r="AQ794" s="27">
        <v>0.91159975362201928</v>
      </c>
      <c r="AR794" s="27">
        <v>0.91138007114192165</v>
      </c>
      <c r="AS794" s="27">
        <v>0.89829726373136509</v>
      </c>
      <c r="AT794" s="27">
        <v>0.86523408988714068</v>
      </c>
      <c r="AU794" s="27">
        <v>0.82097966123275157</v>
      </c>
      <c r="AW794" s="1">
        <v>13.504775565071714</v>
      </c>
      <c r="AX794" s="1">
        <v>15.16618415034457</v>
      </c>
      <c r="AY794" s="2">
        <v>1664243.393471983</v>
      </c>
      <c r="AZ794" s="1">
        <v>15.388180696129703</v>
      </c>
      <c r="BA794" s="1">
        <v>17.146511378224151</v>
      </c>
      <c r="BB794" s="2">
        <v>1179619.3967757071</v>
      </c>
      <c r="BC794" s="2">
        <f t="shared" si="91"/>
        <v>-484623.99669627589</v>
      </c>
      <c r="BD794" s="292">
        <f t="shared" si="92"/>
        <v>1.8834051310579891</v>
      </c>
      <c r="BF794" s="170">
        <f t="shared" si="87"/>
        <v>496520.69693949143</v>
      </c>
      <c r="BG794" s="2">
        <f t="shared" si="88"/>
        <v>1282489.5146050453</v>
      </c>
      <c r="BI794">
        <f t="shared" si="89"/>
        <v>0</v>
      </c>
      <c r="BJ794" s="95">
        <f t="shared" si="90"/>
        <v>1</v>
      </c>
      <c r="BP794" s="217">
        <f t="shared" si="93"/>
        <v>1282489.5146050453</v>
      </c>
    </row>
    <row r="795" spans="1:68">
      <c r="A795" s="11">
        <v>789</v>
      </c>
      <c r="C795" s="27">
        <v>0.92259909583522925</v>
      </c>
      <c r="D795" s="27">
        <v>7.7400904164770745E-2</v>
      </c>
      <c r="E795" s="27">
        <v>0</v>
      </c>
      <c r="F795" s="27">
        <v>0.86256140964039218</v>
      </c>
      <c r="G795" s="27">
        <v>0.13743859035960787</v>
      </c>
      <c r="H795" s="27">
        <v>0</v>
      </c>
      <c r="I795" s="27">
        <v>0.74475927990432211</v>
      </c>
      <c r="J795" s="27">
        <v>0.25524072009567789</v>
      </c>
      <c r="K795" s="27">
        <v>0</v>
      </c>
      <c r="L795" s="27">
        <v>0.12373216844120838</v>
      </c>
      <c r="M795" s="27">
        <v>0.53232542086839896</v>
      </c>
      <c r="N795" s="27">
        <v>0.34394241069039266</v>
      </c>
      <c r="O795" s="27">
        <v>-11.077747464527498</v>
      </c>
      <c r="P795" s="27">
        <v>3.7976395443303938E-2</v>
      </c>
      <c r="Q795" s="27">
        <v>7.6155073488702311E-5</v>
      </c>
      <c r="R795" s="27">
        <v>1.0332895900589525</v>
      </c>
      <c r="S795" s="154"/>
      <c r="T795">
        <v>0.95345850848983027</v>
      </c>
      <c r="U795">
        <v>2.2248149907590151</v>
      </c>
      <c r="V795">
        <v>2.8489644466780444</v>
      </c>
      <c r="W795">
        <v>1</v>
      </c>
      <c r="Y795" s="2">
        <v>74.672822175001997</v>
      </c>
      <c r="Z795" s="2">
        <v>6470.6643058718619</v>
      </c>
      <c r="AA795" s="2">
        <v>2225.7933504962025</v>
      </c>
      <c r="AB795" s="2">
        <v>438.61679774559678</v>
      </c>
      <c r="AC795" s="2">
        <v>694.23372430763879</v>
      </c>
      <c r="AD795" s="2">
        <v>2055.1445434410989</v>
      </c>
      <c r="AE795" s="2">
        <v>581.83839985366717</v>
      </c>
      <c r="AF795" s="2">
        <v>865.9518133534981</v>
      </c>
      <c r="AG795" s="2">
        <v>111.02407270537942</v>
      </c>
      <c r="AH795" s="2">
        <v>357.61626694886712</v>
      </c>
      <c r="AI795" s="2">
        <v>362656.19543120754</v>
      </c>
      <c r="AJ795" s="2">
        <v>318201.43471630785</v>
      </c>
      <c r="AL795" s="27">
        <v>0.91030098670169879</v>
      </c>
      <c r="AM795" s="27">
        <v>0.91447775481405946</v>
      </c>
      <c r="AN795" s="27">
        <v>0.90727874707089173</v>
      </c>
      <c r="AO795" s="27">
        <v>0.85260971612031644</v>
      </c>
      <c r="AP795" s="27">
        <v>0.83044346482505227</v>
      </c>
      <c r="AQ795" s="27">
        <v>0.91030098670169879</v>
      </c>
      <c r="AR795" s="27">
        <v>0.91447775481405946</v>
      </c>
      <c r="AS795" s="27">
        <v>0.90727874707089173</v>
      </c>
      <c r="AT795" s="27">
        <v>0.85260971612031644</v>
      </c>
      <c r="AU795" s="27">
        <v>0.83044346482505227</v>
      </c>
      <c r="AW795" s="1">
        <v>14.381520517412218</v>
      </c>
      <c r="AX795" s="1">
        <v>16.138926153236991</v>
      </c>
      <c r="AY795" s="2">
        <v>1486496.4882253862</v>
      </c>
      <c r="AZ795" s="1">
        <v>15.850068479032126</v>
      </c>
      <c r="BA795" s="1">
        <v>17.653460935996417</v>
      </c>
      <c r="BB795" s="2">
        <v>1086810.7165845928</v>
      </c>
      <c r="BC795" s="2">
        <f t="shared" si="91"/>
        <v>-399685.77164079342</v>
      </c>
      <c r="BD795" s="292">
        <f t="shared" si="92"/>
        <v>1.4685479616199082</v>
      </c>
      <c r="BF795" s="170">
        <f t="shared" si="87"/>
        <v>814546.79456056864</v>
      </c>
      <c r="BG795" s="2">
        <f t="shared" si="88"/>
        <v>1449200.2400605476</v>
      </c>
      <c r="BI795">
        <f t="shared" si="89"/>
        <v>0</v>
      </c>
      <c r="BJ795" s="95">
        <f t="shared" si="90"/>
        <v>1</v>
      </c>
      <c r="BP795" s="217">
        <f t="shared" si="93"/>
        <v>1449200.2400605476</v>
      </c>
    </row>
    <row r="796" spans="1:68">
      <c r="A796" s="11">
        <v>790</v>
      </c>
      <c r="C796" s="27">
        <v>0.92446281173538492</v>
      </c>
      <c r="D796" s="27">
        <v>7.5537188264615127E-2</v>
      </c>
      <c r="E796" s="27">
        <v>0</v>
      </c>
      <c r="F796" s="27">
        <v>0.85546801873314415</v>
      </c>
      <c r="G796" s="27">
        <v>0.14453198126685585</v>
      </c>
      <c r="H796" s="27">
        <v>0</v>
      </c>
      <c r="I796" s="27">
        <v>0.74907122743788612</v>
      </c>
      <c r="J796" s="27">
        <v>0.25092877256211388</v>
      </c>
      <c r="K796" s="27">
        <v>0</v>
      </c>
      <c r="L796" s="27">
        <v>0.13700999190167995</v>
      </c>
      <c r="M796" s="27">
        <v>0.48305368170419244</v>
      </c>
      <c r="N796" s="27">
        <v>0.37993632639412767</v>
      </c>
      <c r="O796" s="27">
        <v>-11.183207712789363</v>
      </c>
      <c r="P796" s="27">
        <v>3.3236162956294932E-2</v>
      </c>
      <c r="Q796" s="27">
        <v>5.6160950775605135E-5</v>
      </c>
      <c r="R796" s="27">
        <v>1.0864116701679094</v>
      </c>
      <c r="S796" s="154"/>
      <c r="T796">
        <v>1.0261006621844828</v>
      </c>
      <c r="U796">
        <v>2.2833364026991565</v>
      </c>
      <c r="V796">
        <v>2.9815693686739713</v>
      </c>
      <c r="W796">
        <v>1</v>
      </c>
      <c r="Y796" s="2">
        <v>753.56018914164895</v>
      </c>
      <c r="Z796" s="2">
        <v>3029.8128929930535</v>
      </c>
      <c r="AA796" s="2">
        <v>1567.422897292076</v>
      </c>
      <c r="AB796" s="2">
        <v>2900.6145954461576</v>
      </c>
      <c r="AC796" s="2">
        <v>759.20007923816183</v>
      </c>
      <c r="AD796" s="2">
        <v>2693.0554021179673</v>
      </c>
      <c r="AE796" s="2">
        <v>590.39346410731935</v>
      </c>
      <c r="AF796" s="2">
        <v>1116.3540636345317</v>
      </c>
      <c r="AG796" s="2">
        <v>78.146116995217</v>
      </c>
      <c r="AH796" s="2">
        <v>495.03369008713378</v>
      </c>
      <c r="AI796" s="2">
        <v>411827.6599217286</v>
      </c>
      <c r="AJ796" s="2">
        <v>381833.65719934989</v>
      </c>
      <c r="AL796" s="27">
        <v>0.91985403153874956</v>
      </c>
      <c r="AM796" s="27">
        <v>0.91347339002353445</v>
      </c>
      <c r="AN796" s="27">
        <v>0.92077756528396071</v>
      </c>
      <c r="AO796" s="27">
        <v>0.84647379977466386</v>
      </c>
      <c r="AP796" s="27">
        <v>0.77634374587249444</v>
      </c>
      <c r="AQ796" s="27">
        <v>0.91985403153874956</v>
      </c>
      <c r="AR796" s="27">
        <v>0.91347339002353445</v>
      </c>
      <c r="AS796" s="27">
        <v>0.92077756528396071</v>
      </c>
      <c r="AT796" s="27">
        <v>0.84647379977466386</v>
      </c>
      <c r="AU796" s="27">
        <v>0.77634374587249444</v>
      </c>
      <c r="AW796" s="1">
        <v>13.667723788984448</v>
      </c>
      <c r="AX796" s="1">
        <v>15.408726209844986</v>
      </c>
      <c r="AY796" s="2">
        <v>1526413.1287635064</v>
      </c>
      <c r="AZ796" s="1">
        <v>15.537762508219421</v>
      </c>
      <c r="BA796" s="1">
        <v>17.295016811103579</v>
      </c>
      <c r="BB796" s="2">
        <v>1155229.967986353</v>
      </c>
      <c r="BC796" s="2">
        <f t="shared" si="91"/>
        <v>-371183.16077715345</v>
      </c>
      <c r="BD796" s="292">
        <f t="shared" si="92"/>
        <v>1.870038719234973</v>
      </c>
      <c r="BF796" s="170">
        <f t="shared" si="87"/>
        <v>660422.67747400538</v>
      </c>
      <c r="BG796" s="2">
        <f t="shared" si="88"/>
        <v>1330812.0333287546</v>
      </c>
      <c r="BI796">
        <f t="shared" si="89"/>
        <v>0</v>
      </c>
      <c r="BJ796" s="95">
        <f t="shared" si="90"/>
        <v>1</v>
      </c>
      <c r="BP796" s="217">
        <f t="shared" si="93"/>
        <v>1330812.0333287546</v>
      </c>
    </row>
    <row r="797" spans="1:68">
      <c r="A797" s="11">
        <v>791</v>
      </c>
      <c r="C797" s="27">
        <v>0.92400607607633001</v>
      </c>
      <c r="D797" s="27">
        <v>7.5993923923669979E-2</v>
      </c>
      <c r="E797" s="27">
        <v>0</v>
      </c>
      <c r="F797" s="27">
        <v>0.86762196855577967</v>
      </c>
      <c r="G797" s="27">
        <v>0.13237803144422031</v>
      </c>
      <c r="H797" s="27">
        <v>0</v>
      </c>
      <c r="I797" s="27">
        <v>0.7582606895611711</v>
      </c>
      <c r="J797" s="27">
        <v>0.2417393104388289</v>
      </c>
      <c r="K797" s="27">
        <v>0</v>
      </c>
      <c r="L797" s="27">
        <v>8.050559584418171E-2</v>
      </c>
      <c r="M797" s="27">
        <v>0.48049100489591645</v>
      </c>
      <c r="N797" s="27">
        <v>0.43900339925990184</v>
      </c>
      <c r="O797" s="27">
        <v>-11.216688721116705</v>
      </c>
      <c r="P797" s="27">
        <v>3.511838035563225E-2</v>
      </c>
      <c r="Q797" s="27">
        <v>5.8779538625443944E-5</v>
      </c>
      <c r="R797" s="27">
        <v>1.0758030564864443</v>
      </c>
      <c r="S797" s="154"/>
      <c r="T797">
        <v>0.99192413212813646</v>
      </c>
      <c r="U797">
        <v>2.2423207707132446</v>
      </c>
      <c r="V797">
        <v>3.0501832330554155</v>
      </c>
      <c r="W797">
        <v>1</v>
      </c>
      <c r="Y797" s="2">
        <v>581.61698482396048</v>
      </c>
      <c r="Z797" s="2">
        <v>2996.3790355354786</v>
      </c>
      <c r="AA797" s="2">
        <v>436.890630090402</v>
      </c>
      <c r="AB797" s="2">
        <v>1954.3682755238719</v>
      </c>
      <c r="AC797" s="2">
        <v>526.21938305083245</v>
      </c>
      <c r="AD797" s="2">
        <v>1953.3279216926089</v>
      </c>
      <c r="AE797" s="2">
        <v>594.24170473775803</v>
      </c>
      <c r="AF797" s="2">
        <v>967.21778657974198</v>
      </c>
      <c r="AG797" s="2">
        <v>120.24704223825657</v>
      </c>
      <c r="AH797" s="2">
        <v>469.09871248780121</v>
      </c>
      <c r="AI797" s="2">
        <v>563575.73014818551</v>
      </c>
      <c r="AJ797" s="2">
        <v>542265.50203859643</v>
      </c>
      <c r="AL797" s="27">
        <v>0.92270164169378477</v>
      </c>
      <c r="AM797" s="27">
        <v>0.91445824296930378</v>
      </c>
      <c r="AN797" s="27">
        <v>0.90630423567191709</v>
      </c>
      <c r="AO797" s="27">
        <v>0.90038423966210623</v>
      </c>
      <c r="AP797" s="27">
        <v>0.73762097819368888</v>
      </c>
      <c r="AQ797" s="27">
        <v>0.92270164169378477</v>
      </c>
      <c r="AR797" s="27">
        <v>0.91445824296930378</v>
      </c>
      <c r="AS797" s="27">
        <v>0.90630423567191709</v>
      </c>
      <c r="AT797" s="27">
        <v>0.90038423966210623</v>
      </c>
      <c r="AU797" s="27">
        <v>0.73762097819368888</v>
      </c>
      <c r="AW797" s="1">
        <v>13.669918446318215</v>
      </c>
      <c r="AX797" s="1">
        <v>15.44073565220909</v>
      </c>
      <c r="AY797" s="2">
        <v>1984168.1245091385</v>
      </c>
      <c r="AZ797" s="1">
        <v>15.540226652776795</v>
      </c>
      <c r="BA797" s="1">
        <v>17.323704654577938</v>
      </c>
      <c r="BB797" s="2">
        <v>1419441.9472707501</v>
      </c>
      <c r="BC797" s="2">
        <f t="shared" si="91"/>
        <v>-564726.17723838845</v>
      </c>
      <c r="BD797" s="292">
        <f t="shared" si="92"/>
        <v>1.8703082064585796</v>
      </c>
      <c r="BF797" s="170">
        <f t="shared" si="87"/>
        <v>203018.82690177578</v>
      </c>
      <c r="BG797" s="2">
        <f t="shared" si="88"/>
        <v>1066994.3171735373</v>
      </c>
      <c r="BI797">
        <f t="shared" si="89"/>
        <v>0</v>
      </c>
      <c r="BJ797" s="95">
        <f t="shared" si="90"/>
        <v>1</v>
      </c>
      <c r="BP797" s="217">
        <f t="shared" si="93"/>
        <v>1066994.3171735373</v>
      </c>
    </row>
    <row r="798" spans="1:68">
      <c r="A798" s="11">
        <v>792</v>
      </c>
      <c r="C798" s="27">
        <v>0.92538808901195169</v>
      </c>
      <c r="D798" s="27">
        <v>7.4611910988048299E-2</v>
      </c>
      <c r="E798" s="27">
        <v>0</v>
      </c>
      <c r="F798" s="27">
        <v>0.85911392130332798</v>
      </c>
      <c r="G798" s="27">
        <v>0.140886078696672</v>
      </c>
      <c r="H798" s="27">
        <v>0</v>
      </c>
      <c r="I798" s="27">
        <v>0.75725124748569517</v>
      </c>
      <c r="J798" s="27">
        <v>0.24274875251430478</v>
      </c>
      <c r="K798" s="27">
        <v>0</v>
      </c>
      <c r="L798" s="27">
        <v>8.7925139993828449E-2</v>
      </c>
      <c r="M798" s="27">
        <v>0.53465806165002239</v>
      </c>
      <c r="N798" s="27">
        <v>0.37741679835614916</v>
      </c>
      <c r="O798" s="27">
        <v>-11.176294286306108</v>
      </c>
      <c r="P798" s="27">
        <v>3.6629549715512626E-2</v>
      </c>
      <c r="Q798" s="27">
        <v>6.521290375539112E-5</v>
      </c>
      <c r="R798" s="27">
        <v>1.0588508030088462</v>
      </c>
      <c r="S798" s="154"/>
      <c r="T798">
        <v>1.0270814222326941</v>
      </c>
      <c r="U798">
        <v>2.2024215616635638</v>
      </c>
      <c r="V798">
        <v>2.8588327324647684</v>
      </c>
      <c r="W798">
        <v>1</v>
      </c>
      <c r="Y798" s="2">
        <v>91.770597666801208</v>
      </c>
      <c r="Z798" s="2">
        <v>2857.3108935854393</v>
      </c>
      <c r="AA798" s="2">
        <v>659.29936565910907</v>
      </c>
      <c r="AB798" s="2">
        <v>6729.0382563779831</v>
      </c>
      <c r="AC798" s="2">
        <v>429.97010609808046</v>
      </c>
      <c r="AD798" s="2">
        <v>654.80885135012898</v>
      </c>
      <c r="AE798" s="2">
        <v>592.40909396601569</v>
      </c>
      <c r="AF798" s="2">
        <v>971.83506643701355</v>
      </c>
      <c r="AG798" s="2">
        <v>113.42417838025277</v>
      </c>
      <c r="AH798" s="2">
        <v>446.42507733914607</v>
      </c>
      <c r="AI798" s="2">
        <v>468649.72293029388</v>
      </c>
      <c r="AJ798" s="2">
        <v>437705.24298666453</v>
      </c>
      <c r="AL798" s="27">
        <v>0.91423883037005793</v>
      </c>
      <c r="AM798" s="27">
        <v>0.91975830566153882</v>
      </c>
      <c r="AN798" s="27">
        <v>0.90109218948954706</v>
      </c>
      <c r="AO798" s="27">
        <v>0.81344648174255696</v>
      </c>
      <c r="AP798" s="27">
        <v>0.69715233240773733</v>
      </c>
      <c r="AQ798" s="27">
        <v>0.91423883037005793</v>
      </c>
      <c r="AR798" s="27">
        <v>0.91975830566153882</v>
      </c>
      <c r="AS798" s="27">
        <v>0.90109218948954706</v>
      </c>
      <c r="AT798" s="27">
        <v>0.81344648174255696</v>
      </c>
      <c r="AU798" s="27">
        <v>0.69715233240773733</v>
      </c>
      <c r="AW798" s="1">
        <v>13.66077271616961</v>
      </c>
      <c r="AX798" s="1">
        <v>15.803017996041643</v>
      </c>
      <c r="AY798" s="2">
        <v>1853965.8069537969</v>
      </c>
      <c r="AZ798" s="1">
        <v>15.50090241342866</v>
      </c>
      <c r="BA798" s="1">
        <v>17.563214314477154</v>
      </c>
      <c r="BB798" s="2">
        <v>1401114.5157356744</v>
      </c>
      <c r="BC798" s="2">
        <f t="shared" si="91"/>
        <v>-452851.29121812247</v>
      </c>
      <c r="BD798" s="292">
        <f t="shared" si="92"/>
        <v>1.8401296972590497</v>
      </c>
      <c r="BF798" s="170">
        <f t="shared" si="87"/>
        <v>331757.82763334061</v>
      </c>
      <c r="BG798" s="2">
        <f t="shared" si="88"/>
        <v>1079029.8704129111</v>
      </c>
      <c r="BI798">
        <f t="shared" si="89"/>
        <v>0</v>
      </c>
      <c r="BJ798" s="95">
        <f t="shared" si="90"/>
        <v>1</v>
      </c>
      <c r="BP798" s="217">
        <f t="shared" si="93"/>
        <v>1079029.8704129111</v>
      </c>
    </row>
    <row r="799" spans="1:68">
      <c r="A799" s="11">
        <v>793</v>
      </c>
      <c r="C799" s="27">
        <v>0.92593553192856326</v>
      </c>
      <c r="D799" s="27">
        <v>7.4064468071436726E-2</v>
      </c>
      <c r="E799" s="27">
        <v>0</v>
      </c>
      <c r="F799" s="27">
        <v>0.85824974410389909</v>
      </c>
      <c r="G799" s="27">
        <v>0.14175025589610091</v>
      </c>
      <c r="H799" s="27">
        <v>0</v>
      </c>
      <c r="I799" s="27">
        <v>0.75971185610430858</v>
      </c>
      <c r="J799" s="27">
        <v>0.24028814389569148</v>
      </c>
      <c r="K799" s="27">
        <v>0</v>
      </c>
      <c r="L799" s="27">
        <v>0.12245757567076043</v>
      </c>
      <c r="M799" s="27">
        <v>0.52822085159542986</v>
      </c>
      <c r="N799" s="27">
        <v>0.3493215727338097</v>
      </c>
      <c r="O799" s="27">
        <v>-11.356168244009366</v>
      </c>
      <c r="P799" s="27">
        <v>3.558897359133275E-2</v>
      </c>
      <c r="Q799" s="27">
        <v>5.2147654520141238E-5</v>
      </c>
      <c r="R799" s="27">
        <v>1.0896756370348653</v>
      </c>
      <c r="S799" s="154"/>
      <c r="T799">
        <v>1.1488600339614414</v>
      </c>
      <c r="U799">
        <v>2.2094993669925644</v>
      </c>
      <c r="V799">
        <v>2.7878517200622537</v>
      </c>
      <c r="W799">
        <v>1</v>
      </c>
      <c r="Y799" s="2">
        <v>854.33289223920008</v>
      </c>
      <c r="Z799" s="2">
        <v>980.3177629010122</v>
      </c>
      <c r="AA799" s="2">
        <v>479.35756051686178</v>
      </c>
      <c r="AB799" s="2">
        <v>16103.64655449262</v>
      </c>
      <c r="AC799" s="2">
        <v>294.5130880696824</v>
      </c>
      <c r="AD799" s="2">
        <v>358.56376388001075</v>
      </c>
      <c r="AE799" s="2">
        <v>568.07449247079501</v>
      </c>
      <c r="AF799" s="2">
        <v>1260.2357211271003</v>
      </c>
      <c r="AG799" s="2">
        <v>82.550413328581897</v>
      </c>
      <c r="AH799" s="2">
        <v>162.85310206095042</v>
      </c>
      <c r="AI799" s="2">
        <v>346713.17515013955</v>
      </c>
      <c r="AJ799" s="2">
        <v>305446.8903808723</v>
      </c>
      <c r="AL799" s="27">
        <v>0.92083872011108281</v>
      </c>
      <c r="AM799" s="27">
        <v>0.91227124364247913</v>
      </c>
      <c r="AN799" s="27">
        <v>0.90114238989988349</v>
      </c>
      <c r="AO799" s="27">
        <v>0.87190057018473788</v>
      </c>
      <c r="AP799" s="27">
        <v>0.68043344209493228</v>
      </c>
      <c r="AQ799" s="27">
        <v>0.92083872011108281</v>
      </c>
      <c r="AR799" s="27">
        <v>0.91227124364247913</v>
      </c>
      <c r="AS799" s="27">
        <v>0.90114238989988349</v>
      </c>
      <c r="AT799" s="27">
        <v>0.87190057018473788</v>
      </c>
      <c r="AU799" s="27">
        <v>0.68043344209493228</v>
      </c>
      <c r="AW799" s="1">
        <v>13.404336734088682</v>
      </c>
      <c r="AX799" s="1">
        <v>15.542821319614257</v>
      </c>
      <c r="AY799" s="2">
        <v>1349436.5922931291</v>
      </c>
      <c r="AZ799" s="1">
        <v>15.549822045261463</v>
      </c>
      <c r="BA799" s="1">
        <v>17.590810855426685</v>
      </c>
      <c r="BB799" s="2">
        <v>1169402.9671318491</v>
      </c>
      <c r="BC799" s="2">
        <f t="shared" si="91"/>
        <v>-180033.62516127992</v>
      </c>
      <c r="BD799" s="292">
        <f t="shared" si="92"/>
        <v>2.1454853111727807</v>
      </c>
      <c r="BF799" s="170">
        <f t="shared" si="87"/>
        <v>795257.28516106005</v>
      </c>
      <c r="BG799" s="2">
        <f t="shared" si="88"/>
        <v>1318568.5601099848</v>
      </c>
      <c r="BI799">
        <f t="shared" si="89"/>
        <v>0</v>
      </c>
      <c r="BJ799" s="95">
        <f t="shared" si="90"/>
        <v>1</v>
      </c>
      <c r="BP799" s="217">
        <f t="shared" si="93"/>
        <v>1318568.5601099848</v>
      </c>
    </row>
    <row r="800" spans="1:68">
      <c r="A800" s="11">
        <v>794</v>
      </c>
      <c r="C800" s="27">
        <v>0.92053187446493256</v>
      </c>
      <c r="D800" s="27">
        <v>7.9468125535067435E-2</v>
      </c>
      <c r="E800" s="27">
        <v>0</v>
      </c>
      <c r="F800" s="27">
        <v>0.8563990016749784</v>
      </c>
      <c r="G800" s="27">
        <v>0.1436009983250216</v>
      </c>
      <c r="H800" s="27">
        <v>0</v>
      </c>
      <c r="I800" s="27">
        <v>0.75247260994932996</v>
      </c>
      <c r="J800" s="27">
        <v>0.24752739005066998</v>
      </c>
      <c r="K800" s="27">
        <v>0</v>
      </c>
      <c r="L800" s="27">
        <v>7.2363944909676903E-2</v>
      </c>
      <c r="M800" s="27">
        <v>0.56181679925082895</v>
      </c>
      <c r="N800" s="27">
        <v>0.36581925583949415</v>
      </c>
      <c r="O800" s="27">
        <v>-11.142152058956782</v>
      </c>
      <c r="P800" s="27">
        <v>3.4401775881043595E-2</v>
      </c>
      <c r="Q800" s="27">
        <v>6.1450568415084616E-5</v>
      </c>
      <c r="R800" s="27">
        <v>1.0696085697608222</v>
      </c>
      <c r="S800" s="154"/>
      <c r="T800">
        <v>0.99186097496483827</v>
      </c>
      <c r="U800">
        <v>2.2537401467714484</v>
      </c>
      <c r="V800">
        <v>3.1207980269034219</v>
      </c>
      <c r="W800">
        <v>1</v>
      </c>
      <c r="Y800" s="2">
        <v>59.711171244155111</v>
      </c>
      <c r="Z800" s="2">
        <v>1215.7922030621723</v>
      </c>
      <c r="AA800" s="2">
        <v>1456.7639391046168</v>
      </c>
      <c r="AB800" s="2">
        <v>2086.9661485116985</v>
      </c>
      <c r="AC800" s="2">
        <v>381.37666716798282</v>
      </c>
      <c r="AD800" s="2">
        <v>236.51099435758454</v>
      </c>
      <c r="AE800" s="2">
        <v>589.06514447220843</v>
      </c>
      <c r="AF800" s="2">
        <v>1069.9944300996103</v>
      </c>
      <c r="AG800" s="2">
        <v>89.654857172126569</v>
      </c>
      <c r="AH800" s="2">
        <v>175.59538529549636</v>
      </c>
      <c r="AI800" s="2">
        <v>609395.98214898806</v>
      </c>
      <c r="AJ800" s="2">
        <v>579236.08160261414</v>
      </c>
      <c r="AL800" s="27">
        <v>0.92209315847481643</v>
      </c>
      <c r="AM800" s="27">
        <v>0.92040588825896075</v>
      </c>
      <c r="AN800" s="27">
        <v>0.90738869038832437</v>
      </c>
      <c r="AO800" s="27">
        <v>0.87589625517840497</v>
      </c>
      <c r="AP800" s="27">
        <v>0.64899346229198074</v>
      </c>
      <c r="AQ800" s="27">
        <v>0.92209315847481643</v>
      </c>
      <c r="AR800" s="27">
        <v>0.92040588825896075</v>
      </c>
      <c r="AS800" s="27">
        <v>0.90738869038832437</v>
      </c>
      <c r="AT800" s="27">
        <v>0.87589625517840497</v>
      </c>
      <c r="AU800" s="27">
        <v>0.64899346229198074</v>
      </c>
      <c r="AW800" s="1">
        <v>13.464090854786884</v>
      </c>
      <c r="AX800" s="1">
        <v>15.684777694599584</v>
      </c>
      <c r="AY800" s="2">
        <v>2519424.6230833642</v>
      </c>
      <c r="AZ800" s="1">
        <v>15.344839773221485</v>
      </c>
      <c r="BA800" s="1">
        <v>17.436432707309972</v>
      </c>
      <c r="BB800" s="2">
        <v>1830711.3247401866</v>
      </c>
      <c r="BC800" s="2">
        <f t="shared" si="91"/>
        <v>-688713.29834317765</v>
      </c>
      <c r="BD800" s="292">
        <f t="shared" si="92"/>
        <v>1.8807489184346018</v>
      </c>
      <c r="BF800" s="170">
        <f t="shared" si="87"/>
        <v>-365170.08631746285</v>
      </c>
      <c r="BG800" s="2">
        <f t="shared" si="88"/>
        <v>624463.03897525114</v>
      </c>
      <c r="BI800">
        <f t="shared" si="89"/>
        <v>0</v>
      </c>
      <c r="BJ800" s="95">
        <f t="shared" si="90"/>
        <v>1</v>
      </c>
      <c r="BP800" s="217">
        <f t="shared" si="93"/>
        <v>624463.03897525114</v>
      </c>
    </row>
    <row r="801" spans="1:68">
      <c r="A801" s="11">
        <v>795</v>
      </c>
      <c r="C801" s="27">
        <v>0.92350632324870774</v>
      </c>
      <c r="D801" s="27">
        <v>7.6493676751292275E-2</v>
      </c>
      <c r="E801" s="27">
        <v>0</v>
      </c>
      <c r="F801" s="27">
        <v>0.85933475508859236</v>
      </c>
      <c r="G801" s="27">
        <v>0.14066524491140764</v>
      </c>
      <c r="H801" s="27">
        <v>0</v>
      </c>
      <c r="I801" s="27">
        <v>0.75080252681131565</v>
      </c>
      <c r="J801" s="27">
        <v>0.2491974731886844</v>
      </c>
      <c r="K801" s="27">
        <v>0</v>
      </c>
      <c r="L801" s="27">
        <v>6.6586755630515304E-2</v>
      </c>
      <c r="M801" s="27">
        <v>0.53786744723905711</v>
      </c>
      <c r="N801" s="27">
        <v>0.39554579713042759</v>
      </c>
      <c r="O801" s="27">
        <v>-10.94415297824065</v>
      </c>
      <c r="P801" s="27">
        <v>3.2688288065158409E-2</v>
      </c>
      <c r="Q801" s="27">
        <v>6.9704555789240947E-5</v>
      </c>
      <c r="R801" s="27">
        <v>1.0584425313869081</v>
      </c>
      <c r="S801" s="154"/>
      <c r="T801">
        <v>0.95882476536364647</v>
      </c>
      <c r="U801">
        <v>2.2766732325943009</v>
      </c>
      <c r="V801">
        <v>3.1461755137081515</v>
      </c>
      <c r="W801">
        <v>1</v>
      </c>
      <c r="Y801" s="2">
        <v>295.48464495733083</v>
      </c>
      <c r="Z801" s="2">
        <v>1114.0901887723003</v>
      </c>
      <c r="AA801" s="2">
        <v>6551.4849926048601</v>
      </c>
      <c r="AB801" s="2">
        <v>43.678181591332681</v>
      </c>
      <c r="AC801" s="2">
        <v>1028.8910958969793</v>
      </c>
      <c r="AD801" s="2">
        <v>560.5644607152733</v>
      </c>
      <c r="AE801" s="2">
        <v>542.67141915881177</v>
      </c>
      <c r="AF801" s="2">
        <v>838.97841367601609</v>
      </c>
      <c r="AG801" s="2">
        <v>133.24620112581027</v>
      </c>
      <c r="AH801" s="2">
        <v>626.74960478928062</v>
      </c>
      <c r="AI801" s="2">
        <v>355452.84605499933</v>
      </c>
      <c r="AJ801" s="2">
        <v>329728.20918123337</v>
      </c>
      <c r="AL801" s="27">
        <v>0.91977757267329485</v>
      </c>
      <c r="AM801" s="27">
        <v>0.91651949256453924</v>
      </c>
      <c r="AN801" s="27">
        <v>0.90535566705293213</v>
      </c>
      <c r="AO801" s="27">
        <v>0.84442088222205203</v>
      </c>
      <c r="AP801" s="27">
        <v>0.74850679204113013</v>
      </c>
      <c r="AQ801" s="27">
        <v>0.91977757267329485</v>
      </c>
      <c r="AR801" s="27">
        <v>0.91651949256453924</v>
      </c>
      <c r="AS801" s="27">
        <v>0.90535566705293213</v>
      </c>
      <c r="AT801" s="27">
        <v>0.84442088222205203</v>
      </c>
      <c r="AU801" s="27">
        <v>0.74850679204113013</v>
      </c>
      <c r="AW801" s="1">
        <v>13.83119440115561</v>
      </c>
      <c r="AX801" s="1">
        <v>15.699117088467229</v>
      </c>
      <c r="AY801" s="2">
        <v>1334998.0445661845</v>
      </c>
      <c r="AZ801" s="1">
        <v>15.538788890249675</v>
      </c>
      <c r="BA801" s="1">
        <v>17.400141854023531</v>
      </c>
      <c r="BB801" s="2">
        <v>1061712.0404761238</v>
      </c>
      <c r="BC801" s="2">
        <f t="shared" si="91"/>
        <v>-273286.00409006071</v>
      </c>
      <c r="BD801" s="292">
        <f t="shared" si="92"/>
        <v>1.7075944890940651</v>
      </c>
      <c r="BF801" s="170">
        <f t="shared" si="87"/>
        <v>877993.0596187131</v>
      </c>
      <c r="BG801" s="2">
        <f t="shared" si="88"/>
        <v>1424494.1819638242</v>
      </c>
      <c r="BI801">
        <f t="shared" si="89"/>
        <v>0</v>
      </c>
      <c r="BJ801" s="95">
        <f t="shared" si="90"/>
        <v>1</v>
      </c>
      <c r="BP801" s="217">
        <f t="shared" si="93"/>
        <v>1424494.1819638242</v>
      </c>
    </row>
    <row r="802" spans="1:68">
      <c r="A802" s="11">
        <v>796</v>
      </c>
      <c r="C802" s="27">
        <v>0.92059747936116765</v>
      </c>
      <c r="D802" s="27">
        <v>7.9402520638832352E-2</v>
      </c>
      <c r="E802" s="27">
        <v>0</v>
      </c>
      <c r="F802" s="27">
        <v>0.86078158724944187</v>
      </c>
      <c r="G802" s="27">
        <v>0.13921841275055813</v>
      </c>
      <c r="H802" s="27">
        <v>0</v>
      </c>
      <c r="I802" s="27">
        <v>0.75966051681924296</v>
      </c>
      <c r="J802" s="27">
        <v>0.2403394831807571</v>
      </c>
      <c r="K802" s="27">
        <v>0</v>
      </c>
      <c r="L802" s="27">
        <v>7.7931236233225953E-2</v>
      </c>
      <c r="M802" s="27">
        <v>0.46957773697169869</v>
      </c>
      <c r="N802" s="27">
        <v>0.45249102679507536</v>
      </c>
      <c r="O802" s="27">
        <v>-10.924870537840569</v>
      </c>
      <c r="P802" s="27">
        <v>3.1564967122933787E-2</v>
      </c>
      <c r="Q802" s="27">
        <v>6.7786878196231546E-5</v>
      </c>
      <c r="R802" s="27">
        <v>1.0616536203431326</v>
      </c>
      <c r="S802" s="154"/>
      <c r="T802">
        <v>1.0617969540088954</v>
      </c>
      <c r="U802">
        <v>2.2074589489246277</v>
      </c>
      <c r="V802">
        <v>2.8504128032357738</v>
      </c>
      <c r="W802">
        <v>1</v>
      </c>
      <c r="Y802" s="2">
        <v>506.34123197307247</v>
      </c>
      <c r="Z802" s="2">
        <v>6110.3310686011337</v>
      </c>
      <c r="AA802" s="2">
        <v>122.07641447500123</v>
      </c>
      <c r="AB802" s="2">
        <v>10541.671006890623</v>
      </c>
      <c r="AC802" s="2">
        <v>2608.6155543127034</v>
      </c>
      <c r="AD802" s="2">
        <v>28.596216118011768</v>
      </c>
      <c r="AE802" s="2">
        <v>578.59509327158025</v>
      </c>
      <c r="AF802" s="2">
        <v>977.907862767398</v>
      </c>
      <c r="AG802" s="2">
        <v>151.04289526879836</v>
      </c>
      <c r="AH802" s="2">
        <v>365.6228866792801</v>
      </c>
      <c r="AI802" s="2">
        <v>496032.67944013898</v>
      </c>
      <c r="AJ802" s="2">
        <v>454197.91385915765</v>
      </c>
      <c r="AL802" s="27">
        <v>0.91084990538636301</v>
      </c>
      <c r="AM802" s="27">
        <v>0.92153312985648317</v>
      </c>
      <c r="AN802" s="27">
        <v>0.90978150193168883</v>
      </c>
      <c r="AO802" s="27">
        <v>0.85188338240606809</v>
      </c>
      <c r="AP802" s="27">
        <v>0.71726218808633424</v>
      </c>
      <c r="AQ802" s="27">
        <v>0.91084990538636301</v>
      </c>
      <c r="AR802" s="27">
        <v>0.92153312985648317</v>
      </c>
      <c r="AS802" s="27">
        <v>0.90978150193168883</v>
      </c>
      <c r="AT802" s="27">
        <v>0.85188338240606809</v>
      </c>
      <c r="AU802" s="27">
        <v>0.71726218808633424</v>
      </c>
      <c r="AW802" s="1">
        <v>13.100093224614595</v>
      </c>
      <c r="AX802" s="1">
        <v>15.028719246757085</v>
      </c>
      <c r="AY802" s="2">
        <v>1783301.6493632586</v>
      </c>
      <c r="AZ802" s="1">
        <v>15.200932645163206</v>
      </c>
      <c r="BA802" s="1">
        <v>17.108301474891821</v>
      </c>
      <c r="BB802" s="2">
        <v>1323761.4440745602</v>
      </c>
      <c r="BC802" s="2">
        <f t="shared" si="91"/>
        <v>-459540.20528869843</v>
      </c>
      <c r="BD802" s="292">
        <f t="shared" si="92"/>
        <v>2.1008394205486116</v>
      </c>
      <c r="BF802" s="170">
        <f t="shared" si="87"/>
        <v>312713.26657507662</v>
      </c>
      <c r="BG802" s="2">
        <f t="shared" si="88"/>
        <v>1108387.7791515526</v>
      </c>
      <c r="BI802">
        <f t="shared" si="89"/>
        <v>0</v>
      </c>
      <c r="BJ802" s="95">
        <f t="shared" si="90"/>
        <v>1</v>
      </c>
      <c r="BP802" s="217">
        <f t="shared" si="93"/>
        <v>1108387.7791515526</v>
      </c>
    </row>
    <row r="803" spans="1:68">
      <c r="A803" s="11">
        <v>797</v>
      </c>
      <c r="C803" s="27">
        <v>0.92084094667745031</v>
      </c>
      <c r="D803" s="27">
        <v>7.9159053322549688E-2</v>
      </c>
      <c r="E803" s="27">
        <v>0</v>
      </c>
      <c r="F803" s="27">
        <v>0.86545318951930061</v>
      </c>
      <c r="G803" s="27">
        <v>0.13454681048069941</v>
      </c>
      <c r="H803" s="27">
        <v>0</v>
      </c>
      <c r="I803" s="27">
        <v>0.75070819581733561</v>
      </c>
      <c r="J803" s="27">
        <v>0.24929180418266444</v>
      </c>
      <c r="K803" s="27">
        <v>0</v>
      </c>
      <c r="L803" s="27">
        <v>0.14214897041115271</v>
      </c>
      <c r="M803" s="27">
        <v>0.45255486758881303</v>
      </c>
      <c r="N803" s="27">
        <v>0.40529616200003427</v>
      </c>
      <c r="O803" s="27">
        <v>-10.90388895132542</v>
      </c>
      <c r="P803" s="27">
        <v>3.260840396097036E-2</v>
      </c>
      <c r="Q803" s="27">
        <v>7.2325341529394578E-5</v>
      </c>
      <c r="R803" s="27">
        <v>1.0477580662779771</v>
      </c>
      <c r="S803" s="154"/>
      <c r="T803">
        <v>0.91188603363238985</v>
      </c>
      <c r="U803">
        <v>2.3136458567131926</v>
      </c>
      <c r="V803">
        <v>2.8612954216948001</v>
      </c>
      <c r="W803">
        <v>1</v>
      </c>
      <c r="Y803" s="2">
        <v>400.09501283850079</v>
      </c>
      <c r="Z803" s="2">
        <v>1400.8433231565141</v>
      </c>
      <c r="AA803" s="2">
        <v>6648.0433754158594</v>
      </c>
      <c r="AB803" s="2">
        <v>2186.7178683011143</v>
      </c>
      <c r="AC803" s="2">
        <v>911.29052227522629</v>
      </c>
      <c r="AD803" s="2">
        <v>2847.7951918846011</v>
      </c>
      <c r="AE803" s="2">
        <v>543.04558922804631</v>
      </c>
      <c r="AF803" s="2">
        <v>1113.0054927295237</v>
      </c>
      <c r="AG803" s="2">
        <v>135.88293785106032</v>
      </c>
      <c r="AH803" s="2">
        <v>260.72911156218652</v>
      </c>
      <c r="AI803" s="2">
        <v>472892.31621401524</v>
      </c>
      <c r="AJ803" s="2">
        <v>438997.98639074527</v>
      </c>
      <c r="AL803" s="27">
        <v>0.91877426541143836</v>
      </c>
      <c r="AM803" s="27">
        <v>0.92171810573351365</v>
      </c>
      <c r="AN803" s="27">
        <v>0.9197662900808552</v>
      </c>
      <c r="AO803" s="27">
        <v>0.86997630787688707</v>
      </c>
      <c r="AP803" s="27">
        <v>0.77060820066083746</v>
      </c>
      <c r="AQ803" s="27">
        <v>0.91877426541143836</v>
      </c>
      <c r="AR803" s="27">
        <v>0.92171810573351365</v>
      </c>
      <c r="AS803" s="27">
        <v>0.9197662900808552</v>
      </c>
      <c r="AT803" s="27">
        <v>0.86997630787688707</v>
      </c>
      <c r="AU803" s="27">
        <v>0.77060820066083746</v>
      </c>
      <c r="AW803" s="1">
        <v>13.924409372036164</v>
      </c>
      <c r="AX803" s="1">
        <v>15.652964293021308</v>
      </c>
      <c r="AY803" s="2">
        <v>1623328.2043941463</v>
      </c>
      <c r="AZ803" s="1">
        <v>15.544244870790846</v>
      </c>
      <c r="BA803" s="1">
        <v>17.274586180746933</v>
      </c>
      <c r="BB803" s="2">
        <v>1359686.9158001083</v>
      </c>
      <c r="BC803" s="2">
        <f t="shared" si="91"/>
        <v>-263641.28859403799</v>
      </c>
      <c r="BD803" s="292">
        <f t="shared" si="92"/>
        <v>1.6198354987546821</v>
      </c>
      <c r="BF803" s="170">
        <f t="shared" si="87"/>
        <v>604577.29513164004</v>
      </c>
      <c r="BG803" s="2">
        <f t="shared" si="88"/>
        <v>1127392.2635264273</v>
      </c>
      <c r="BI803">
        <f t="shared" si="89"/>
        <v>0</v>
      </c>
      <c r="BJ803" s="95">
        <f t="shared" si="90"/>
        <v>1</v>
      </c>
      <c r="BP803" s="217">
        <f t="shared" si="93"/>
        <v>1127392.2635264273</v>
      </c>
    </row>
    <row r="804" spans="1:68">
      <c r="A804" s="11">
        <v>798</v>
      </c>
      <c r="C804" s="27">
        <v>0.91967514116557503</v>
      </c>
      <c r="D804" s="27">
        <v>8.0324858834424973E-2</v>
      </c>
      <c r="E804" s="27">
        <v>0</v>
      </c>
      <c r="F804" s="27">
        <v>0.8503571341870072</v>
      </c>
      <c r="G804" s="27">
        <v>0.1496428658129928</v>
      </c>
      <c r="H804" s="27">
        <v>0</v>
      </c>
      <c r="I804" s="27">
        <v>0.75786044376893291</v>
      </c>
      <c r="J804" s="27">
        <v>0.24213955623106706</v>
      </c>
      <c r="K804" s="27">
        <v>0</v>
      </c>
      <c r="L804" s="27">
        <v>0.18395756446156536</v>
      </c>
      <c r="M804" s="27">
        <v>0.45637679428688449</v>
      </c>
      <c r="N804" s="27">
        <v>0.35966564125155015</v>
      </c>
      <c r="O804" s="27">
        <v>-11.235630496079411</v>
      </c>
      <c r="P804" s="27">
        <v>3.519273874815726E-2</v>
      </c>
      <c r="Q804" s="27">
        <v>5.7857037051350728E-5</v>
      </c>
      <c r="R804" s="27">
        <v>1.0793920290024008</v>
      </c>
      <c r="S804" s="154"/>
      <c r="T804">
        <v>1.0694841489132876</v>
      </c>
      <c r="U804">
        <v>2.2329888894675669</v>
      </c>
      <c r="V804">
        <v>2.9137877789360629</v>
      </c>
      <c r="W804">
        <v>1</v>
      </c>
      <c r="Y804" s="2">
        <v>197.0153666583245</v>
      </c>
      <c r="Z804" s="2">
        <v>5154.6301096837915</v>
      </c>
      <c r="AA804" s="2">
        <v>2159.8835433089516</v>
      </c>
      <c r="AB804" s="2">
        <v>10999.863198329709</v>
      </c>
      <c r="AC804" s="2">
        <v>1031.1962910850914</v>
      </c>
      <c r="AD804" s="2">
        <v>2206.8713056392885</v>
      </c>
      <c r="AE804" s="2">
        <v>623.18347811439912</v>
      </c>
      <c r="AF804" s="2">
        <v>1052.7973194432086</v>
      </c>
      <c r="AG804" s="2">
        <v>75.505774564589117</v>
      </c>
      <c r="AH804" s="2">
        <v>573.15839079682655</v>
      </c>
      <c r="AI804" s="2">
        <v>502904.22641445225</v>
      </c>
      <c r="AJ804" s="2">
        <v>478048.95037095511</v>
      </c>
      <c r="AL804" s="27">
        <v>0.91912895227127511</v>
      </c>
      <c r="AM804" s="27">
        <v>0.91381454333303591</v>
      </c>
      <c r="AN804" s="27">
        <v>0.91393565398309695</v>
      </c>
      <c r="AO804" s="27">
        <v>0.86625003990634108</v>
      </c>
      <c r="AP804" s="27">
        <v>0.68804723723742967</v>
      </c>
      <c r="AQ804" s="27">
        <v>0.91912895227127511</v>
      </c>
      <c r="AR804" s="27">
        <v>0.91381454333303591</v>
      </c>
      <c r="AS804" s="27">
        <v>0.91393565398309695</v>
      </c>
      <c r="AT804" s="27">
        <v>0.86625003990634108</v>
      </c>
      <c r="AU804" s="27">
        <v>0.68804723723742967</v>
      </c>
      <c r="AW804" s="1">
        <v>13.155982252376607</v>
      </c>
      <c r="AX804" s="1">
        <v>15.197651247311839</v>
      </c>
      <c r="AY804" s="2">
        <v>2020795.4712102334</v>
      </c>
      <c r="AZ804" s="1">
        <v>15.225800368813358</v>
      </c>
      <c r="BA804" s="1">
        <v>17.20097881224104</v>
      </c>
      <c r="BB804" s="2">
        <v>1600790.5913202916</v>
      </c>
      <c r="BC804" s="2">
        <f t="shared" si="91"/>
        <v>-420004.87988994177</v>
      </c>
      <c r="BD804" s="292">
        <f t="shared" si="92"/>
        <v>2.0698181164367515</v>
      </c>
      <c r="BF804" s="170">
        <f t="shared" si="87"/>
        <v>84161.689170023426</v>
      </c>
      <c r="BG804" s="2">
        <f t="shared" si="88"/>
        <v>835337.46768984571</v>
      </c>
      <c r="BI804">
        <f t="shared" si="89"/>
        <v>0</v>
      </c>
      <c r="BJ804" s="95">
        <f t="shared" si="90"/>
        <v>1</v>
      </c>
      <c r="BP804" s="217">
        <f t="shared" si="93"/>
        <v>835337.46768984571</v>
      </c>
    </row>
    <row r="805" spans="1:68">
      <c r="A805" s="11">
        <v>799</v>
      </c>
      <c r="C805" s="27">
        <v>0.92490678553334882</v>
      </c>
      <c r="D805" s="27">
        <v>7.5093214466651223E-2</v>
      </c>
      <c r="E805" s="27">
        <v>0</v>
      </c>
      <c r="F805" s="27">
        <v>0.85272885382223385</v>
      </c>
      <c r="G805" s="27">
        <v>0.14727114617776615</v>
      </c>
      <c r="H805" s="27">
        <v>0</v>
      </c>
      <c r="I805" s="27">
        <v>0.74836924334829891</v>
      </c>
      <c r="J805" s="27">
        <v>0.25163075665170109</v>
      </c>
      <c r="K805" s="27">
        <v>0</v>
      </c>
      <c r="L805" s="27">
        <v>5.9092045755027134E-2</v>
      </c>
      <c r="M805" s="27">
        <v>0.53830988874078411</v>
      </c>
      <c r="N805" s="27">
        <v>0.40259806550418875</v>
      </c>
      <c r="O805" s="27">
        <v>-11.159894962118937</v>
      </c>
      <c r="P805" s="27">
        <v>3.5404680960692131E-2</v>
      </c>
      <c r="Q805" s="27">
        <v>6.2967089196774135E-5</v>
      </c>
      <c r="R805" s="27">
        <v>1.0658614560954294</v>
      </c>
      <c r="S805" s="154"/>
      <c r="T805">
        <v>1.0775812424572939</v>
      </c>
      <c r="U805">
        <v>2.1794397825060172</v>
      </c>
      <c r="V805">
        <v>2.8929285091905923</v>
      </c>
      <c r="W805">
        <v>1</v>
      </c>
      <c r="Y805" s="2">
        <v>999.47272636450657</v>
      </c>
      <c r="Z805" s="2">
        <v>5177.1941361668996</v>
      </c>
      <c r="AA805" s="2">
        <v>3080.1177836971274</v>
      </c>
      <c r="AB805" s="2">
        <v>228.28890020290345</v>
      </c>
      <c r="AC805" s="2">
        <v>2148.7425743760523</v>
      </c>
      <c r="AD805" s="2">
        <v>2945.0051399077647</v>
      </c>
      <c r="AE805" s="2">
        <v>588.83163026574755</v>
      </c>
      <c r="AF805" s="2">
        <v>1144.4695193633743</v>
      </c>
      <c r="AG805" s="2">
        <v>147.49850004089419</v>
      </c>
      <c r="AH805" s="2">
        <v>112.90456940971546</v>
      </c>
      <c r="AI805" s="2">
        <v>452982.12862707808</v>
      </c>
      <c r="AJ805" s="2">
        <v>411032.03034681699</v>
      </c>
      <c r="AL805" s="27">
        <v>0.91802242215830154</v>
      </c>
      <c r="AM805" s="27">
        <v>0.91485162389963015</v>
      </c>
      <c r="AN805" s="27">
        <v>0.90889295457822938</v>
      </c>
      <c r="AO805" s="27">
        <v>0.85520309543018003</v>
      </c>
      <c r="AP805" s="27">
        <v>0.68551996725416853</v>
      </c>
      <c r="AQ805" s="27">
        <v>0.91802242215830154</v>
      </c>
      <c r="AR805" s="27">
        <v>0.91485162389963015</v>
      </c>
      <c r="AS805" s="27">
        <v>0.90889295457822938</v>
      </c>
      <c r="AT805" s="27">
        <v>0.85520309543018003</v>
      </c>
      <c r="AU805" s="27">
        <v>0.68551996725416853</v>
      </c>
      <c r="AW805" s="1">
        <v>13.365287832379451</v>
      </c>
      <c r="AX805" s="1">
        <v>15.462620852106221</v>
      </c>
      <c r="AY805" s="2">
        <v>1811745.4753591083</v>
      </c>
      <c r="AZ805" s="1">
        <v>15.348294208128801</v>
      </c>
      <c r="BA805" s="1">
        <v>17.367446361388744</v>
      </c>
      <c r="BB805" s="2">
        <v>1284437.8519490282</v>
      </c>
      <c r="BC805" s="2">
        <f t="shared" si="91"/>
        <v>-527307.62341008009</v>
      </c>
      <c r="BD805" s="292">
        <f t="shared" si="92"/>
        <v>1.9830063757493495</v>
      </c>
      <c r="BF805" s="170">
        <f t="shared" si="87"/>
        <v>326700.57782160398</v>
      </c>
      <c r="BG805" s="2">
        <f t="shared" si="88"/>
        <v>1171289.2213515798</v>
      </c>
      <c r="BI805">
        <f t="shared" si="89"/>
        <v>0</v>
      </c>
      <c r="BJ805" s="95">
        <f t="shared" si="90"/>
        <v>1</v>
      </c>
      <c r="BP805" s="217">
        <f t="shared" si="93"/>
        <v>1171289.2213515798</v>
      </c>
    </row>
    <row r="806" spans="1:68">
      <c r="A806" s="11">
        <v>800</v>
      </c>
      <c r="C806" s="27">
        <v>0.92433424785049145</v>
      </c>
      <c r="D806" s="27">
        <v>7.5665752149508533E-2</v>
      </c>
      <c r="E806" s="27">
        <v>0</v>
      </c>
      <c r="F806" s="27">
        <v>0.86069966906404749</v>
      </c>
      <c r="G806" s="27">
        <v>0.13930033093595248</v>
      </c>
      <c r="H806" s="27">
        <v>0</v>
      </c>
      <c r="I806" s="27">
        <v>0.75268492846727431</v>
      </c>
      <c r="J806" s="27">
        <v>0.24731507153272575</v>
      </c>
      <c r="K806" s="27">
        <v>0</v>
      </c>
      <c r="L806" s="27">
        <v>6.6369291223203453E-2</v>
      </c>
      <c r="M806" s="27">
        <v>0.54088779310217405</v>
      </c>
      <c r="N806" s="27">
        <v>0.39274291567462249</v>
      </c>
      <c r="O806" s="27">
        <v>-10.99443914709871</v>
      </c>
      <c r="P806" s="27">
        <v>3.6196332601950085E-2</v>
      </c>
      <c r="Q806" s="27">
        <v>7.6808658919621123E-5</v>
      </c>
      <c r="R806" s="27">
        <v>1.0443169267997572</v>
      </c>
      <c r="S806" s="154"/>
      <c r="T806">
        <v>1.0841266108024266</v>
      </c>
      <c r="U806">
        <v>2.1821658346020789</v>
      </c>
      <c r="V806">
        <v>3.0170051987796724</v>
      </c>
      <c r="W806">
        <v>1</v>
      </c>
      <c r="Y806" s="2">
        <v>1566.9415821808702</v>
      </c>
      <c r="Z806" s="2">
        <v>5256.4383952793496</v>
      </c>
      <c r="AA806" s="2">
        <v>1149.3797457947064</v>
      </c>
      <c r="AB806" s="2">
        <v>4799.62722732156</v>
      </c>
      <c r="AC806" s="2">
        <v>1787.0876726782735</v>
      </c>
      <c r="AD806" s="2">
        <v>835.08875567402572</v>
      </c>
      <c r="AE806" s="2">
        <v>608.27076377895366</v>
      </c>
      <c r="AF806" s="2">
        <v>1329.0506046333762</v>
      </c>
      <c r="AG806" s="2">
        <v>100.16953534445149</v>
      </c>
      <c r="AH806" s="2">
        <v>362.67160136409916</v>
      </c>
      <c r="AI806" s="2">
        <v>507294.08370753331</v>
      </c>
      <c r="AJ806" s="2">
        <v>477369.90074581205</v>
      </c>
      <c r="AL806" s="27">
        <v>0.91066175533235882</v>
      </c>
      <c r="AM806" s="27">
        <v>0.91815960728665647</v>
      </c>
      <c r="AN806" s="27">
        <v>0.91719266351377904</v>
      </c>
      <c r="AO806" s="27">
        <v>0.83489362802460088</v>
      </c>
      <c r="AP806" s="27">
        <v>0.76217304725217927</v>
      </c>
      <c r="AQ806" s="27">
        <v>0.91066175533235882</v>
      </c>
      <c r="AR806" s="27">
        <v>0.91815960728665647</v>
      </c>
      <c r="AS806" s="27">
        <v>0.91719266351377904</v>
      </c>
      <c r="AT806" s="27">
        <v>0.83489362802460088</v>
      </c>
      <c r="AU806" s="27">
        <v>0.76217304725217927</v>
      </c>
      <c r="AW806" s="1">
        <v>13.61045157691872</v>
      </c>
      <c r="AX806" s="1">
        <v>15.527580643651275</v>
      </c>
      <c r="AY806" s="2">
        <v>2116106.5934860446</v>
      </c>
      <c r="AZ806" s="1">
        <v>15.586445265135776</v>
      </c>
      <c r="BA806" s="1">
        <v>17.485785050682477</v>
      </c>
      <c r="BB806" s="2">
        <v>1483381.6175067197</v>
      </c>
      <c r="BC806" s="2">
        <f t="shared" si="91"/>
        <v>-632724.9759793249</v>
      </c>
      <c r="BD806" s="292">
        <f t="shared" si="92"/>
        <v>1.9759936882170557</v>
      </c>
      <c r="BF806" s="170">
        <f t="shared" si="87"/>
        <v>61565.658820950892</v>
      </c>
      <c r="BG806" s="2">
        <f t="shared" si="88"/>
        <v>1010449.6249150047</v>
      </c>
      <c r="BI806">
        <f t="shared" si="89"/>
        <v>0</v>
      </c>
      <c r="BJ806" s="95">
        <f t="shared" si="90"/>
        <v>1</v>
      </c>
      <c r="BP806" s="217">
        <f t="shared" si="93"/>
        <v>1010449.6249150047</v>
      </c>
    </row>
    <row r="807" spans="1:68">
      <c r="A807" s="11">
        <v>801</v>
      </c>
      <c r="C807" s="27">
        <v>0.92648784324459776</v>
      </c>
      <c r="D807" s="27">
        <v>7.3512156755402264E-2</v>
      </c>
      <c r="E807" s="27">
        <v>0</v>
      </c>
      <c r="F807" s="27">
        <v>0.85452164028037236</v>
      </c>
      <c r="G807" s="27">
        <v>0.14547835971962764</v>
      </c>
      <c r="H807" s="27">
        <v>0</v>
      </c>
      <c r="I807" s="27">
        <v>0.75362490452698827</v>
      </c>
      <c r="J807" s="27">
        <v>0.24637509547301176</v>
      </c>
      <c r="K807" s="27">
        <v>0</v>
      </c>
      <c r="L807" s="27">
        <v>8.3998637592894054E-2</v>
      </c>
      <c r="M807" s="27">
        <v>0.57496627370823628</v>
      </c>
      <c r="N807" s="27">
        <v>0.34103508869886967</v>
      </c>
      <c r="O807" s="27">
        <v>-11.310301155177434</v>
      </c>
      <c r="P807" s="27">
        <v>3.8923149113482658E-2</v>
      </c>
      <c r="Q807" s="27">
        <v>6.2801670004762998E-5</v>
      </c>
      <c r="R807" s="27">
        <v>1.0579490365953574</v>
      </c>
      <c r="S807" s="154"/>
      <c r="T807">
        <v>1.1266381026701993</v>
      </c>
      <c r="U807">
        <v>2.2890631054761386</v>
      </c>
      <c r="V807">
        <v>3.0120793469914737</v>
      </c>
      <c r="W807">
        <v>1</v>
      </c>
      <c r="Y807" s="2">
        <v>284.94431148460734</v>
      </c>
      <c r="Z807" s="2">
        <v>438.76119344038847</v>
      </c>
      <c r="AA807" s="2">
        <v>4777.3976428966544</v>
      </c>
      <c r="AB807" s="2">
        <v>2107.3240513590695</v>
      </c>
      <c r="AC807" s="2">
        <v>2279.9861124316462</v>
      </c>
      <c r="AD807" s="2">
        <v>1813.8656477419804</v>
      </c>
      <c r="AE807" s="2">
        <v>576.32658003037568</v>
      </c>
      <c r="AF807" s="2">
        <v>1419.9242144747332</v>
      </c>
      <c r="AG807" s="2">
        <v>90.754187583341235</v>
      </c>
      <c r="AH807" s="2">
        <v>308.3329918884794</v>
      </c>
      <c r="AI807" s="2">
        <v>506413.74434677436</v>
      </c>
      <c r="AJ807" s="2">
        <v>458627.6425938594</v>
      </c>
      <c r="AL807" s="27">
        <v>0.92074971845167086</v>
      </c>
      <c r="AM807" s="27">
        <v>0.91739074003955157</v>
      </c>
      <c r="AN807" s="27">
        <v>0.89892913241864203</v>
      </c>
      <c r="AO807" s="27">
        <v>0.86280699083246348</v>
      </c>
      <c r="AP807" s="27">
        <v>0.723290538425027</v>
      </c>
      <c r="AQ807" s="27">
        <v>0.92074971845167086</v>
      </c>
      <c r="AR807" s="27">
        <v>0.91739074003955157</v>
      </c>
      <c r="AS807" s="27">
        <v>0.89892913241864203</v>
      </c>
      <c r="AT807" s="27">
        <v>0.86280699083246348</v>
      </c>
      <c r="AU807" s="27">
        <v>0.723290538425027</v>
      </c>
      <c r="AW807" s="1">
        <v>13.724422140406928</v>
      </c>
      <c r="AX807" s="1">
        <v>15.794084092351568</v>
      </c>
      <c r="AY807" s="2">
        <v>2217395.9948158665</v>
      </c>
      <c r="AZ807" s="1">
        <v>15.749549932835617</v>
      </c>
      <c r="BA807" s="1">
        <v>17.737389541980164</v>
      </c>
      <c r="BB807" s="2">
        <v>1602624.9495402265</v>
      </c>
      <c r="BC807" s="2">
        <f t="shared" si="91"/>
        <v>-614771.04527563998</v>
      </c>
      <c r="BD807" s="292">
        <f t="shared" si="92"/>
        <v>2.0251277924286892</v>
      </c>
      <c r="BF807" s="170">
        <f t="shared" si="87"/>
        <v>-21488.452350758016</v>
      </c>
      <c r="BG807" s="2">
        <f t="shared" si="88"/>
        <v>917303.03971347236</v>
      </c>
      <c r="BI807">
        <f t="shared" si="89"/>
        <v>0</v>
      </c>
      <c r="BJ807" s="95">
        <f t="shared" si="90"/>
        <v>1</v>
      </c>
      <c r="BP807" s="217">
        <f t="shared" si="93"/>
        <v>917303.03971347236</v>
      </c>
    </row>
    <row r="808" spans="1:68">
      <c r="A808" s="11">
        <v>802</v>
      </c>
      <c r="C808" s="27">
        <v>0.92273298375666091</v>
      </c>
      <c r="D808" s="27">
        <v>7.7267016243339093E-2</v>
      </c>
      <c r="E808" s="27">
        <v>0</v>
      </c>
      <c r="F808" s="27">
        <v>0.85977170510107315</v>
      </c>
      <c r="G808" s="27">
        <v>0.14022829489892685</v>
      </c>
      <c r="H808" s="27">
        <v>0</v>
      </c>
      <c r="I808" s="27">
        <v>0.74915100005392121</v>
      </c>
      <c r="J808" s="27">
        <v>0.25084899994607879</v>
      </c>
      <c r="K808" s="27">
        <v>0</v>
      </c>
      <c r="L808" s="27">
        <v>0.20802753940932778</v>
      </c>
      <c r="M808" s="27">
        <v>0.46557199219820239</v>
      </c>
      <c r="N808" s="27">
        <v>0.32640046839246978</v>
      </c>
      <c r="O808" s="27">
        <v>-11.125216999063145</v>
      </c>
      <c r="P808" s="27">
        <v>3.5535487251318019E-2</v>
      </c>
      <c r="Q808" s="27">
        <v>6.5548086836245839E-5</v>
      </c>
      <c r="R808" s="27">
        <v>1.0647802503507606</v>
      </c>
      <c r="S808" s="154"/>
      <c r="T808">
        <v>1.0103209559534536</v>
      </c>
      <c r="U808">
        <v>2.3636819440284089</v>
      </c>
      <c r="V808">
        <v>2.7050466720585455</v>
      </c>
      <c r="W808">
        <v>1</v>
      </c>
      <c r="Y808" s="2">
        <v>766.80066606665389</v>
      </c>
      <c r="Z808" s="2">
        <v>2661.3711551748406</v>
      </c>
      <c r="AA808" s="2">
        <v>3090.2310624570205</v>
      </c>
      <c r="AB808" s="2">
        <v>42.37176431578051</v>
      </c>
      <c r="AC808" s="2">
        <v>2734.3046584628914</v>
      </c>
      <c r="AD808" s="2">
        <v>512.34778381657929</v>
      </c>
      <c r="AE808" s="2">
        <v>554.06863271412203</v>
      </c>
      <c r="AF808" s="2">
        <v>949.56309512326459</v>
      </c>
      <c r="AG808" s="2">
        <v>192.29494703727346</v>
      </c>
      <c r="AH808" s="2">
        <v>345.92844990305412</v>
      </c>
      <c r="AI808" s="2">
        <v>612052.61136538128</v>
      </c>
      <c r="AJ808" s="2">
        <v>564001.89550807304</v>
      </c>
      <c r="AL808" s="27">
        <v>0.90882144354944339</v>
      </c>
      <c r="AM808" s="27">
        <v>0.91535533798988433</v>
      </c>
      <c r="AN808" s="27">
        <v>0.90782039360845379</v>
      </c>
      <c r="AO808" s="27">
        <v>0.85421368694567346</v>
      </c>
      <c r="AP808" s="27">
        <v>0.68689297036028618</v>
      </c>
      <c r="AQ808" s="27">
        <v>0.90882144354944339</v>
      </c>
      <c r="AR808" s="27">
        <v>0.91535533798988433</v>
      </c>
      <c r="AS808" s="27">
        <v>0.90782039360845379</v>
      </c>
      <c r="AT808" s="27">
        <v>0.85421368694567346</v>
      </c>
      <c r="AU808" s="27">
        <v>0.68689297036028618</v>
      </c>
      <c r="AW808" s="1">
        <v>13.500286706548158</v>
      </c>
      <c r="AX808" s="1">
        <v>15.692136600946084</v>
      </c>
      <c r="AY808" s="2">
        <v>2382551.9187313942</v>
      </c>
      <c r="AZ808" s="1">
        <v>15.359662077979962</v>
      </c>
      <c r="BA808" s="1">
        <v>17.474495631030166</v>
      </c>
      <c r="BB808" s="2">
        <v>1674116.8475152773</v>
      </c>
      <c r="BC808" s="2">
        <f t="shared" si="91"/>
        <v>-708435.07121611689</v>
      </c>
      <c r="BD808" s="292">
        <f t="shared" si="92"/>
        <v>1.8593753714318044</v>
      </c>
      <c r="BF808" s="170">
        <f t="shared" si="87"/>
        <v>-222506.04568368895</v>
      </c>
      <c r="BG808" s="2">
        <f t="shared" si="88"/>
        <v>783429.08496151655</v>
      </c>
      <c r="BI808">
        <f t="shared" si="89"/>
        <v>0</v>
      </c>
      <c r="BJ808" s="95">
        <f t="shared" si="90"/>
        <v>1</v>
      </c>
      <c r="BP808" s="217">
        <f t="shared" si="93"/>
        <v>783429.08496151655</v>
      </c>
    </row>
    <row r="809" spans="1:68">
      <c r="A809" s="11">
        <v>803</v>
      </c>
      <c r="C809" s="27">
        <v>0.92349166804398664</v>
      </c>
      <c r="D809" s="27">
        <v>7.6508331956013378E-2</v>
      </c>
      <c r="E809" s="27">
        <v>0</v>
      </c>
      <c r="F809" s="27">
        <v>0.85689546815658657</v>
      </c>
      <c r="G809" s="27">
        <v>0.14310453184341343</v>
      </c>
      <c r="H809" s="27">
        <v>0</v>
      </c>
      <c r="I809" s="27">
        <v>0.74900111186296447</v>
      </c>
      <c r="J809" s="27">
        <v>0.25099888813703553</v>
      </c>
      <c r="K809" s="27">
        <v>0</v>
      </c>
      <c r="L809" s="27">
        <v>0.15233414557141428</v>
      </c>
      <c r="M809" s="27">
        <v>0.48773936126071504</v>
      </c>
      <c r="N809" s="27">
        <v>0.35992649316787068</v>
      </c>
      <c r="O809" s="27">
        <v>-10.914831255169396</v>
      </c>
      <c r="P809" s="27">
        <v>3.636171009598909E-2</v>
      </c>
      <c r="Q809" s="27">
        <v>8.3752927626323107E-5</v>
      </c>
      <c r="R809" s="27">
        <v>1.0292055266478881</v>
      </c>
      <c r="S809" s="154"/>
      <c r="T809">
        <v>0.8942249632796242</v>
      </c>
      <c r="U809">
        <v>2.2405892314141611</v>
      </c>
      <c r="V809">
        <v>3.0514901634864726</v>
      </c>
      <c r="W809">
        <v>1</v>
      </c>
      <c r="Y809" s="2">
        <v>457.05278799615189</v>
      </c>
      <c r="Z809" s="2">
        <v>1232.2720932104523</v>
      </c>
      <c r="AA809" s="2">
        <v>1348.1682958555784</v>
      </c>
      <c r="AB809" s="2">
        <v>640.84672804224317</v>
      </c>
      <c r="AC809" s="2">
        <v>1309.2457484166625</v>
      </c>
      <c r="AD809" s="2">
        <v>1949.189413420447</v>
      </c>
      <c r="AE809" s="2">
        <v>550.90522432033765</v>
      </c>
      <c r="AF809" s="2">
        <v>989.44676057181925</v>
      </c>
      <c r="AG809" s="2">
        <v>130.22714330778282</v>
      </c>
      <c r="AH809" s="2">
        <v>419.69208210136452</v>
      </c>
      <c r="AI809" s="2">
        <v>489795.94317240804</v>
      </c>
      <c r="AJ809" s="2">
        <v>465137.48074759828</v>
      </c>
      <c r="AL809" s="27">
        <v>0.91502759051577276</v>
      </c>
      <c r="AM809" s="27">
        <v>0.91166603776207367</v>
      </c>
      <c r="AN809" s="27">
        <v>0.91646861186486439</v>
      </c>
      <c r="AO809" s="27">
        <v>0.87481426935738893</v>
      </c>
      <c r="AP809" s="27">
        <v>0.71598344076280307</v>
      </c>
      <c r="AQ809" s="27">
        <v>0.91502759051577276</v>
      </c>
      <c r="AR809" s="27">
        <v>0.91166603776207367</v>
      </c>
      <c r="AS809" s="27">
        <v>0.91646861186486439</v>
      </c>
      <c r="AT809" s="27">
        <v>0.87481426935738893</v>
      </c>
      <c r="AU809" s="27">
        <v>0.71598344076280307</v>
      </c>
      <c r="AW809" s="1">
        <v>14.02152864924067</v>
      </c>
      <c r="AX809" s="1">
        <v>16.045295162927527</v>
      </c>
      <c r="AY809" s="2">
        <v>1861775.4621445825</v>
      </c>
      <c r="AZ809" s="1">
        <v>15.486123169343864</v>
      </c>
      <c r="BA809" s="1">
        <v>17.472292405061836</v>
      </c>
      <c r="BB809" s="2">
        <v>1431693.4525885379</v>
      </c>
      <c r="BC809" s="2">
        <f t="shared" si="91"/>
        <v>-430082.00955604459</v>
      </c>
      <c r="BD809" s="292">
        <f t="shared" si="92"/>
        <v>1.4645945201031942</v>
      </c>
      <c r="BF809" s="170">
        <f t="shared" si="87"/>
        <v>381669.12173392484</v>
      </c>
      <c r="BG809" s="2">
        <f t="shared" si="88"/>
        <v>1046086.2545064802</v>
      </c>
      <c r="BI809">
        <f t="shared" si="89"/>
        <v>0</v>
      </c>
      <c r="BJ809" s="95">
        <f t="shared" si="90"/>
        <v>1</v>
      </c>
      <c r="BP809" s="217">
        <f t="shared" si="93"/>
        <v>1046086.2545064802</v>
      </c>
    </row>
    <row r="810" spans="1:68">
      <c r="A810" s="11">
        <v>804</v>
      </c>
      <c r="C810" s="27">
        <v>0.92387375579478281</v>
      </c>
      <c r="D810" s="27">
        <v>7.6126244205217158E-2</v>
      </c>
      <c r="E810" s="27">
        <v>0</v>
      </c>
      <c r="F810" s="27">
        <v>0.85806531614236614</v>
      </c>
      <c r="G810" s="27">
        <v>0.14193468385763386</v>
      </c>
      <c r="H810" s="27">
        <v>0</v>
      </c>
      <c r="I810" s="27">
        <v>0.74338800843552943</v>
      </c>
      <c r="J810" s="27">
        <v>0.25661199156447057</v>
      </c>
      <c r="K810" s="27">
        <v>0</v>
      </c>
      <c r="L810" s="27">
        <v>7.766378055420109E-2</v>
      </c>
      <c r="M810" s="27">
        <v>0.5147668795369823</v>
      </c>
      <c r="N810" s="27">
        <v>0.40756933990881661</v>
      </c>
      <c r="O810" s="27">
        <v>-11.092969136162889</v>
      </c>
      <c r="P810" s="27">
        <v>3.4181323655503838E-2</v>
      </c>
      <c r="Q810" s="27">
        <v>6.3953548511774794E-5</v>
      </c>
      <c r="R810" s="27">
        <v>1.0717077570689031</v>
      </c>
      <c r="S810" s="154"/>
      <c r="T810">
        <v>1.0258985946525505</v>
      </c>
      <c r="U810">
        <v>2.2500318228409153</v>
      </c>
      <c r="V810">
        <v>2.6438279797762476</v>
      </c>
      <c r="W810">
        <v>1</v>
      </c>
      <c r="Y810" s="2">
        <v>319.91202923151019</v>
      </c>
      <c r="Z810" s="2">
        <v>2272.4875490310401</v>
      </c>
      <c r="AA810" s="2">
        <v>611.39263390603958</v>
      </c>
      <c r="AB810" s="2">
        <v>396.71340534632429</v>
      </c>
      <c r="AC810" s="2">
        <v>635.54169063912934</v>
      </c>
      <c r="AD810" s="2">
        <v>1042.8574917590199</v>
      </c>
      <c r="AE810" s="2">
        <v>569.98576494316092</v>
      </c>
      <c r="AF810" s="2">
        <v>989.90818721523954</v>
      </c>
      <c r="AG810" s="2">
        <v>115.74571566276065</v>
      </c>
      <c r="AH810" s="2">
        <v>722.27659775132565</v>
      </c>
      <c r="AI810" s="2">
        <v>356700.04698573251</v>
      </c>
      <c r="AJ810" s="2">
        <v>318409.09111498029</v>
      </c>
      <c r="AL810" s="27">
        <v>0.91524947174218363</v>
      </c>
      <c r="AM810" s="27">
        <v>0.91543262557857574</v>
      </c>
      <c r="AN810" s="27">
        <v>0.91239114133770549</v>
      </c>
      <c r="AO810" s="27">
        <v>0.89044727205094176</v>
      </c>
      <c r="AP810" s="27">
        <v>0.71467237659147587</v>
      </c>
      <c r="AQ810" s="27">
        <v>0.91524947174218363</v>
      </c>
      <c r="AR810" s="27">
        <v>0.91543262557857574</v>
      </c>
      <c r="AS810" s="27">
        <v>0.91239114133770549</v>
      </c>
      <c r="AT810" s="27">
        <v>0.89044727205094176</v>
      </c>
      <c r="AU810" s="27">
        <v>0.71467237659147587</v>
      </c>
      <c r="AW810" s="1">
        <v>13.499524273770469</v>
      </c>
      <c r="AX810" s="1">
        <v>15.448570951349664</v>
      </c>
      <c r="AY810" s="2">
        <v>1265107.1937428599</v>
      </c>
      <c r="AZ810" s="1">
        <v>15.34759724073659</v>
      </c>
      <c r="BA810" s="1">
        <v>17.268191277056477</v>
      </c>
      <c r="BB810" s="2">
        <v>913632.15950037027</v>
      </c>
      <c r="BC810" s="2">
        <f t="shared" si="91"/>
        <v>-351475.03424248961</v>
      </c>
      <c r="BD810" s="292">
        <f t="shared" si="92"/>
        <v>1.8480729669661216</v>
      </c>
      <c r="BF810" s="170">
        <f t="shared" si="87"/>
        <v>894816.69006041507</v>
      </c>
      <c r="BG810" s="2">
        <f t="shared" si="88"/>
        <v>1541983.3990174839</v>
      </c>
      <c r="BI810">
        <f t="shared" si="89"/>
        <v>0</v>
      </c>
      <c r="BJ810" s="95">
        <f t="shared" si="90"/>
        <v>1</v>
      </c>
      <c r="BP810" s="217">
        <f t="shared" si="93"/>
        <v>1541983.3990174839</v>
      </c>
    </row>
    <row r="811" spans="1:68">
      <c r="A811" s="11">
        <v>805</v>
      </c>
      <c r="C811" s="27">
        <v>0.92469356350059251</v>
      </c>
      <c r="D811" s="27">
        <v>7.530643649940752E-2</v>
      </c>
      <c r="E811" s="27">
        <v>0</v>
      </c>
      <c r="F811" s="27">
        <v>0.86505057657709494</v>
      </c>
      <c r="G811" s="27">
        <v>0.13494942342290503</v>
      </c>
      <c r="H811" s="27">
        <v>0</v>
      </c>
      <c r="I811" s="27">
        <v>0.75305802586611326</v>
      </c>
      <c r="J811" s="27">
        <v>0.24694197413388669</v>
      </c>
      <c r="K811" s="27">
        <v>0</v>
      </c>
      <c r="L811" s="27">
        <v>0.16634586025431508</v>
      </c>
      <c r="M811" s="27">
        <v>0.49026432875301929</v>
      </c>
      <c r="N811" s="27">
        <v>0.34338981099266563</v>
      </c>
      <c r="O811" s="27">
        <v>-11.085572594505157</v>
      </c>
      <c r="P811" s="27">
        <v>3.3000193398523663E-2</v>
      </c>
      <c r="Q811" s="27">
        <v>6.1310191558643643E-5</v>
      </c>
      <c r="R811" s="27">
        <v>1.0816989110255544</v>
      </c>
      <c r="S811" s="154"/>
      <c r="T811">
        <v>1.0433206893823297</v>
      </c>
      <c r="U811">
        <v>2.2368753576423712</v>
      </c>
      <c r="V811">
        <v>2.987127372728009</v>
      </c>
      <c r="W811">
        <v>1</v>
      </c>
      <c r="Y811" s="2">
        <v>1293.1931491620294</v>
      </c>
      <c r="Z811" s="2">
        <v>1231.5350105272685</v>
      </c>
      <c r="AA811" s="2">
        <v>703.65295183397791</v>
      </c>
      <c r="AB811" s="2">
        <v>3035.3453751768848</v>
      </c>
      <c r="AC811" s="2">
        <v>490.96142024921414</v>
      </c>
      <c r="AD811" s="2">
        <v>574.60345765872751</v>
      </c>
      <c r="AE811" s="2">
        <v>594.54896862643204</v>
      </c>
      <c r="AF811" s="2">
        <v>797.45123500716397</v>
      </c>
      <c r="AG811" s="2">
        <v>91.7395553595385</v>
      </c>
      <c r="AH811" s="2">
        <v>278.58972156551374</v>
      </c>
      <c r="AI811" s="2">
        <v>397126.43551120703</v>
      </c>
      <c r="AJ811" s="2">
        <v>365970.46269923297</v>
      </c>
      <c r="AL811" s="27">
        <v>0.91397770001894518</v>
      </c>
      <c r="AM811" s="27">
        <v>0.91578294057843723</v>
      </c>
      <c r="AN811" s="27">
        <v>0.90896059495987958</v>
      </c>
      <c r="AO811" s="27">
        <v>0.8403147785305447</v>
      </c>
      <c r="AP811" s="27">
        <v>0.65837089196978882</v>
      </c>
      <c r="AQ811" s="27">
        <v>0.91397770001894518</v>
      </c>
      <c r="AR811" s="27">
        <v>0.91578294057843723</v>
      </c>
      <c r="AS811" s="27">
        <v>0.90896059495987958</v>
      </c>
      <c r="AT811" s="27">
        <v>0.8403147785305447</v>
      </c>
      <c r="AU811" s="27">
        <v>0.65837089196978882</v>
      </c>
      <c r="AW811" s="1">
        <v>13.386239460559429</v>
      </c>
      <c r="AX811" s="1">
        <v>15.590920954127164</v>
      </c>
      <c r="AY811" s="2">
        <v>1474607.6293294539</v>
      </c>
      <c r="AZ811" s="1">
        <v>15.39690894282295</v>
      </c>
      <c r="BA811" s="1">
        <v>17.49978508807235</v>
      </c>
      <c r="BB811" s="2">
        <v>1058740.9875348839</v>
      </c>
      <c r="BC811" s="2">
        <f t="shared" si="91"/>
        <v>-415866.64179457002</v>
      </c>
      <c r="BD811" s="292">
        <f t="shared" si="92"/>
        <v>2.0106694822635216</v>
      </c>
      <c r="BF811" s="170">
        <f t="shared" si="87"/>
        <v>667190.68436005455</v>
      </c>
      <c r="BG811" s="2">
        <f t="shared" si="88"/>
        <v>1404764.4433167879</v>
      </c>
      <c r="BI811">
        <f t="shared" si="89"/>
        <v>0</v>
      </c>
      <c r="BJ811" s="95">
        <f t="shared" si="90"/>
        <v>1</v>
      </c>
      <c r="BP811" s="217">
        <f t="shared" si="93"/>
        <v>1404764.4433167879</v>
      </c>
    </row>
    <row r="812" spans="1:68">
      <c r="A812" s="11">
        <v>806</v>
      </c>
      <c r="C812" s="27">
        <v>0.92345264420344275</v>
      </c>
      <c r="D812" s="27">
        <v>7.6547355796557193E-2</v>
      </c>
      <c r="E812" s="27">
        <v>0</v>
      </c>
      <c r="F812" s="27">
        <v>0.85251474266675398</v>
      </c>
      <c r="G812" s="27">
        <v>0.14748525733324602</v>
      </c>
      <c r="H812" s="27">
        <v>0</v>
      </c>
      <c r="I812" s="27">
        <v>0.74766594861534541</v>
      </c>
      <c r="J812" s="27">
        <v>0.25233405138465459</v>
      </c>
      <c r="K812" s="27">
        <v>0</v>
      </c>
      <c r="L812" s="27">
        <v>0.28483362575653665</v>
      </c>
      <c r="M812" s="27">
        <v>0.40923283513295988</v>
      </c>
      <c r="N812" s="27">
        <v>0.30593353911050342</v>
      </c>
      <c r="O812" s="27">
        <v>-10.910074573192183</v>
      </c>
      <c r="P812" s="27">
        <v>3.2867711697796495E-2</v>
      </c>
      <c r="Q812" s="27">
        <v>7.2666456075960796E-5</v>
      </c>
      <c r="R812" s="27">
        <v>1.0485333991094221</v>
      </c>
      <c r="S812" s="154"/>
      <c r="T812">
        <v>1.1484034616976186</v>
      </c>
      <c r="U812">
        <v>2.2347750480284603</v>
      </c>
      <c r="V812">
        <v>2.7947857250675052</v>
      </c>
      <c r="W812">
        <v>1</v>
      </c>
      <c r="Y812" s="2">
        <v>653.71478898337057</v>
      </c>
      <c r="Z812" s="2">
        <v>3588.9909413688347</v>
      </c>
      <c r="AA812" s="2">
        <v>894.39684554902055</v>
      </c>
      <c r="AB812" s="2">
        <v>2648.6677153670448</v>
      </c>
      <c r="AC812" s="2">
        <v>281.69942513600478</v>
      </c>
      <c r="AD812" s="2">
        <v>40.099540834343387</v>
      </c>
      <c r="AE812" s="2">
        <v>485.82251621097453</v>
      </c>
      <c r="AF812" s="2">
        <v>1220.8383139876908</v>
      </c>
      <c r="AG812" s="2">
        <v>62.748399918338876</v>
      </c>
      <c r="AH812" s="2">
        <v>465.55365478022674</v>
      </c>
      <c r="AI812" s="2">
        <v>422577.71004359989</v>
      </c>
      <c r="AJ812" s="2">
        <v>403911.1366267883</v>
      </c>
      <c r="AL812" s="27">
        <v>0.92416125282980566</v>
      </c>
      <c r="AM812" s="27">
        <v>0.91413390418812768</v>
      </c>
      <c r="AN812" s="27">
        <v>0.9073390061233968</v>
      </c>
      <c r="AO812" s="27">
        <v>0.85133371741725583</v>
      </c>
      <c r="AP812" s="27">
        <v>0.65400371574021676</v>
      </c>
      <c r="AQ812" s="27">
        <v>0.92416125282980566</v>
      </c>
      <c r="AR812" s="27">
        <v>0.91413390418812768</v>
      </c>
      <c r="AS812" s="27">
        <v>0.9073390061233968</v>
      </c>
      <c r="AT812" s="27">
        <v>0.85133371741725583</v>
      </c>
      <c r="AU812" s="27">
        <v>0.65400371574021676</v>
      </c>
      <c r="AW812" s="1">
        <v>13.183619081886762</v>
      </c>
      <c r="AX812" s="1">
        <v>15.37484985405003</v>
      </c>
      <c r="AY812" s="2">
        <v>1778019.1891738481</v>
      </c>
      <c r="AZ812" s="1">
        <v>15.375683698020131</v>
      </c>
      <c r="BA812" s="1">
        <v>17.434194357652519</v>
      </c>
      <c r="BB812" s="2">
        <v>1225579.7290016364</v>
      </c>
      <c r="BC812" s="2">
        <f t="shared" si="91"/>
        <v>-552439.46017221175</v>
      </c>
      <c r="BD812" s="292">
        <f t="shared" si="92"/>
        <v>2.1920646161333686</v>
      </c>
      <c r="BF812" s="170">
        <f t="shared" si="87"/>
        <v>331359.86392803374</v>
      </c>
      <c r="BG812" s="2">
        <f t="shared" si="88"/>
        <v>1234529.6626815845</v>
      </c>
      <c r="BI812">
        <f t="shared" si="89"/>
        <v>0</v>
      </c>
      <c r="BJ812" s="95">
        <f t="shared" si="90"/>
        <v>1</v>
      </c>
      <c r="BP812" s="217">
        <f t="shared" si="93"/>
        <v>1234529.6626815845</v>
      </c>
    </row>
    <row r="813" spans="1:68">
      <c r="A813" s="11">
        <v>807</v>
      </c>
      <c r="C813" s="27">
        <v>0.92356520430009548</v>
      </c>
      <c r="D813" s="27">
        <v>7.6434795699904481E-2</v>
      </c>
      <c r="E813" s="27">
        <v>0</v>
      </c>
      <c r="F813" s="27">
        <v>0.85328573465174695</v>
      </c>
      <c r="G813" s="27">
        <v>0.14671426534825305</v>
      </c>
      <c r="H813" s="27">
        <v>0</v>
      </c>
      <c r="I813" s="27">
        <v>0.75092417193847583</v>
      </c>
      <c r="J813" s="27">
        <v>0.24907582806152423</v>
      </c>
      <c r="K813" s="27">
        <v>0</v>
      </c>
      <c r="L813" s="27">
        <v>2.5130110214543089E-2</v>
      </c>
      <c r="M813" s="27">
        <v>0.64352002421647636</v>
      </c>
      <c r="N813" s="27">
        <v>0.33134986556898055</v>
      </c>
      <c r="O813" s="27">
        <v>-10.595023339136715</v>
      </c>
      <c r="P813" s="27">
        <v>3.0775210729337421E-2</v>
      </c>
      <c r="Q813" s="27">
        <v>9.1199194924558948E-5</v>
      </c>
      <c r="R813" s="27">
        <v>1.0306054048141065</v>
      </c>
      <c r="S813" s="154"/>
      <c r="T813">
        <v>1.1150829733935674</v>
      </c>
      <c r="U813">
        <v>2.1901136305602407</v>
      </c>
      <c r="V813">
        <v>3.1094133512420634</v>
      </c>
      <c r="W813">
        <v>1</v>
      </c>
      <c r="Y813" s="2">
        <v>535.16140707056684</v>
      </c>
      <c r="Z813" s="2">
        <v>7384.1619914337207</v>
      </c>
      <c r="AA813" s="2">
        <v>13.938410020564081</v>
      </c>
      <c r="AB813" s="2">
        <v>1138.5124918905542</v>
      </c>
      <c r="AC813" s="2">
        <v>2756.3595206618393</v>
      </c>
      <c r="AD813" s="2">
        <v>326.38257390373138</v>
      </c>
      <c r="AE813" s="2">
        <v>604.44671469236312</v>
      </c>
      <c r="AF813" s="2">
        <v>879.26323404949255</v>
      </c>
      <c r="AG813" s="2">
        <v>146.68767506561053</v>
      </c>
      <c r="AH813" s="2">
        <v>344.24907169659883</v>
      </c>
      <c r="AI813" s="2">
        <v>638240.89740121609</v>
      </c>
      <c r="AJ813" s="2">
        <v>596604.51444181765</v>
      </c>
      <c r="AL813" s="27">
        <v>0.91006911003231827</v>
      </c>
      <c r="AM813" s="27">
        <v>0.91630514666633189</v>
      </c>
      <c r="AN813" s="27">
        <v>0.90859073905020715</v>
      </c>
      <c r="AO813" s="27">
        <v>0.85454566700752521</v>
      </c>
      <c r="AP813" s="27">
        <v>0.66120195754144628</v>
      </c>
      <c r="AQ813" s="27">
        <v>0.91006911003231827</v>
      </c>
      <c r="AR813" s="27">
        <v>0.91630514666633189</v>
      </c>
      <c r="AS813" s="27">
        <v>0.90859073905020715</v>
      </c>
      <c r="AT813" s="27">
        <v>0.85454566700752521</v>
      </c>
      <c r="AU813" s="27">
        <v>0.66120195754144628</v>
      </c>
      <c r="AW813" s="1">
        <v>13.341408524587239</v>
      </c>
      <c r="AX813" s="1">
        <v>15.760875589074791</v>
      </c>
      <c r="AY813" s="2">
        <v>3033370.7332357131</v>
      </c>
      <c r="AZ813" s="1">
        <v>15.415711712749543</v>
      </c>
      <c r="BA813" s="1">
        <v>17.675173978794231</v>
      </c>
      <c r="BB813" s="2">
        <v>1984724.133341322</v>
      </c>
      <c r="BC813" s="2">
        <f t="shared" si="91"/>
        <v>-1048646.5998943911</v>
      </c>
      <c r="BD813" s="292">
        <f t="shared" si="92"/>
        <v>2.074303188162304</v>
      </c>
      <c r="BF813" s="170">
        <f t="shared" si="87"/>
        <v>-898745.36930175498</v>
      </c>
      <c r="BG813" s="2">
        <f t="shared" si="88"/>
        <v>481789.74069860508</v>
      </c>
      <c r="BI813">
        <f t="shared" si="89"/>
        <v>0</v>
      </c>
      <c r="BJ813" s="95">
        <f t="shared" si="90"/>
        <v>1</v>
      </c>
      <c r="BP813" s="217">
        <f t="shared" si="93"/>
        <v>481789.74069860508</v>
      </c>
    </row>
    <row r="814" spans="1:68">
      <c r="A814" s="11">
        <v>808</v>
      </c>
      <c r="C814" s="27">
        <v>0.91893039794909237</v>
      </c>
      <c r="D814" s="27">
        <v>8.106960205090763E-2</v>
      </c>
      <c r="E814" s="27">
        <v>0</v>
      </c>
      <c r="F814" s="27">
        <v>0.85713927496473619</v>
      </c>
      <c r="G814" s="27">
        <v>0.14286072503526381</v>
      </c>
      <c r="H814" s="27">
        <v>0</v>
      </c>
      <c r="I814" s="27">
        <v>0.74972996779001033</v>
      </c>
      <c r="J814" s="27">
        <v>0.25027003220998967</v>
      </c>
      <c r="K814" s="27">
        <v>0</v>
      </c>
      <c r="L814" s="27">
        <v>5.1256653681349906E-2</v>
      </c>
      <c r="M814" s="27">
        <v>0.55641877653025085</v>
      </c>
      <c r="N814" s="27">
        <v>0.39232456978839925</v>
      </c>
      <c r="O814" s="27">
        <v>-11.34081001441354</v>
      </c>
      <c r="P814" s="27">
        <v>3.8981108604778346E-2</v>
      </c>
      <c r="Q814" s="27">
        <v>6.1063060260070813E-5</v>
      </c>
      <c r="R814" s="27">
        <v>1.0678522077240933</v>
      </c>
      <c r="S814" s="154"/>
      <c r="T814">
        <v>1.0575533587780892</v>
      </c>
      <c r="U814">
        <v>2.2925276777224379</v>
      </c>
      <c r="V814">
        <v>3.0622824854705577</v>
      </c>
      <c r="W814">
        <v>1</v>
      </c>
      <c r="Y814" s="2">
        <v>538.60037427251541</v>
      </c>
      <c r="Z814" s="2">
        <v>4456.3979922005228</v>
      </c>
      <c r="AA814" s="2">
        <v>1570.1435518397893</v>
      </c>
      <c r="AB814" s="2">
        <v>15873.543364507263</v>
      </c>
      <c r="AC814" s="2">
        <v>408.61815558239192</v>
      </c>
      <c r="AD814" s="2">
        <v>1733.3529271792891</v>
      </c>
      <c r="AE814" s="2">
        <v>582.35062732931499</v>
      </c>
      <c r="AF814" s="2">
        <v>906.69673938331027</v>
      </c>
      <c r="AG814" s="2">
        <v>88.70600614487509</v>
      </c>
      <c r="AH814" s="2">
        <v>392.36656007544877</v>
      </c>
      <c r="AI814" s="2">
        <v>466440.46051929641</v>
      </c>
      <c r="AJ814" s="2">
        <v>448103.92972266232</v>
      </c>
      <c r="AL814" s="27">
        <v>0.91214189950114177</v>
      </c>
      <c r="AM814" s="27">
        <v>0.91656791433948503</v>
      </c>
      <c r="AN814" s="27">
        <v>0.91836228475101611</v>
      </c>
      <c r="AO814" s="27">
        <v>0.87095488179669756</v>
      </c>
      <c r="AP814" s="27">
        <v>0.78869752773457558</v>
      </c>
      <c r="AQ814" s="27">
        <v>0.91214189950114177</v>
      </c>
      <c r="AR814" s="27">
        <v>0.91656791433948503</v>
      </c>
      <c r="AS814" s="27">
        <v>0.91836228475101611</v>
      </c>
      <c r="AT814" s="27">
        <v>0.87095488179669756</v>
      </c>
      <c r="AU814" s="27">
        <v>0.78869752773457558</v>
      </c>
      <c r="AW814" s="1">
        <v>13.551640557149694</v>
      </c>
      <c r="AX814" s="1">
        <v>15.351920847885408</v>
      </c>
      <c r="AY814" s="2">
        <v>2039933.0221860029</v>
      </c>
      <c r="AZ814" s="1">
        <v>15.512302527365124</v>
      </c>
      <c r="BA814" s="1">
        <v>17.327953445803768</v>
      </c>
      <c r="BB814" s="2">
        <v>1672223.9460941374</v>
      </c>
      <c r="BC814" s="2">
        <f t="shared" si="91"/>
        <v>-367709.07609186554</v>
      </c>
      <c r="BD814" s="292">
        <f t="shared" si="92"/>
        <v>1.9606619702154298</v>
      </c>
      <c r="BF814" s="170">
        <f t="shared" si="87"/>
        <v>128329.46695794794</v>
      </c>
      <c r="BG814" s="2">
        <f t="shared" si="88"/>
        <v>809744.45828428236</v>
      </c>
      <c r="BI814">
        <f t="shared" si="89"/>
        <v>0</v>
      </c>
      <c r="BJ814" s="95">
        <f t="shared" si="90"/>
        <v>1</v>
      </c>
      <c r="BP814" s="217">
        <f t="shared" si="93"/>
        <v>809744.45828428236</v>
      </c>
    </row>
    <row r="815" spans="1:68">
      <c r="A815" s="11">
        <v>809</v>
      </c>
      <c r="C815" s="27">
        <v>0.92157839653377216</v>
      </c>
      <c r="D815" s="27">
        <v>7.8421603466227841E-2</v>
      </c>
      <c r="E815" s="27">
        <v>0</v>
      </c>
      <c r="F815" s="27">
        <v>0.86158506062979789</v>
      </c>
      <c r="G815" s="27">
        <v>0.13841493937020213</v>
      </c>
      <c r="H815" s="27">
        <v>0</v>
      </c>
      <c r="I815" s="27">
        <v>0.7575148254971763</v>
      </c>
      <c r="J815" s="27">
        <v>0.2424851745028237</v>
      </c>
      <c r="K815" s="27">
        <v>0</v>
      </c>
      <c r="L815" s="27">
        <v>0.16248645552670804</v>
      </c>
      <c r="M815" s="27">
        <v>0.45235629989151055</v>
      </c>
      <c r="N815" s="27">
        <v>0.38515724458178147</v>
      </c>
      <c r="O815" s="27">
        <v>-10.968226411599666</v>
      </c>
      <c r="P815" s="27">
        <v>3.5528055529648356E-2</v>
      </c>
      <c r="Q815" s="27">
        <v>7.6666318474655136E-5</v>
      </c>
      <c r="R815" s="27">
        <v>1.0426391118221314</v>
      </c>
      <c r="S815" s="154"/>
      <c r="T815">
        <v>1.0029078696765996</v>
      </c>
      <c r="U815">
        <v>2.3143897916559908</v>
      </c>
      <c r="V815">
        <v>2.9547813644177801</v>
      </c>
      <c r="W815">
        <v>1</v>
      </c>
      <c r="Y815" s="2">
        <v>80.64654703491216</v>
      </c>
      <c r="Z815" s="2">
        <v>5698.7641145035059</v>
      </c>
      <c r="AA815" s="2">
        <v>417.59168995534753</v>
      </c>
      <c r="AB815" s="2">
        <v>9309.8702953172287</v>
      </c>
      <c r="AC815" s="2">
        <v>1886.0589839836939</v>
      </c>
      <c r="AD815" s="2">
        <v>3811.6567141847654</v>
      </c>
      <c r="AE815" s="2">
        <v>512.23599043242427</v>
      </c>
      <c r="AF815" s="2">
        <v>1069.3958886461544</v>
      </c>
      <c r="AG815" s="2">
        <v>124.40728901750251</v>
      </c>
      <c r="AH815" s="2">
        <v>217.36136157280922</v>
      </c>
      <c r="AI815" s="2">
        <v>403760.90818213241</v>
      </c>
      <c r="AJ815" s="2">
        <v>371790.39405199315</v>
      </c>
      <c r="AL815" s="27">
        <v>0.92110370556220067</v>
      </c>
      <c r="AM815" s="27">
        <v>0.91734746242776732</v>
      </c>
      <c r="AN815" s="27">
        <v>0.90414520343674554</v>
      </c>
      <c r="AO815" s="27">
        <v>0.84102842240121611</v>
      </c>
      <c r="AP815" s="27">
        <v>0.74814262464491099</v>
      </c>
      <c r="AQ815" s="27">
        <v>0.92110370556220067</v>
      </c>
      <c r="AR815" s="27">
        <v>0.91734746242776732</v>
      </c>
      <c r="AS815" s="27">
        <v>0.90414520343674554</v>
      </c>
      <c r="AT815" s="27">
        <v>0.84102842240121611</v>
      </c>
      <c r="AU815" s="27">
        <v>0.74814262464491099</v>
      </c>
      <c r="AW815" s="1">
        <v>13.613626583493421</v>
      </c>
      <c r="AX815" s="1">
        <v>15.447048846688832</v>
      </c>
      <c r="AY815" s="2">
        <v>1539299.9729804753</v>
      </c>
      <c r="AZ815" s="1">
        <v>15.500746430730555</v>
      </c>
      <c r="BA815" s="1">
        <v>17.331367245018413</v>
      </c>
      <c r="BB815" s="2">
        <v>1232564.0903190642</v>
      </c>
      <c r="BC815" s="2">
        <f t="shared" si="91"/>
        <v>-306735.88266141107</v>
      </c>
      <c r="BD815" s="292">
        <f t="shared" si="92"/>
        <v>1.887119847237134</v>
      </c>
      <c r="BF815" s="170">
        <f t="shared" si="87"/>
        <v>638880.28037847183</v>
      </c>
      <c r="BG815" s="2">
        <f t="shared" si="88"/>
        <v>1247555.3385978246</v>
      </c>
      <c r="BI815">
        <f t="shared" si="89"/>
        <v>0</v>
      </c>
      <c r="BJ815" s="95">
        <f t="shared" si="90"/>
        <v>1</v>
      </c>
      <c r="BP815" s="217">
        <f t="shared" si="93"/>
        <v>1247555.3385978246</v>
      </c>
    </row>
    <row r="816" spans="1:68">
      <c r="A816" s="11">
        <v>810</v>
      </c>
      <c r="C816" s="27">
        <v>0.92057879534122888</v>
      </c>
      <c r="D816" s="27">
        <v>7.9421204658771116E-2</v>
      </c>
      <c r="E816" s="27">
        <v>0</v>
      </c>
      <c r="F816" s="27">
        <v>0.86097296971064197</v>
      </c>
      <c r="G816" s="27">
        <v>0.13902703028935801</v>
      </c>
      <c r="H816" s="27">
        <v>0</v>
      </c>
      <c r="I816" s="27">
        <v>0.75502037431261715</v>
      </c>
      <c r="J816" s="27">
        <v>0.24497962568738288</v>
      </c>
      <c r="K816" s="27">
        <v>0</v>
      </c>
      <c r="L816" s="27">
        <v>0.16865617924857196</v>
      </c>
      <c r="M816" s="27">
        <v>0.52580915869383027</v>
      </c>
      <c r="N816" s="27">
        <v>0.30553466205759777</v>
      </c>
      <c r="O816" s="27">
        <v>-11.588618836766544</v>
      </c>
      <c r="P816" s="27">
        <v>3.7360084961270308E-2</v>
      </c>
      <c r="Q816" s="27">
        <v>4.4523417627221908E-5</v>
      </c>
      <c r="R816" s="27">
        <v>1.1125170022808597</v>
      </c>
      <c r="S816" s="154"/>
      <c r="T816">
        <v>1.0640229864600317</v>
      </c>
      <c r="U816">
        <v>2.2739988596204297</v>
      </c>
      <c r="V816">
        <v>2.9925405618795149</v>
      </c>
      <c r="W816">
        <v>1</v>
      </c>
      <c r="Y816" s="2">
        <v>685.1102633481612</v>
      </c>
      <c r="Z816" s="2">
        <v>2665.0163031529969</v>
      </c>
      <c r="AA816" s="2">
        <v>3207.8843940033858</v>
      </c>
      <c r="AB816" s="2">
        <v>1663.6732018482473</v>
      </c>
      <c r="AC816" s="2">
        <v>2238.9409625602348</v>
      </c>
      <c r="AD816" s="2">
        <v>108.39619200462737</v>
      </c>
      <c r="AE816" s="2">
        <v>572.89095337422805</v>
      </c>
      <c r="AF816" s="2">
        <v>1217.4840699208557</v>
      </c>
      <c r="AG816" s="2">
        <v>160.1904309648136</v>
      </c>
      <c r="AH816" s="2">
        <v>352.65711391847816</v>
      </c>
      <c r="AI816" s="2">
        <v>509486.22735405667</v>
      </c>
      <c r="AJ816" s="2">
        <v>447896.08010533324</v>
      </c>
      <c r="AL816" s="27">
        <v>0.9201283746138772</v>
      </c>
      <c r="AM816" s="27">
        <v>0.91282323813290311</v>
      </c>
      <c r="AN816" s="27">
        <v>0.90575007536739915</v>
      </c>
      <c r="AO816" s="27">
        <v>0.84565088535021782</v>
      </c>
      <c r="AP816" s="27">
        <v>0.66621867224277009</v>
      </c>
      <c r="AQ816" s="27">
        <v>0.9201283746138772</v>
      </c>
      <c r="AR816" s="27">
        <v>0.91282323813290311</v>
      </c>
      <c r="AS816" s="27">
        <v>0.90575007536739915</v>
      </c>
      <c r="AT816" s="27">
        <v>0.84565088535021782</v>
      </c>
      <c r="AU816" s="27">
        <v>0.66621867224277009</v>
      </c>
      <c r="AW816" s="1">
        <v>13.382514952698388</v>
      </c>
      <c r="AX816" s="1">
        <v>15.621943784043241</v>
      </c>
      <c r="AY816" s="2">
        <v>2058847.7448973272</v>
      </c>
      <c r="AZ816" s="1">
        <v>15.429820729943234</v>
      </c>
      <c r="BA816" s="1">
        <v>17.547576350715374</v>
      </c>
      <c r="BB816" s="2">
        <v>1441536.6357469554</v>
      </c>
      <c r="BC816" s="2">
        <f t="shared" si="91"/>
        <v>-617311.10915037175</v>
      </c>
      <c r="BD816" s="292">
        <f t="shared" si="92"/>
        <v>2.047305777244846</v>
      </c>
      <c r="BF816" s="170">
        <f t="shared" si="87"/>
        <v>82354.647534414893</v>
      </c>
      <c r="BG816" s="2">
        <f t="shared" si="88"/>
        <v>1027234.681043962</v>
      </c>
      <c r="BI816">
        <f t="shared" si="89"/>
        <v>0</v>
      </c>
      <c r="BJ816" s="95">
        <f t="shared" si="90"/>
        <v>1</v>
      </c>
      <c r="BP816" s="217">
        <f t="shared" si="93"/>
        <v>1027234.681043962</v>
      </c>
    </row>
    <row r="817" spans="1:68">
      <c r="A817" s="11">
        <v>811</v>
      </c>
      <c r="C817" s="27">
        <v>0.92255183145358954</v>
      </c>
      <c r="D817" s="27">
        <v>7.7448168546410456E-2</v>
      </c>
      <c r="E817" s="27">
        <v>0</v>
      </c>
      <c r="F817" s="27">
        <v>0.8615810967211287</v>
      </c>
      <c r="G817" s="27">
        <v>0.1384189032788713</v>
      </c>
      <c r="H817" s="27">
        <v>0</v>
      </c>
      <c r="I817" s="27">
        <v>0.74441053345167352</v>
      </c>
      <c r="J817" s="27">
        <v>0.25558946654832648</v>
      </c>
      <c r="K817" s="27">
        <v>0</v>
      </c>
      <c r="L817" s="27">
        <v>3.0688439262112399E-2</v>
      </c>
      <c r="M817" s="27">
        <v>0.53594699456902384</v>
      </c>
      <c r="N817" s="27">
        <v>0.43336456616886376</v>
      </c>
      <c r="O817" s="27">
        <v>-11.081827018293657</v>
      </c>
      <c r="P817" s="27">
        <v>3.5546574286396654E-2</v>
      </c>
      <c r="Q817" s="27">
        <v>6.8486706428617122E-5</v>
      </c>
      <c r="R817" s="27">
        <v>1.0478326628286105</v>
      </c>
      <c r="S817" s="154"/>
      <c r="T817">
        <v>0.9064674238961915</v>
      </c>
      <c r="U817">
        <v>2.2946436027118229</v>
      </c>
      <c r="V817">
        <v>3.2414883071693334</v>
      </c>
      <c r="W817">
        <v>1</v>
      </c>
      <c r="Y817" s="2">
        <v>3227.3569207957862</v>
      </c>
      <c r="Z817" s="2">
        <v>8738.4699299846834</v>
      </c>
      <c r="AA817" s="2">
        <v>1958.6029015777688</v>
      </c>
      <c r="AB817" s="2">
        <v>4223.9105875739388</v>
      </c>
      <c r="AC817" s="2">
        <v>2058.0934467731377</v>
      </c>
      <c r="AD817" s="2">
        <v>99.578934012998275</v>
      </c>
      <c r="AE817" s="2">
        <v>553.24633542446941</v>
      </c>
      <c r="AF817" s="2">
        <v>1045.9665058154394</v>
      </c>
      <c r="AG817" s="2">
        <v>104.7048655560328</v>
      </c>
      <c r="AH817" s="2">
        <v>466.27223554969498</v>
      </c>
      <c r="AI817" s="2">
        <v>593248.1983354548</v>
      </c>
      <c r="AJ817" s="2">
        <v>561488.67864318844</v>
      </c>
      <c r="AL817" s="27">
        <v>0.91013172143424448</v>
      </c>
      <c r="AM817" s="27">
        <v>0.91447490747513172</v>
      </c>
      <c r="AN817" s="27">
        <v>0.90887091893750982</v>
      </c>
      <c r="AO817" s="27">
        <v>0.88634287249795485</v>
      </c>
      <c r="AP817" s="27">
        <v>0.67217424495488798</v>
      </c>
      <c r="AQ817" s="27">
        <v>0.91013172143424448</v>
      </c>
      <c r="AR817" s="27">
        <v>0.91447490747513172</v>
      </c>
      <c r="AS817" s="27">
        <v>0.90887091893750982</v>
      </c>
      <c r="AT817" s="27">
        <v>0.88634287249795485</v>
      </c>
      <c r="AU817" s="27">
        <v>0.67217424495488798</v>
      </c>
      <c r="AW817" s="1">
        <v>13.621571036958798</v>
      </c>
      <c r="AX817" s="1">
        <v>15.794325817662914</v>
      </c>
      <c r="AY817" s="2">
        <v>2374874.5822151308</v>
      </c>
      <c r="AZ817" s="1">
        <v>15.254045467091952</v>
      </c>
      <c r="BA817" s="1">
        <v>17.358523691805008</v>
      </c>
      <c r="BB817" s="2">
        <v>1708868.1517980346</v>
      </c>
      <c r="BC817" s="2">
        <f t="shared" si="91"/>
        <v>-666006.43041709624</v>
      </c>
      <c r="BD817" s="292">
        <f t="shared" si="92"/>
        <v>1.6324744301331542</v>
      </c>
      <c r="BF817" s="170">
        <f t="shared" si="87"/>
        <v>-195423.21630172292</v>
      </c>
      <c r="BG817" s="2">
        <f t="shared" si="88"/>
        <v>731779.12293667765</v>
      </c>
      <c r="BI817">
        <f t="shared" si="89"/>
        <v>0</v>
      </c>
      <c r="BJ817" s="95">
        <f t="shared" si="90"/>
        <v>1</v>
      </c>
      <c r="BP817" s="217">
        <f t="shared" si="93"/>
        <v>731779.12293667765</v>
      </c>
    </row>
    <row r="818" spans="1:68">
      <c r="A818" s="11">
        <v>812</v>
      </c>
      <c r="C818" s="27">
        <v>0.92385993289600254</v>
      </c>
      <c r="D818" s="27">
        <v>7.6140067103997469E-2</v>
      </c>
      <c r="E818" s="27">
        <v>0</v>
      </c>
      <c r="F818" s="27">
        <v>0.85830345875952085</v>
      </c>
      <c r="G818" s="27">
        <v>0.14169654124047909</v>
      </c>
      <c r="H818" s="27">
        <v>0</v>
      </c>
      <c r="I818" s="27">
        <v>0.74676944900011233</v>
      </c>
      <c r="J818" s="27">
        <v>0.25323055099988767</v>
      </c>
      <c r="K818" s="27">
        <v>0</v>
      </c>
      <c r="L818" s="27">
        <v>0.15493928134244883</v>
      </c>
      <c r="M818" s="27">
        <v>0.44670127179365732</v>
      </c>
      <c r="N818" s="27">
        <v>0.3983594468638938</v>
      </c>
      <c r="O818" s="27">
        <v>-11.501173268598667</v>
      </c>
      <c r="P818" s="27">
        <v>3.6098567202230904E-2</v>
      </c>
      <c r="Q818" s="27">
        <v>4.6084520461049334E-5</v>
      </c>
      <c r="R818" s="27">
        <v>1.1047044159977901</v>
      </c>
      <c r="S818" s="154"/>
      <c r="T818">
        <v>1.0163306289873382</v>
      </c>
      <c r="U818">
        <v>2.2202144883942001</v>
      </c>
      <c r="V818">
        <v>2.9732653024424636</v>
      </c>
      <c r="W818">
        <v>1</v>
      </c>
      <c r="Y818" s="2">
        <v>928.98295814062965</v>
      </c>
      <c r="Z818" s="2">
        <v>4915.9906695529862</v>
      </c>
      <c r="AA818" s="2">
        <v>874.14056070308357</v>
      </c>
      <c r="AB818" s="2">
        <v>2142.5403087246723</v>
      </c>
      <c r="AC818" s="2">
        <v>1163.3116478259444</v>
      </c>
      <c r="AD818" s="2">
        <v>71.130446792007305</v>
      </c>
      <c r="AE818" s="2">
        <v>586.41465796632724</v>
      </c>
      <c r="AF818" s="2">
        <v>1121.0747803289255</v>
      </c>
      <c r="AG818" s="2">
        <v>77.237681364697707</v>
      </c>
      <c r="AH818" s="2">
        <v>440.6884425807026</v>
      </c>
      <c r="AI818" s="2">
        <v>344062.13764575706</v>
      </c>
      <c r="AJ818" s="2">
        <v>316266.57871983515</v>
      </c>
      <c r="AL818" s="27">
        <v>0.9135139402787974</v>
      </c>
      <c r="AM818" s="27">
        <v>0.91691868912871477</v>
      </c>
      <c r="AN818" s="27">
        <v>0.89845797218413392</v>
      </c>
      <c r="AO818" s="27">
        <v>0.8795566182025043</v>
      </c>
      <c r="AP818" s="27">
        <v>0.65557664170561791</v>
      </c>
      <c r="AQ818" s="27">
        <v>0.9135139402787974</v>
      </c>
      <c r="AR818" s="27">
        <v>0.91691868912871477</v>
      </c>
      <c r="AS818" s="27">
        <v>0.89845797218413392</v>
      </c>
      <c r="AT818" s="27">
        <v>0.8795566182025043</v>
      </c>
      <c r="AU818" s="27">
        <v>0.65557664170561791</v>
      </c>
      <c r="AW818" s="1">
        <v>13.210305344363464</v>
      </c>
      <c r="AX818" s="1">
        <v>15.320173429417666</v>
      </c>
      <c r="AY818" s="2">
        <v>1242630.0967399674</v>
      </c>
      <c r="AZ818" s="1">
        <v>15.145477083384128</v>
      </c>
      <c r="BA818" s="1">
        <v>17.196919460613191</v>
      </c>
      <c r="BB818" s="2">
        <v>870731.65104053169</v>
      </c>
      <c r="BC818" s="2">
        <f t="shared" si="91"/>
        <v>-371898.44569943566</v>
      </c>
      <c r="BD818" s="292">
        <f t="shared" si="92"/>
        <v>1.9351717390206638</v>
      </c>
      <c r="BF818" s="170">
        <f t="shared" si="87"/>
        <v>871018.75835818704</v>
      </c>
      <c r="BG818" s="2">
        <f t="shared" si="88"/>
        <v>1552544.6823009285</v>
      </c>
      <c r="BI818">
        <f t="shared" si="89"/>
        <v>0</v>
      </c>
      <c r="BJ818" s="95">
        <f t="shared" si="90"/>
        <v>1</v>
      </c>
      <c r="BP818" s="217">
        <f t="shared" si="93"/>
        <v>1552544.6823009285</v>
      </c>
    </row>
    <row r="819" spans="1:68">
      <c r="A819" s="11">
        <v>813</v>
      </c>
      <c r="C819" s="27">
        <v>0.92281239810306648</v>
      </c>
      <c r="D819" s="27">
        <v>7.7187601896933522E-2</v>
      </c>
      <c r="E819" s="27">
        <v>0</v>
      </c>
      <c r="F819" s="27">
        <v>0.85681032625860032</v>
      </c>
      <c r="G819" s="27">
        <v>0.14318967374139968</v>
      </c>
      <c r="H819" s="27">
        <v>0</v>
      </c>
      <c r="I819" s="27">
        <v>0.75261195154331983</v>
      </c>
      <c r="J819" s="27">
        <v>0.24738804845668022</v>
      </c>
      <c r="K819" s="27">
        <v>0</v>
      </c>
      <c r="L819" s="27">
        <v>0.23133937289840734</v>
      </c>
      <c r="M819" s="27">
        <v>0.41622219523713522</v>
      </c>
      <c r="N819" s="27">
        <v>0.35243843186445745</v>
      </c>
      <c r="O819" s="27">
        <v>-11.489536672130392</v>
      </c>
      <c r="P819" s="27">
        <v>3.6971055552617531E-2</v>
      </c>
      <c r="Q819" s="27">
        <v>4.836412012335488E-5</v>
      </c>
      <c r="R819" s="27">
        <v>1.096941874708532</v>
      </c>
      <c r="S819" s="154"/>
      <c r="T819">
        <v>1.0981687368939541</v>
      </c>
      <c r="U819">
        <v>2.2355090805059468</v>
      </c>
      <c r="V819">
        <v>2.9380582611594415</v>
      </c>
      <c r="W819">
        <v>1</v>
      </c>
      <c r="Y819" s="2">
        <v>1550.3869575175618</v>
      </c>
      <c r="Z819" s="2">
        <v>653.90196499796127</v>
      </c>
      <c r="AA819" s="2">
        <v>270.96774556208959</v>
      </c>
      <c r="AB819" s="2">
        <v>2244.6868659413831</v>
      </c>
      <c r="AC819" s="2">
        <v>102.00996984142401</v>
      </c>
      <c r="AD819" s="2">
        <v>766.85856731663921</v>
      </c>
      <c r="AE819" s="2">
        <v>605.32060010765349</v>
      </c>
      <c r="AF819" s="2">
        <v>888.08944173343889</v>
      </c>
      <c r="AG819" s="2">
        <v>120.01781934562452</v>
      </c>
      <c r="AH819" s="2">
        <v>375.85345395650899</v>
      </c>
      <c r="AI819" s="2">
        <v>484438.05088125757</v>
      </c>
      <c r="AJ819" s="2">
        <v>451437.44445669209</v>
      </c>
      <c r="AL819" s="27">
        <v>0.92002711174292429</v>
      </c>
      <c r="AM819" s="27">
        <v>0.90365779431979998</v>
      </c>
      <c r="AN819" s="27">
        <v>0.90795554772173703</v>
      </c>
      <c r="AO819" s="27">
        <v>0.8226675818454483</v>
      </c>
      <c r="AP819" s="27">
        <v>0.56640121448123548</v>
      </c>
      <c r="AQ819" s="27">
        <v>0.92002711174292429</v>
      </c>
      <c r="AR819" s="27">
        <v>0.90365779431979998</v>
      </c>
      <c r="AS819" s="27">
        <v>0.90795554772173703</v>
      </c>
      <c r="AT819" s="27">
        <v>0.8226675818454483</v>
      </c>
      <c r="AU819" s="27">
        <v>0.56640121448123548</v>
      </c>
      <c r="AW819" s="1">
        <v>12.756385303846956</v>
      </c>
      <c r="AX819" s="1">
        <v>15.201689758531247</v>
      </c>
      <c r="AY819" s="2">
        <v>1784667.4089687266</v>
      </c>
      <c r="AZ819" s="1">
        <v>15.00462132332629</v>
      </c>
      <c r="BA819" s="1">
        <v>17.278379987047799</v>
      </c>
      <c r="BB819" s="2">
        <v>1245160.3497618218</v>
      </c>
      <c r="BC819" s="2">
        <f t="shared" si="91"/>
        <v>-539507.05920690484</v>
      </c>
      <c r="BD819" s="292">
        <f t="shared" si="92"/>
        <v>2.248236019479334</v>
      </c>
      <c r="BF819" s="170">
        <f t="shared" si="87"/>
        <v>256354.23964678636</v>
      </c>
      <c r="BG819" s="2">
        <f t="shared" si="88"/>
        <v>1155579.0619703848</v>
      </c>
      <c r="BI819">
        <f t="shared" si="89"/>
        <v>0</v>
      </c>
      <c r="BJ819" s="95">
        <f t="shared" si="90"/>
        <v>1</v>
      </c>
      <c r="BP819" s="217">
        <f t="shared" si="93"/>
        <v>1155579.0619703848</v>
      </c>
    </row>
    <row r="820" spans="1:68">
      <c r="A820" s="11">
        <v>814</v>
      </c>
      <c r="C820" s="27">
        <v>0.92093948965519179</v>
      </c>
      <c r="D820" s="27">
        <v>7.906051034480821E-2</v>
      </c>
      <c r="E820" s="27">
        <v>0</v>
      </c>
      <c r="F820" s="27">
        <v>0.86066987202969936</v>
      </c>
      <c r="G820" s="27">
        <v>0.13933012797030067</v>
      </c>
      <c r="H820" s="27">
        <v>0</v>
      </c>
      <c r="I820" s="27">
        <v>0.74907444162513626</v>
      </c>
      <c r="J820" s="27">
        <v>0.25092555837486374</v>
      </c>
      <c r="K820" s="27">
        <v>0</v>
      </c>
      <c r="L820" s="27">
        <v>5.3415413065841189E-2</v>
      </c>
      <c r="M820" s="27">
        <v>0.53559599157936955</v>
      </c>
      <c r="N820" s="27">
        <v>0.41098859535478927</v>
      </c>
      <c r="O820" s="27">
        <v>-11.213097703002006</v>
      </c>
      <c r="P820" s="27">
        <v>3.1805246004186001E-2</v>
      </c>
      <c r="Q820" s="27">
        <v>5.1327834462027748E-5</v>
      </c>
      <c r="R820" s="27">
        <v>1.098790404806637</v>
      </c>
      <c r="S820" s="154"/>
      <c r="T820">
        <v>0.99082012246824314</v>
      </c>
      <c r="U820">
        <v>2.2162911692642133</v>
      </c>
      <c r="V820">
        <v>2.7294542500646424</v>
      </c>
      <c r="W820">
        <v>1</v>
      </c>
      <c r="Y820" s="2">
        <v>164.02020974151955</v>
      </c>
      <c r="Z820" s="2">
        <v>3512.4758627618794</v>
      </c>
      <c r="AA820" s="2">
        <v>1181.839342643648</v>
      </c>
      <c r="AB820" s="2">
        <v>4210.323508623108</v>
      </c>
      <c r="AC820" s="2">
        <v>989.83429350321819</v>
      </c>
      <c r="AD820" s="2">
        <v>1142.4296114793983</v>
      </c>
      <c r="AE820" s="2">
        <v>535.68290409297231</v>
      </c>
      <c r="AF820" s="2">
        <v>1010.8700331664587</v>
      </c>
      <c r="AG820" s="2">
        <v>187.60619233841706</v>
      </c>
      <c r="AH820" s="2">
        <v>302.8757415717028</v>
      </c>
      <c r="AI820" s="2">
        <v>553876.51955870131</v>
      </c>
      <c r="AJ820" s="2">
        <v>505201.79645229346</v>
      </c>
      <c r="AL820" s="27">
        <v>0.91761782918909895</v>
      </c>
      <c r="AM820" s="27">
        <v>0.91116616674046136</v>
      </c>
      <c r="AN820" s="27">
        <v>0.90590316067346222</v>
      </c>
      <c r="AO820" s="27">
        <v>0.8445943854426593</v>
      </c>
      <c r="AP820" s="27">
        <v>0.6488323482723275</v>
      </c>
      <c r="AQ820" s="27">
        <v>0.91761782918909895</v>
      </c>
      <c r="AR820" s="27">
        <v>0.91116616674046136</v>
      </c>
      <c r="AS820" s="27">
        <v>0.90590316067346222</v>
      </c>
      <c r="AT820" s="27">
        <v>0.8445943854426593</v>
      </c>
      <c r="AU820" s="27">
        <v>0.6488323482723275</v>
      </c>
      <c r="AW820" s="1">
        <v>13.283692200644824</v>
      </c>
      <c r="AX820" s="1">
        <v>15.454105934638244</v>
      </c>
      <c r="AY820" s="2">
        <v>1984233.0263047146</v>
      </c>
      <c r="AZ820" s="1">
        <v>15.131552523811147</v>
      </c>
      <c r="BA820" s="1">
        <v>17.226119216452354</v>
      </c>
      <c r="BB820" s="2">
        <v>1486905.0674791415</v>
      </c>
      <c r="BC820" s="2">
        <f t="shared" si="91"/>
        <v>-497327.95882557309</v>
      </c>
      <c r="BD820" s="292">
        <f t="shared" si="92"/>
        <v>1.8478603231663229</v>
      </c>
      <c r="BF820" s="170">
        <f t="shared" si="87"/>
        <v>141157.72579845716</v>
      </c>
      <c r="BG820" s="2">
        <f t="shared" si="88"/>
        <v>934143.33633064199</v>
      </c>
      <c r="BI820">
        <f t="shared" si="89"/>
        <v>0</v>
      </c>
      <c r="BJ820" s="95">
        <f t="shared" si="90"/>
        <v>1</v>
      </c>
      <c r="BP820" s="217">
        <f t="shared" si="93"/>
        <v>934143.33633064199</v>
      </c>
    </row>
    <row r="821" spans="1:68">
      <c r="A821" s="11">
        <v>815</v>
      </c>
      <c r="C821" s="27">
        <v>0.9268609892747528</v>
      </c>
      <c r="D821" s="27">
        <v>7.3139010725247158E-2</v>
      </c>
      <c r="E821" s="27">
        <v>0</v>
      </c>
      <c r="F821" s="27">
        <v>0.86431414487523439</v>
      </c>
      <c r="G821" s="27">
        <v>0.13568585512476564</v>
      </c>
      <c r="H821" s="27">
        <v>0</v>
      </c>
      <c r="I821" s="27">
        <v>0.74903922062556638</v>
      </c>
      <c r="J821" s="27">
        <v>0.25096077937443362</v>
      </c>
      <c r="K821" s="27">
        <v>0</v>
      </c>
      <c r="L821" s="27">
        <v>0.11264398730224334</v>
      </c>
      <c r="M821" s="27">
        <v>0.55741490586279241</v>
      </c>
      <c r="N821" s="27">
        <v>0.32994110683496425</v>
      </c>
      <c r="O821" s="27">
        <v>-11.145940839063355</v>
      </c>
      <c r="P821" s="27">
        <v>3.5109753309480483E-2</v>
      </c>
      <c r="Q821" s="27">
        <v>6.3065846171481428E-5</v>
      </c>
      <c r="R821" s="27">
        <v>1.0701371697852384</v>
      </c>
      <c r="S821" s="154"/>
      <c r="T821">
        <v>0.99078820898070874</v>
      </c>
      <c r="U821">
        <v>2.1990754694374446</v>
      </c>
      <c r="V821">
        <v>3.1403602107225863</v>
      </c>
      <c r="W821">
        <v>1</v>
      </c>
      <c r="Y821" s="2">
        <v>630.78207284843006</v>
      </c>
      <c r="Z821" s="2">
        <v>3326.0715166970872</v>
      </c>
      <c r="AA821" s="2">
        <v>2506.2583069755619</v>
      </c>
      <c r="AB821" s="2">
        <v>15425.220235154657</v>
      </c>
      <c r="AC821" s="2">
        <v>1439.6798244601405</v>
      </c>
      <c r="AD821" s="2">
        <v>1702.4355940432065</v>
      </c>
      <c r="AE821" s="2">
        <v>444.08111212880402</v>
      </c>
      <c r="AF821" s="2">
        <v>1087.2095623568771</v>
      </c>
      <c r="AG821" s="2">
        <v>80.885464281904376</v>
      </c>
      <c r="AH821" s="2">
        <v>547.64571805372134</v>
      </c>
      <c r="AI821" s="2">
        <v>432353.12171158037</v>
      </c>
      <c r="AJ821" s="2">
        <v>402178.47562408721</v>
      </c>
      <c r="AL821" s="27">
        <v>0.91955826620889347</v>
      </c>
      <c r="AM821" s="27">
        <v>0.91834927323479065</v>
      </c>
      <c r="AN821" s="27">
        <v>0.90747143906330741</v>
      </c>
      <c r="AO821" s="27">
        <v>0.87495517682176227</v>
      </c>
      <c r="AP821" s="27">
        <v>0.68881847083204661</v>
      </c>
      <c r="AQ821" s="27">
        <v>0.91955826620889347</v>
      </c>
      <c r="AR821" s="27">
        <v>0.91834927323479065</v>
      </c>
      <c r="AS821" s="27">
        <v>0.90747143906330741</v>
      </c>
      <c r="AT821" s="27">
        <v>0.87495517682176227</v>
      </c>
      <c r="AU821" s="27">
        <v>0.68881847083204661</v>
      </c>
      <c r="AW821" s="1">
        <v>13.972365418364204</v>
      </c>
      <c r="AX821" s="1">
        <v>16.088620113257765</v>
      </c>
      <c r="AY821" s="2">
        <v>1756285.5150354805</v>
      </c>
      <c r="AZ821" s="1">
        <v>15.708283060729565</v>
      </c>
      <c r="BA821" s="1">
        <v>17.733115392048948</v>
      </c>
      <c r="BB821" s="2">
        <v>1526829.5176010625</v>
      </c>
      <c r="BC821" s="2">
        <f t="shared" si="91"/>
        <v>-229455.99743441795</v>
      </c>
      <c r="BD821" s="292">
        <f t="shared" si="92"/>
        <v>1.7359176423653615</v>
      </c>
      <c r="BF821" s="170">
        <f t="shared" si="87"/>
        <v>479292.95190279209</v>
      </c>
      <c r="BG821" s="2">
        <f t="shared" si="88"/>
        <v>986495.77211566782</v>
      </c>
      <c r="BI821">
        <f t="shared" si="89"/>
        <v>0</v>
      </c>
      <c r="BJ821" s="95">
        <f t="shared" si="90"/>
        <v>1</v>
      </c>
      <c r="BP821" s="217">
        <f t="shared" si="93"/>
        <v>986495.77211566782</v>
      </c>
    </row>
    <row r="822" spans="1:68">
      <c r="A822" s="11">
        <v>816</v>
      </c>
      <c r="C822" s="27">
        <v>0.92235199618623975</v>
      </c>
      <c r="D822" s="27">
        <v>7.7648003813760247E-2</v>
      </c>
      <c r="E822" s="27">
        <v>0</v>
      </c>
      <c r="F822" s="27">
        <v>0.86388851656408017</v>
      </c>
      <c r="G822" s="27">
        <v>0.13611148343591981</v>
      </c>
      <c r="H822" s="27">
        <v>0</v>
      </c>
      <c r="I822" s="27">
        <v>0.74836636395274614</v>
      </c>
      <c r="J822" s="27">
        <v>0.25163363604725386</v>
      </c>
      <c r="K822" s="27">
        <v>0</v>
      </c>
      <c r="L822" s="27">
        <v>7.6476168823738089E-3</v>
      </c>
      <c r="M822" s="27">
        <v>0.52589394752576935</v>
      </c>
      <c r="N822" s="27">
        <v>0.46645843559185685</v>
      </c>
      <c r="O822" s="27">
        <v>-10.997139762875838</v>
      </c>
      <c r="P822" s="27">
        <v>3.3931161336073538E-2</v>
      </c>
      <c r="Q822" s="27">
        <v>6.9649782063938468E-5</v>
      </c>
      <c r="R822" s="27">
        <v>1.0596917433376345</v>
      </c>
      <c r="S822" s="154"/>
      <c r="T822">
        <v>1.0555783064933757</v>
      </c>
      <c r="U822">
        <v>2.2146226727726983</v>
      </c>
      <c r="V822">
        <v>3.0303270196410939</v>
      </c>
      <c r="W822">
        <v>1</v>
      </c>
      <c r="Y822" s="2">
        <v>1884.6150567679124</v>
      </c>
      <c r="Z822" s="2">
        <v>2425.0299360879744</v>
      </c>
      <c r="AA822" s="2">
        <v>750.62729227192597</v>
      </c>
      <c r="AB822" s="2">
        <v>3424.4342814798983</v>
      </c>
      <c r="AC822" s="2">
        <v>115.67492803134691</v>
      </c>
      <c r="AD822" s="2">
        <v>646.52577828169069</v>
      </c>
      <c r="AE822" s="2">
        <v>535.58319149478268</v>
      </c>
      <c r="AF822" s="2">
        <v>997.84876824653441</v>
      </c>
      <c r="AG822" s="2">
        <v>131.58186806262367</v>
      </c>
      <c r="AH822" s="2">
        <v>491.81226570344108</v>
      </c>
      <c r="AI822" s="2">
        <v>407903.52146487421</v>
      </c>
      <c r="AJ822" s="2">
        <v>371134.52955683303</v>
      </c>
      <c r="AL822" s="27">
        <v>0.91769020086619268</v>
      </c>
      <c r="AM822" s="27">
        <v>0.91620846583036253</v>
      </c>
      <c r="AN822" s="27">
        <v>0.91825511288319672</v>
      </c>
      <c r="AO822" s="27">
        <v>0.87008752431835901</v>
      </c>
      <c r="AP822" s="27">
        <v>0.64199708239189768</v>
      </c>
      <c r="AQ822" s="27">
        <v>0.91769020086619268</v>
      </c>
      <c r="AR822" s="27">
        <v>0.91620846583036253</v>
      </c>
      <c r="AS822" s="27">
        <v>0.91825511288319672</v>
      </c>
      <c r="AT822" s="27">
        <v>0.87008752431835901</v>
      </c>
      <c r="AU822" s="27">
        <v>0.64199708239189768</v>
      </c>
      <c r="AW822" s="1">
        <v>13.037196341738261</v>
      </c>
      <c r="AX822" s="1">
        <v>15.15860757112473</v>
      </c>
      <c r="AY822" s="2">
        <v>1461921.0183208857</v>
      </c>
      <c r="AZ822" s="1">
        <v>15.178004212470537</v>
      </c>
      <c r="BA822" s="1">
        <v>17.198793290001944</v>
      </c>
      <c r="BB822" s="2">
        <v>1054042.3425918953</v>
      </c>
      <c r="BC822" s="2">
        <f t="shared" si="91"/>
        <v>-407878.67572899046</v>
      </c>
      <c r="BD822" s="292">
        <f t="shared" si="92"/>
        <v>2.1408078707322762</v>
      </c>
      <c r="BF822" s="170">
        <f t="shared" si="87"/>
        <v>624030.39635723596</v>
      </c>
      <c r="BG822" s="2">
        <f t="shared" si="88"/>
        <v>1374438.3314033905</v>
      </c>
      <c r="BI822">
        <f t="shared" si="89"/>
        <v>0</v>
      </c>
      <c r="BJ822" s="95">
        <f t="shared" si="90"/>
        <v>1</v>
      </c>
      <c r="BP822" s="217">
        <f t="shared" si="93"/>
        <v>1374438.3314033905</v>
      </c>
    </row>
    <row r="823" spans="1:68">
      <c r="A823" s="11">
        <v>817</v>
      </c>
      <c r="C823" s="27">
        <v>0.92283704781009268</v>
      </c>
      <c r="D823" s="27">
        <v>7.7162952189907319E-2</v>
      </c>
      <c r="E823" s="27">
        <v>0</v>
      </c>
      <c r="F823" s="27">
        <v>0.85641931219083178</v>
      </c>
      <c r="G823" s="27">
        <v>0.14358068780916822</v>
      </c>
      <c r="H823" s="27">
        <v>0</v>
      </c>
      <c r="I823" s="27">
        <v>0.7521471647393787</v>
      </c>
      <c r="J823" s="27">
        <v>0.24785283526062132</v>
      </c>
      <c r="K823" s="27">
        <v>0</v>
      </c>
      <c r="L823" s="27">
        <v>8.64560989179044E-2</v>
      </c>
      <c r="M823" s="27">
        <v>0.47151921633358007</v>
      </c>
      <c r="N823" s="27">
        <v>0.44202468474851553</v>
      </c>
      <c r="O823" s="27">
        <v>-11.343135745777401</v>
      </c>
      <c r="P823" s="27">
        <v>3.5500413716743853E-2</v>
      </c>
      <c r="Q823" s="27">
        <v>5.2635573229159046E-5</v>
      </c>
      <c r="R823" s="27">
        <v>1.0914183765552521</v>
      </c>
      <c r="S823" s="154"/>
      <c r="T823">
        <v>0.97458636381035635</v>
      </c>
      <c r="U823">
        <v>2.217765779012328</v>
      </c>
      <c r="V823">
        <v>3.1333674018866806</v>
      </c>
      <c r="W823">
        <v>1</v>
      </c>
      <c r="Y823" s="2">
        <v>670.35275660774073</v>
      </c>
      <c r="Z823" s="2">
        <v>4822.6339565560938</v>
      </c>
      <c r="AA823" s="2">
        <v>1735.4883477291933</v>
      </c>
      <c r="AB823" s="2">
        <v>2625.8356556263948</v>
      </c>
      <c r="AC823" s="2">
        <v>603.84834149402525</v>
      </c>
      <c r="AD823" s="2">
        <v>949.822302058378</v>
      </c>
      <c r="AE823" s="2">
        <v>579.76962953303257</v>
      </c>
      <c r="AF823" s="2">
        <v>795.63990539091969</v>
      </c>
      <c r="AG823" s="2">
        <v>90.219351129262691</v>
      </c>
      <c r="AH823" s="2">
        <v>414.85638508073498</v>
      </c>
      <c r="AI823" s="2">
        <v>491667.90588601894</v>
      </c>
      <c r="AJ823" s="2">
        <v>456053.03936552902</v>
      </c>
      <c r="AL823" s="27">
        <v>0.91618768633716807</v>
      </c>
      <c r="AM823" s="27">
        <v>0.91528161655499163</v>
      </c>
      <c r="AN823" s="27">
        <v>0.9114875589602498</v>
      </c>
      <c r="AO823" s="27">
        <v>0.87910854135603334</v>
      </c>
      <c r="AP823" s="27">
        <v>0.85082589773267703</v>
      </c>
      <c r="AQ823" s="27">
        <v>0.91618768633716807</v>
      </c>
      <c r="AR823" s="27">
        <v>0.91528161655499163</v>
      </c>
      <c r="AS823" s="27">
        <v>0.9114875589602498</v>
      </c>
      <c r="AT823" s="27">
        <v>0.87910854135603334</v>
      </c>
      <c r="AU823" s="27">
        <v>0.85082589773267703</v>
      </c>
      <c r="AW823" s="1">
        <v>13.776381625878987</v>
      </c>
      <c r="AX823" s="1">
        <v>15.270257199605426</v>
      </c>
      <c r="AY823" s="2">
        <v>1683925.0337677398</v>
      </c>
      <c r="AZ823" s="1">
        <v>15.498809840875071</v>
      </c>
      <c r="BA823" s="1">
        <v>17.094501444575268</v>
      </c>
      <c r="BB823" s="2">
        <v>1237693.5471889959</v>
      </c>
      <c r="BC823" s="2">
        <f t="shared" si="91"/>
        <v>-446231.4865787439</v>
      </c>
      <c r="BD823" s="292">
        <f t="shared" si="92"/>
        <v>1.7224282149960839</v>
      </c>
      <c r="BF823" s="170">
        <f t="shared" si="87"/>
        <v>520296.0263728979</v>
      </c>
      <c r="BG823" s="2">
        <f t="shared" si="88"/>
        <v>1242116.0273510152</v>
      </c>
      <c r="BI823">
        <f t="shared" si="89"/>
        <v>0</v>
      </c>
      <c r="BJ823" s="95">
        <f t="shared" si="90"/>
        <v>1</v>
      </c>
      <c r="BP823" s="217">
        <f t="shared" si="93"/>
        <v>1242116.0273510152</v>
      </c>
    </row>
    <row r="824" spans="1:68">
      <c r="A824" s="11">
        <v>818</v>
      </c>
      <c r="C824" s="27">
        <v>0.92370260466858756</v>
      </c>
      <c r="D824" s="27">
        <v>7.6297395331412485E-2</v>
      </c>
      <c r="E824" s="27">
        <v>0</v>
      </c>
      <c r="F824" s="27">
        <v>0.85831860112007985</v>
      </c>
      <c r="G824" s="27">
        <v>0.14168139887992012</v>
      </c>
      <c r="H824" s="27">
        <v>0</v>
      </c>
      <c r="I824" s="27">
        <v>0.74786643390919849</v>
      </c>
      <c r="J824" s="27">
        <v>0.25213356609080151</v>
      </c>
      <c r="K824" s="27">
        <v>0</v>
      </c>
      <c r="L824" s="27">
        <v>9.7119971132031635E-2</v>
      </c>
      <c r="M824" s="27">
        <v>0.51968255231598515</v>
      </c>
      <c r="N824" s="27">
        <v>0.38319747655198322</v>
      </c>
      <c r="O824" s="27">
        <v>-11.708106625125685</v>
      </c>
      <c r="P824" s="27">
        <v>3.9435703662637218E-2</v>
      </c>
      <c r="Q824" s="27">
        <v>4.3107779802086313E-5</v>
      </c>
      <c r="R824" s="27">
        <v>1.1123446336470695</v>
      </c>
      <c r="S824" s="154"/>
      <c r="T824">
        <v>0.8977584612321734</v>
      </c>
      <c r="U824">
        <v>2.1885307480977203</v>
      </c>
      <c r="V824">
        <v>2.9732309155843639</v>
      </c>
      <c r="W824">
        <v>1</v>
      </c>
      <c r="Y824" s="2">
        <v>385.44047077490939</v>
      </c>
      <c r="Z824" s="2">
        <v>393.12791899491521</v>
      </c>
      <c r="AA824" s="2">
        <v>1337.6212973865547</v>
      </c>
      <c r="AB824" s="2">
        <v>1552.2664534079674</v>
      </c>
      <c r="AC824" s="2">
        <v>1186.331242459253</v>
      </c>
      <c r="AD824" s="2">
        <v>350.009769659526</v>
      </c>
      <c r="AE824" s="2">
        <v>624.51222816647282</v>
      </c>
      <c r="AF824" s="2">
        <v>1030.2512879148967</v>
      </c>
      <c r="AG824" s="2">
        <v>90.896835987786559</v>
      </c>
      <c r="AH824" s="2">
        <v>287.38810897964947</v>
      </c>
      <c r="AI824" s="2">
        <v>342670.52609901578</v>
      </c>
      <c r="AJ824" s="2">
        <v>320412.11142264359</v>
      </c>
      <c r="AL824" s="27">
        <v>0.9193072154649673</v>
      </c>
      <c r="AM824" s="27">
        <v>0.91498553099233537</v>
      </c>
      <c r="AN824" s="27">
        <v>0.91651545283178026</v>
      </c>
      <c r="AO824" s="27">
        <v>0.87068761384497806</v>
      </c>
      <c r="AP824" s="27">
        <v>0.69260558589656518</v>
      </c>
      <c r="AQ824" s="27">
        <v>0.9193072154649673</v>
      </c>
      <c r="AR824" s="27">
        <v>0.91498553099233537</v>
      </c>
      <c r="AS824" s="27">
        <v>0.91651545283178026</v>
      </c>
      <c r="AT824" s="27">
        <v>0.87068761384497806</v>
      </c>
      <c r="AU824" s="27">
        <v>0.69260558589656518</v>
      </c>
      <c r="AW824" s="1">
        <v>13.903856827419188</v>
      </c>
      <c r="AX824" s="1">
        <v>15.907671399355559</v>
      </c>
      <c r="AY824" s="2">
        <v>1216014.8740515925</v>
      </c>
      <c r="AZ824" s="1">
        <v>15.398239230169589</v>
      </c>
      <c r="BA824" s="1">
        <v>17.353998544527919</v>
      </c>
      <c r="BB824" s="2">
        <v>952016.69662604411</v>
      </c>
      <c r="BC824" s="2">
        <f t="shared" si="91"/>
        <v>-263998.17742554843</v>
      </c>
      <c r="BD824" s="292">
        <f t="shared" si="92"/>
        <v>1.4943824027504</v>
      </c>
      <c r="BF824" s="170">
        <f t="shared" si="87"/>
        <v>1008602.2183354774</v>
      </c>
      <c r="BG824" s="2">
        <f t="shared" si="88"/>
        <v>1511701.5802010901</v>
      </c>
      <c r="BI824">
        <f t="shared" si="89"/>
        <v>0</v>
      </c>
      <c r="BJ824" s="95">
        <f t="shared" si="90"/>
        <v>1</v>
      </c>
      <c r="BP824" s="217">
        <f t="shared" si="93"/>
        <v>1511701.5802010901</v>
      </c>
    </row>
    <row r="825" spans="1:68">
      <c r="A825" s="11">
        <v>819</v>
      </c>
      <c r="C825" s="27">
        <v>0.92237548092697108</v>
      </c>
      <c r="D825" s="27">
        <v>7.7624519073028919E-2</v>
      </c>
      <c r="E825" s="27">
        <v>0</v>
      </c>
      <c r="F825" s="27">
        <v>0.85757513343471647</v>
      </c>
      <c r="G825" s="27">
        <v>0.14242486656528355</v>
      </c>
      <c r="H825" s="27">
        <v>0</v>
      </c>
      <c r="I825" s="27">
        <v>0.75789871149784704</v>
      </c>
      <c r="J825" s="27">
        <v>0.2421012885021529</v>
      </c>
      <c r="K825" s="27">
        <v>0</v>
      </c>
      <c r="L825" s="27">
        <v>7.5851960437139709E-2</v>
      </c>
      <c r="M825" s="27">
        <v>0.54211369854447233</v>
      </c>
      <c r="N825" s="27">
        <v>0.38203434101838796</v>
      </c>
      <c r="O825" s="27">
        <v>-10.766877732312144</v>
      </c>
      <c r="P825" s="27">
        <v>3.2791853104119376E-2</v>
      </c>
      <c r="Q825" s="27">
        <v>8.3587221540831617E-5</v>
      </c>
      <c r="R825" s="27">
        <v>1.036845907376039</v>
      </c>
      <c r="S825" s="154"/>
      <c r="T825">
        <v>1.0002224935799497</v>
      </c>
      <c r="U825">
        <v>2.2373154091512188</v>
      </c>
      <c r="V825">
        <v>2.5415252068762806</v>
      </c>
      <c r="W825">
        <v>1</v>
      </c>
      <c r="Y825" s="2">
        <v>5.5108222225236565</v>
      </c>
      <c r="Z825" s="2">
        <v>12226.754042906463</v>
      </c>
      <c r="AA825" s="2">
        <v>2207.5777487355708</v>
      </c>
      <c r="AB825" s="2">
        <v>4056.2856533524432</v>
      </c>
      <c r="AC825" s="2">
        <v>439.53218194425159</v>
      </c>
      <c r="AD825" s="2">
        <v>3079.4257893774588</v>
      </c>
      <c r="AE825" s="2">
        <v>583.58476148653676</v>
      </c>
      <c r="AF825" s="2">
        <v>982.33836127861662</v>
      </c>
      <c r="AG825" s="2">
        <v>166.6187432691226</v>
      </c>
      <c r="AH825" s="2">
        <v>215.28186219286539</v>
      </c>
      <c r="AI825" s="2">
        <v>451255.31128150178</v>
      </c>
      <c r="AJ825" s="2">
        <v>422426.1156651132</v>
      </c>
      <c r="AL825" s="27">
        <v>0.91950570019082134</v>
      </c>
      <c r="AM825" s="27">
        <v>0.91722585552140723</v>
      </c>
      <c r="AN825" s="27">
        <v>0.9063588414484145</v>
      </c>
      <c r="AO825" s="27">
        <v>0.8700614437551113</v>
      </c>
      <c r="AP825" s="27">
        <v>0.58108148044119368</v>
      </c>
      <c r="AQ825" s="27">
        <v>0.91950570019082134</v>
      </c>
      <c r="AR825" s="27">
        <v>0.91722585552140723</v>
      </c>
      <c r="AS825" s="27">
        <v>0.9063588414484145</v>
      </c>
      <c r="AT825" s="27">
        <v>0.8700614437551113</v>
      </c>
      <c r="AU825" s="27">
        <v>0.58108148044119368</v>
      </c>
      <c r="AW825" s="1">
        <v>13.325708255581622</v>
      </c>
      <c r="AX825" s="1">
        <v>15.760922834596428</v>
      </c>
      <c r="AY825" s="2">
        <v>1899846.0205253696</v>
      </c>
      <c r="AZ825" s="1">
        <v>15.187254310556336</v>
      </c>
      <c r="BA825" s="1">
        <v>17.449078253465554</v>
      </c>
      <c r="BB825" s="2">
        <v>1391797.5819830222</v>
      </c>
      <c r="BC825" s="2">
        <f t="shared" si="91"/>
        <v>-508048.4385423474</v>
      </c>
      <c r="BD825" s="292">
        <f t="shared" si="92"/>
        <v>1.8615460549747134</v>
      </c>
      <c r="BF825" s="170">
        <f t="shared" si="87"/>
        <v>232267.30036768992</v>
      </c>
      <c r="BG825" s="2">
        <f t="shared" si="88"/>
        <v>1038163.1077059915</v>
      </c>
      <c r="BI825">
        <f t="shared" si="89"/>
        <v>0</v>
      </c>
      <c r="BJ825" s="95">
        <f t="shared" si="90"/>
        <v>1</v>
      </c>
      <c r="BP825" s="217">
        <f t="shared" si="93"/>
        <v>1038163.1077059915</v>
      </c>
    </row>
    <row r="826" spans="1:68">
      <c r="A826" s="11">
        <v>820</v>
      </c>
      <c r="C826" s="27">
        <v>0.92722928746625832</v>
      </c>
      <c r="D826" s="27">
        <v>7.2770712533741691E-2</v>
      </c>
      <c r="E826" s="27">
        <v>0</v>
      </c>
      <c r="F826" s="27">
        <v>0.85718661167649501</v>
      </c>
      <c r="G826" s="27">
        <v>0.14281338832350501</v>
      </c>
      <c r="H826" s="27">
        <v>0</v>
      </c>
      <c r="I826" s="27">
        <v>0.74705293849192833</v>
      </c>
      <c r="J826" s="27">
        <v>0.25294706150807167</v>
      </c>
      <c r="K826" s="27">
        <v>0</v>
      </c>
      <c r="L826" s="27">
        <v>0.1866382102560073</v>
      </c>
      <c r="M826" s="27">
        <v>0.45088163739960796</v>
      </c>
      <c r="N826" s="27">
        <v>0.36248015234438474</v>
      </c>
      <c r="O826" s="27">
        <v>-11.175484605028497</v>
      </c>
      <c r="P826" s="27">
        <v>3.6290377963546575E-2</v>
      </c>
      <c r="Q826" s="27">
        <v>6.4342593314170677E-5</v>
      </c>
      <c r="R826" s="27">
        <v>1.0650047192288017</v>
      </c>
      <c r="S826" s="154"/>
      <c r="T826">
        <v>0.88459698887026839</v>
      </c>
      <c r="U826">
        <v>2.2391705078918633</v>
      </c>
      <c r="V826">
        <v>2.8681998224378575</v>
      </c>
      <c r="W826">
        <v>1</v>
      </c>
      <c r="Y826" s="2">
        <v>785.47236156500151</v>
      </c>
      <c r="Z826" s="2">
        <v>606.43601517166246</v>
      </c>
      <c r="AA826" s="2">
        <v>208.51006459856669</v>
      </c>
      <c r="AB826" s="2">
        <v>1939.5503799159137</v>
      </c>
      <c r="AC826" s="2">
        <v>5635.1080883760651</v>
      </c>
      <c r="AD826" s="2">
        <v>539.15680087516103</v>
      </c>
      <c r="AE826" s="2">
        <v>568.18649092379349</v>
      </c>
      <c r="AF826" s="2">
        <v>1013.6911054208413</v>
      </c>
      <c r="AG826" s="2">
        <v>169.78494819085785</v>
      </c>
      <c r="AH826" s="2">
        <v>547.31942273009463</v>
      </c>
      <c r="AI826" s="2">
        <v>445472.63170670287</v>
      </c>
      <c r="AJ826" s="2">
        <v>425972.33958416618</v>
      </c>
      <c r="AL826" s="27">
        <v>0.91708682642386807</v>
      </c>
      <c r="AM826" s="27">
        <v>0.91834147008724054</v>
      </c>
      <c r="AN826" s="27">
        <v>0.91269769111558718</v>
      </c>
      <c r="AO826" s="27">
        <v>0.86841902733441256</v>
      </c>
      <c r="AP826" s="27">
        <v>0.69881017561173986</v>
      </c>
      <c r="AQ826" s="27">
        <v>0.91708682642386807</v>
      </c>
      <c r="AR826" s="27">
        <v>0.91834147008724054</v>
      </c>
      <c r="AS826" s="27">
        <v>0.91269769111558718</v>
      </c>
      <c r="AT826" s="27">
        <v>0.86841902733441256</v>
      </c>
      <c r="AU826" s="27">
        <v>0.69881017561173986</v>
      </c>
      <c r="AW826" s="1">
        <v>14.074495716449331</v>
      </c>
      <c r="AX826" s="1">
        <v>16.059636178058316</v>
      </c>
      <c r="AY826" s="2">
        <v>1598536.7740360158</v>
      </c>
      <c r="AZ826" s="1">
        <v>15.488141598422841</v>
      </c>
      <c r="BA826" s="1">
        <v>17.432037174234829</v>
      </c>
      <c r="BB826" s="2">
        <v>1186509.8747394443</v>
      </c>
      <c r="BC826" s="2">
        <f t="shared" si="91"/>
        <v>-412026.8992965715</v>
      </c>
      <c r="BD826" s="292">
        <f t="shared" si="92"/>
        <v>1.41364588197351</v>
      </c>
      <c r="BF826" s="170">
        <f t="shared" si="87"/>
        <v>653382.54059587698</v>
      </c>
      <c r="BG826" s="2">
        <f t="shared" si="88"/>
        <v>1291592.78100821</v>
      </c>
      <c r="BI826">
        <f t="shared" si="89"/>
        <v>0</v>
      </c>
      <c r="BJ826" s="95">
        <f t="shared" si="90"/>
        <v>1</v>
      </c>
      <c r="BP826" s="217">
        <f t="shared" si="93"/>
        <v>1291592.78100821</v>
      </c>
    </row>
    <row r="827" spans="1:68">
      <c r="A827" s="11">
        <v>821</v>
      </c>
      <c r="C827" s="27">
        <v>0.92288246680144737</v>
      </c>
      <c r="D827" s="27">
        <v>7.7117533198552635E-2</v>
      </c>
      <c r="E827" s="27">
        <v>0</v>
      </c>
      <c r="F827" s="27">
        <v>0.85485522020819416</v>
      </c>
      <c r="G827" s="27">
        <v>0.14514477979180584</v>
      </c>
      <c r="H827" s="27">
        <v>0</v>
      </c>
      <c r="I827" s="27">
        <v>0.75041878679261353</v>
      </c>
      <c r="J827" s="27">
        <v>0.24958121320738647</v>
      </c>
      <c r="K827" s="27">
        <v>0</v>
      </c>
      <c r="L827" s="27">
        <v>8.9137455571185797E-2</v>
      </c>
      <c r="M827" s="27">
        <v>0.56059417430539771</v>
      </c>
      <c r="N827" s="27">
        <v>0.35026837012341649</v>
      </c>
      <c r="O827" s="27">
        <v>-10.941881014284256</v>
      </c>
      <c r="P827" s="27">
        <v>3.0980343940237284E-2</v>
      </c>
      <c r="Q827" s="27">
        <v>6.5027092397402608E-5</v>
      </c>
      <c r="R827" s="27">
        <v>1.0797131330132366</v>
      </c>
      <c r="S827" s="154"/>
      <c r="T827">
        <v>1.0055762645055319</v>
      </c>
      <c r="U827">
        <v>2.2524453052547209</v>
      </c>
      <c r="V827">
        <v>3.0175960653758875</v>
      </c>
      <c r="W827">
        <v>1</v>
      </c>
      <c r="Y827" s="2">
        <v>23.783124259709478</v>
      </c>
      <c r="Z827" s="2">
        <v>9635.4530136155663</v>
      </c>
      <c r="AA827" s="2">
        <v>4560.1839099927747</v>
      </c>
      <c r="AB827" s="2">
        <v>12319.955522323035</v>
      </c>
      <c r="AC827" s="2">
        <v>329.40469813456968</v>
      </c>
      <c r="AD827" s="2">
        <v>1934.2729899727997</v>
      </c>
      <c r="AE827" s="2">
        <v>544.37900097991496</v>
      </c>
      <c r="AF827" s="2">
        <v>1164.1307604758683</v>
      </c>
      <c r="AG827" s="2">
        <v>129.15256237711702</v>
      </c>
      <c r="AH827" s="2">
        <v>405.06295226893343</v>
      </c>
      <c r="AI827" s="2">
        <v>461372.61983608612</v>
      </c>
      <c r="AJ827" s="2">
        <v>428504.60477916454</v>
      </c>
      <c r="AL827" s="27">
        <v>0.92099924906760389</v>
      </c>
      <c r="AM827" s="27">
        <v>0.91207556367088916</v>
      </c>
      <c r="AN827" s="27">
        <v>0.90564914451772371</v>
      </c>
      <c r="AO827" s="27">
        <v>0.87099827176311817</v>
      </c>
      <c r="AP827" s="27">
        <v>0.70985773283273312</v>
      </c>
      <c r="AQ827" s="27">
        <v>0.92099924906760389</v>
      </c>
      <c r="AR827" s="27">
        <v>0.91207556367088916</v>
      </c>
      <c r="AS827" s="27">
        <v>0.90564914451772371</v>
      </c>
      <c r="AT827" s="27">
        <v>0.87099827176311817</v>
      </c>
      <c r="AU827" s="27">
        <v>0.70985773283273312</v>
      </c>
      <c r="AW827" s="1">
        <v>13.601311804058707</v>
      </c>
      <c r="AX827" s="1">
        <v>15.595642237867773</v>
      </c>
      <c r="AY827" s="2">
        <v>1883301.5035717157</v>
      </c>
      <c r="AZ827" s="1">
        <v>15.428639708448992</v>
      </c>
      <c r="BA827" s="1">
        <v>17.38605452315155</v>
      </c>
      <c r="BB827" s="2">
        <v>1561249.6684921738</v>
      </c>
      <c r="BC827" s="2">
        <f t="shared" si="91"/>
        <v>-322051.8350795419</v>
      </c>
      <c r="BD827" s="292">
        <f t="shared" si="92"/>
        <v>1.8273279043902857</v>
      </c>
      <c r="BF827" s="170">
        <f t="shared" si="87"/>
        <v>292908.3850776772</v>
      </c>
      <c r="BG827" s="2">
        <f t="shared" si="88"/>
        <v>907332.68485966511</v>
      </c>
      <c r="BI827">
        <f t="shared" si="89"/>
        <v>0</v>
      </c>
      <c r="BJ827" s="95">
        <f t="shared" si="90"/>
        <v>1</v>
      </c>
      <c r="BP827" s="217">
        <f t="shared" si="93"/>
        <v>907332.68485966511</v>
      </c>
    </row>
    <row r="828" spans="1:68">
      <c r="A828" s="11">
        <v>822</v>
      </c>
      <c r="C828" s="27">
        <v>0.92263040524984163</v>
      </c>
      <c r="D828" s="27">
        <v>7.7369594750158366E-2</v>
      </c>
      <c r="E828" s="27">
        <v>0</v>
      </c>
      <c r="F828" s="27">
        <v>0.85582888416241265</v>
      </c>
      <c r="G828" s="27">
        <v>0.14417111583758735</v>
      </c>
      <c r="H828" s="27">
        <v>0</v>
      </c>
      <c r="I828" s="27">
        <v>0.7566790235726869</v>
      </c>
      <c r="J828" s="27">
        <v>0.2433209764273131</v>
      </c>
      <c r="K828" s="27">
        <v>0</v>
      </c>
      <c r="L828" s="27">
        <v>0.17094630463479138</v>
      </c>
      <c r="M828" s="27">
        <v>0.45645537340414832</v>
      </c>
      <c r="N828" s="27">
        <v>0.3725983219610603</v>
      </c>
      <c r="O828" s="27">
        <v>-11.150762528874491</v>
      </c>
      <c r="P828" s="27">
        <v>3.6685299002623413E-2</v>
      </c>
      <c r="Q828" s="27">
        <v>6.7056167373141676E-5</v>
      </c>
      <c r="R828" s="27">
        <v>1.0613157191450744</v>
      </c>
      <c r="S828" s="154"/>
      <c r="T828">
        <v>1.0120762767435842</v>
      </c>
      <c r="U828">
        <v>2.2602956206086953</v>
      </c>
      <c r="V828">
        <v>3.02303951926993</v>
      </c>
      <c r="W828">
        <v>1</v>
      </c>
      <c r="Y828" s="2">
        <v>406.96298068290781</v>
      </c>
      <c r="Z828" s="2">
        <v>1535.1913678637363</v>
      </c>
      <c r="AA828" s="2">
        <v>439.34885416212984</v>
      </c>
      <c r="AB828" s="2">
        <v>2218.7453110834508</v>
      </c>
      <c r="AC828" s="2">
        <v>762.10062595576801</v>
      </c>
      <c r="AD828" s="2">
        <v>454.37996182444891</v>
      </c>
      <c r="AE828" s="2">
        <v>566.7119777762648</v>
      </c>
      <c r="AF828" s="2">
        <v>1162.1382037378364</v>
      </c>
      <c r="AG828" s="2">
        <v>52.458829452979465</v>
      </c>
      <c r="AH828" s="2">
        <v>236.86513424311343</v>
      </c>
      <c r="AI828" s="2">
        <v>460153.77312687621</v>
      </c>
      <c r="AJ828" s="2">
        <v>407382.49060089677</v>
      </c>
      <c r="AL828" s="27">
        <v>0.9168130066568434</v>
      </c>
      <c r="AM828" s="27">
        <v>0.91226299560728819</v>
      </c>
      <c r="AN828" s="27">
        <v>0.89964518187125098</v>
      </c>
      <c r="AO828" s="27">
        <v>0.89498376083747866</v>
      </c>
      <c r="AP828" s="27">
        <v>0.7289075446987594</v>
      </c>
      <c r="AQ828" s="27">
        <v>0.9168130066568434</v>
      </c>
      <c r="AR828" s="27">
        <v>0.91226299560728819</v>
      </c>
      <c r="AS828" s="27">
        <v>0.89964518187125098</v>
      </c>
      <c r="AT828" s="27">
        <v>0.89498376083747866</v>
      </c>
      <c r="AU828" s="27">
        <v>0.7289075446987594</v>
      </c>
      <c r="AW828" s="1">
        <v>13.530500173273687</v>
      </c>
      <c r="AX828" s="1">
        <v>15.441287289264203</v>
      </c>
      <c r="AY828" s="2">
        <v>1614602.209913169</v>
      </c>
      <c r="AZ828" s="1">
        <v>15.393935641960315</v>
      </c>
      <c r="BA828" s="1">
        <v>17.306997678624388</v>
      </c>
      <c r="BB828" s="2">
        <v>1165460.2413663738</v>
      </c>
      <c r="BC828" s="2">
        <f t="shared" si="91"/>
        <v>-449141.96854679519</v>
      </c>
      <c r="BD828" s="292">
        <f t="shared" si="92"/>
        <v>1.8634354686866281</v>
      </c>
      <c r="BF828" s="170">
        <f t="shared" si="87"/>
        <v>550277.81781062065</v>
      </c>
      <c r="BG828" s="2">
        <f t="shared" si="88"/>
        <v>1297569.4613472763</v>
      </c>
      <c r="BI828">
        <f t="shared" si="89"/>
        <v>0</v>
      </c>
      <c r="BJ828" s="95">
        <f t="shared" si="90"/>
        <v>1</v>
      </c>
      <c r="BP828" s="217">
        <f t="shared" si="93"/>
        <v>1297569.4613472763</v>
      </c>
    </row>
    <row r="829" spans="1:68">
      <c r="A829" s="11">
        <v>823</v>
      </c>
      <c r="C829" s="27">
        <v>0.92658436039968439</v>
      </c>
      <c r="D829" s="27">
        <v>7.3415639600315566E-2</v>
      </c>
      <c r="E829" s="27">
        <v>0</v>
      </c>
      <c r="F829" s="27">
        <v>0.85944946076984485</v>
      </c>
      <c r="G829" s="27">
        <v>0.14055053923015515</v>
      </c>
      <c r="H829" s="27">
        <v>0</v>
      </c>
      <c r="I829" s="27">
        <v>0.75356254431782432</v>
      </c>
      <c r="J829" s="27">
        <v>0.24643745568217565</v>
      </c>
      <c r="K829" s="27">
        <v>0</v>
      </c>
      <c r="L829" s="27">
        <v>7.4788322735930945E-2</v>
      </c>
      <c r="M829" s="27">
        <v>0.51972370711093219</v>
      </c>
      <c r="N829" s="27">
        <v>0.40548797015313687</v>
      </c>
      <c r="O829" s="27">
        <v>-11.273940067147167</v>
      </c>
      <c r="P829" s="27">
        <v>3.5936938186419617E-2</v>
      </c>
      <c r="Q829" s="27">
        <v>5.7450395852084253E-5</v>
      </c>
      <c r="R829" s="27">
        <v>1.073087351708143</v>
      </c>
      <c r="S829" s="154"/>
      <c r="T829">
        <v>1.0588032580252984</v>
      </c>
      <c r="U829">
        <v>2.3559244225395224</v>
      </c>
      <c r="V829">
        <v>2.9564508773106399</v>
      </c>
      <c r="W829">
        <v>1</v>
      </c>
      <c r="Y829" s="2">
        <v>1241.147155996845</v>
      </c>
      <c r="Z829" s="2">
        <v>3520.8584424313435</v>
      </c>
      <c r="AA829" s="2">
        <v>2513.2597839541322</v>
      </c>
      <c r="AB829" s="2">
        <v>6987.463643910648</v>
      </c>
      <c r="AC829" s="2">
        <v>1309.2532565675024</v>
      </c>
      <c r="AD829" s="2">
        <v>912.2972808245886</v>
      </c>
      <c r="AE829" s="2">
        <v>486.69990730241386</v>
      </c>
      <c r="AF829" s="2">
        <v>1034.5588555865868</v>
      </c>
      <c r="AG829" s="2">
        <v>124.4413023608262</v>
      </c>
      <c r="AH829" s="2">
        <v>529.71539406461159</v>
      </c>
      <c r="AI829" s="2">
        <v>713486.32770131773</v>
      </c>
      <c r="AJ829" s="2">
        <v>675634.56067737786</v>
      </c>
      <c r="AL829" s="27">
        <v>0.91885580577412707</v>
      </c>
      <c r="AM829" s="27">
        <v>0.91832788447343128</v>
      </c>
      <c r="AN829" s="27">
        <v>0.90558235401128684</v>
      </c>
      <c r="AO829" s="27">
        <v>0.85165535701591444</v>
      </c>
      <c r="AP829" s="27">
        <v>0.66759600423688648</v>
      </c>
      <c r="AQ829" s="27">
        <v>0.91885580577412707</v>
      </c>
      <c r="AR829" s="27">
        <v>0.91832788447343128</v>
      </c>
      <c r="AS829" s="27">
        <v>0.90558235401128684</v>
      </c>
      <c r="AT829" s="27">
        <v>0.85165535701591444</v>
      </c>
      <c r="AU829" s="27">
        <v>0.66759600423688648</v>
      </c>
      <c r="AW829" s="1">
        <v>13.383901744021781</v>
      </c>
      <c r="AX829" s="1">
        <v>15.514908936349507</v>
      </c>
      <c r="AY829" s="2">
        <v>2797085.3319112631</v>
      </c>
      <c r="AZ829" s="1">
        <v>15.443501683161118</v>
      </c>
      <c r="BA829" s="1">
        <v>17.473746336476015</v>
      </c>
      <c r="BB829" s="2">
        <v>2020464.6703088116</v>
      </c>
      <c r="BC829" s="2">
        <f t="shared" si="91"/>
        <v>-776620.66160245147</v>
      </c>
      <c r="BD829" s="292">
        <f t="shared" si="92"/>
        <v>2.0595999391393374</v>
      </c>
      <c r="BF829" s="170">
        <f t="shared" si="87"/>
        <v>-655661.05286777811</v>
      </c>
      <c r="BG829" s="2">
        <f t="shared" si="88"/>
        <v>450495.59899696754</v>
      </c>
      <c r="BI829">
        <f t="shared" si="89"/>
        <v>0</v>
      </c>
      <c r="BJ829" s="95">
        <f t="shared" si="90"/>
        <v>1</v>
      </c>
      <c r="BP829" s="217">
        <f t="shared" si="93"/>
        <v>450495.59899696754</v>
      </c>
    </row>
    <row r="830" spans="1:68">
      <c r="A830" s="11">
        <v>824</v>
      </c>
      <c r="C830" s="27">
        <v>0.91956095496449974</v>
      </c>
      <c r="D830" s="27">
        <v>8.0439045035500256E-2</v>
      </c>
      <c r="E830" s="27">
        <v>0</v>
      </c>
      <c r="F830" s="27">
        <v>0.85959200464662155</v>
      </c>
      <c r="G830" s="27">
        <v>0.14040799535337847</v>
      </c>
      <c r="H830" s="27">
        <v>0</v>
      </c>
      <c r="I830" s="27">
        <v>0.74543529499372685</v>
      </c>
      <c r="J830" s="27">
        <v>0.25456470500627315</v>
      </c>
      <c r="K830" s="27">
        <v>0</v>
      </c>
      <c r="L830" s="27">
        <v>0.16283934808252759</v>
      </c>
      <c r="M830" s="27">
        <v>0.48688266370695832</v>
      </c>
      <c r="N830" s="27">
        <v>0.35027798821051409</v>
      </c>
      <c r="O830" s="27">
        <v>-11.483243963910869</v>
      </c>
      <c r="P830" s="27">
        <v>3.6780665286515683E-2</v>
      </c>
      <c r="Q830" s="27">
        <v>4.8281793145629755E-5</v>
      </c>
      <c r="R830" s="27">
        <v>1.1005772422853204</v>
      </c>
      <c r="S830" s="154"/>
      <c r="T830">
        <v>1.1255470081516203</v>
      </c>
      <c r="U830">
        <v>2.2752826162227198</v>
      </c>
      <c r="V830">
        <v>3.0986613586907326</v>
      </c>
      <c r="W830">
        <v>1</v>
      </c>
      <c r="Y830" s="2">
        <v>1377.1756394083675</v>
      </c>
      <c r="Z830" s="2">
        <v>5996.9010258879962</v>
      </c>
      <c r="AA830" s="2">
        <v>517.45767799321902</v>
      </c>
      <c r="AB830" s="2">
        <v>2072.5594624604114</v>
      </c>
      <c r="AC830" s="2">
        <v>295.59248262486199</v>
      </c>
      <c r="AD830" s="2">
        <v>773.2822054653509</v>
      </c>
      <c r="AE830" s="2">
        <v>576.64088217495112</v>
      </c>
      <c r="AF830" s="2">
        <v>1107.8449634056537</v>
      </c>
      <c r="AG830" s="2">
        <v>106.59793823632037</v>
      </c>
      <c r="AH830" s="2">
        <v>233.53043874125896</v>
      </c>
      <c r="AI830" s="2">
        <v>658445.27177768736</v>
      </c>
      <c r="AJ830" s="2">
        <v>625548.64125623717</v>
      </c>
      <c r="AL830" s="27">
        <v>0.91386505547550556</v>
      </c>
      <c r="AM830" s="27">
        <v>0.91761572173601047</v>
      </c>
      <c r="AN830" s="27">
        <v>0.90940902344971708</v>
      </c>
      <c r="AO830" s="27">
        <v>0.8997692506959668</v>
      </c>
      <c r="AP830" s="27">
        <v>0.62189857574998775</v>
      </c>
      <c r="AQ830" s="27">
        <v>0.91386505547550556</v>
      </c>
      <c r="AR830" s="27">
        <v>0.91761572173601047</v>
      </c>
      <c r="AS830" s="27">
        <v>0.90940902344971708</v>
      </c>
      <c r="AT830" s="27">
        <v>0.8997692506959668</v>
      </c>
      <c r="AU830" s="27">
        <v>0.62189857574998775</v>
      </c>
      <c r="AW830" s="1">
        <v>12.807918155752054</v>
      </c>
      <c r="AX830" s="1">
        <v>15.133084403003178</v>
      </c>
      <c r="AY830" s="2">
        <v>2774713.4719233648</v>
      </c>
      <c r="AZ830" s="1">
        <v>15.131010369636785</v>
      </c>
      <c r="BA830" s="1">
        <v>17.301389701010415</v>
      </c>
      <c r="BB830" s="2">
        <v>1843062.5137398189</v>
      </c>
      <c r="BC830" s="2">
        <f t="shared" si="91"/>
        <v>-931650.95818354585</v>
      </c>
      <c r="BD830" s="292">
        <f t="shared" si="92"/>
        <v>2.3230922138847312</v>
      </c>
      <c r="BF830" s="170">
        <f t="shared" si="87"/>
        <v>-725446.56700303615</v>
      </c>
      <c r="BG830" s="2">
        <f t="shared" si="88"/>
        <v>577899.14540206664</v>
      </c>
      <c r="BI830">
        <f t="shared" si="89"/>
        <v>0</v>
      </c>
      <c r="BJ830" s="95">
        <f t="shared" si="90"/>
        <v>1</v>
      </c>
      <c r="BP830" s="217">
        <f t="shared" si="93"/>
        <v>577899.14540206664</v>
      </c>
    </row>
    <row r="831" spans="1:68">
      <c r="A831" s="11">
        <v>825</v>
      </c>
      <c r="C831" s="27">
        <v>0.9257847210598471</v>
      </c>
      <c r="D831" s="27">
        <v>7.421527894015284E-2</v>
      </c>
      <c r="E831" s="27">
        <v>0</v>
      </c>
      <c r="F831" s="27">
        <v>0.85811294498199053</v>
      </c>
      <c r="G831" s="27">
        <v>0.14188705501800947</v>
      </c>
      <c r="H831" s="27">
        <v>0</v>
      </c>
      <c r="I831" s="27">
        <v>0.74642834697904337</v>
      </c>
      <c r="J831" s="27">
        <v>0.25357165302095663</v>
      </c>
      <c r="K831" s="27">
        <v>0</v>
      </c>
      <c r="L831" s="27">
        <v>0.12608856442633765</v>
      </c>
      <c r="M831" s="27">
        <v>0.49690453594368283</v>
      </c>
      <c r="N831" s="27">
        <v>0.37700689962997957</v>
      </c>
      <c r="O831" s="27">
        <v>-11.152228383875302</v>
      </c>
      <c r="P831" s="27">
        <v>3.7023448461941028E-2</v>
      </c>
      <c r="Q831" s="27">
        <v>6.7915685008816993E-5</v>
      </c>
      <c r="R831" s="27">
        <v>1.05741043009757</v>
      </c>
      <c r="S831" s="154"/>
      <c r="T831">
        <v>1.0092323009896669</v>
      </c>
      <c r="U831">
        <v>2.2466965880542515</v>
      </c>
      <c r="V831">
        <v>2.7582189043387655</v>
      </c>
      <c r="W831">
        <v>1</v>
      </c>
      <c r="Y831" s="2">
        <v>582.64183097628757</v>
      </c>
      <c r="Z831" s="2">
        <v>1191.9788640659769</v>
      </c>
      <c r="AA831" s="2">
        <v>4960.8702859622099</v>
      </c>
      <c r="AB831" s="2">
        <v>1110.880039602434</v>
      </c>
      <c r="AC831" s="2">
        <v>360.80467798110095</v>
      </c>
      <c r="AD831" s="2">
        <v>212.772797264567</v>
      </c>
      <c r="AE831" s="2">
        <v>586.47167562228947</v>
      </c>
      <c r="AF831" s="2">
        <v>1061.4893939617134</v>
      </c>
      <c r="AG831" s="2">
        <v>110.27391268919654</v>
      </c>
      <c r="AH831" s="2">
        <v>354.04692444711804</v>
      </c>
      <c r="AI831" s="2">
        <v>500760.09559317969</v>
      </c>
      <c r="AJ831" s="2">
        <v>477397.20987229113</v>
      </c>
      <c r="AL831" s="27">
        <v>0.91093356592580577</v>
      </c>
      <c r="AM831" s="27">
        <v>0.91162375341007484</v>
      </c>
      <c r="AN831" s="27">
        <v>0.89648408489751719</v>
      </c>
      <c r="AO831" s="27">
        <v>0.83889827641955983</v>
      </c>
      <c r="AP831" s="27">
        <v>0.78783474853005986</v>
      </c>
      <c r="AQ831" s="27">
        <v>0.91093356592580577</v>
      </c>
      <c r="AR831" s="27">
        <v>0.91162375341007484</v>
      </c>
      <c r="AS831" s="27">
        <v>0.89648408489751719</v>
      </c>
      <c r="AT831" s="27">
        <v>0.83889827641955983</v>
      </c>
      <c r="AU831" s="27">
        <v>0.78783474853005986</v>
      </c>
      <c r="AW831" s="1">
        <v>13.873823655596873</v>
      </c>
      <c r="AX831" s="1">
        <v>15.722129728990925</v>
      </c>
      <c r="AY831" s="2">
        <v>1904145.8519601757</v>
      </c>
      <c r="AZ831" s="1">
        <v>15.558212120107459</v>
      </c>
      <c r="BA831" s="1">
        <v>17.448001491611425</v>
      </c>
      <c r="BB831" s="2">
        <v>1438969.1424141244</v>
      </c>
      <c r="BC831" s="2">
        <f t="shared" si="91"/>
        <v>-465176.70954605122</v>
      </c>
      <c r="BD831" s="292">
        <f t="shared" si="92"/>
        <v>1.6843884645105867</v>
      </c>
      <c r="BF831" s="170">
        <f t="shared" si="87"/>
        <v>315665.93293532403</v>
      </c>
      <c r="BG831" s="2">
        <f t="shared" si="88"/>
        <v>1050344.7968030691</v>
      </c>
      <c r="BI831">
        <f t="shared" si="89"/>
        <v>0</v>
      </c>
      <c r="BJ831" s="95">
        <f t="shared" si="90"/>
        <v>1</v>
      </c>
      <c r="BP831" s="217">
        <f t="shared" si="93"/>
        <v>1050344.7968030691</v>
      </c>
    </row>
    <row r="832" spans="1:68">
      <c r="A832" s="11">
        <v>826</v>
      </c>
      <c r="C832" s="27">
        <v>0.920989151133356</v>
      </c>
      <c r="D832" s="27">
        <v>7.9010848866644001E-2</v>
      </c>
      <c r="E832" s="27">
        <v>0</v>
      </c>
      <c r="F832" s="27">
        <v>0.86068181022113444</v>
      </c>
      <c r="G832" s="27">
        <v>0.13931818977886556</v>
      </c>
      <c r="H832" s="27">
        <v>0</v>
      </c>
      <c r="I832" s="27">
        <v>0.75320414107496392</v>
      </c>
      <c r="J832" s="27">
        <v>0.24679585892503611</v>
      </c>
      <c r="K832" s="27">
        <v>0</v>
      </c>
      <c r="L832" s="27">
        <v>0.15061410690555477</v>
      </c>
      <c r="M832" s="27">
        <v>0.47274000693200197</v>
      </c>
      <c r="N832" s="27">
        <v>0.37664588616244321</v>
      </c>
      <c r="O832" s="27">
        <v>-10.95165223527899</v>
      </c>
      <c r="P832" s="27">
        <v>3.3849715940650157E-2</v>
      </c>
      <c r="Q832" s="27">
        <v>7.2642227023961235E-5</v>
      </c>
      <c r="R832" s="27">
        <v>1.0480084464757411</v>
      </c>
      <c r="S832" s="154"/>
      <c r="T832">
        <v>1.0029493570243768</v>
      </c>
      <c r="U832">
        <v>2.2331301939873316</v>
      </c>
      <c r="V832">
        <v>2.8379551535807068</v>
      </c>
      <c r="W832">
        <v>1</v>
      </c>
      <c r="Y832" s="2">
        <v>224.7725480308041</v>
      </c>
      <c r="Z832" s="2">
        <v>9440.6930675414205</v>
      </c>
      <c r="AA832" s="2">
        <v>4068.4743078343172</v>
      </c>
      <c r="AB832" s="2">
        <v>946.04669418758567</v>
      </c>
      <c r="AC832" s="2">
        <v>62.480264438998141</v>
      </c>
      <c r="AD832" s="2">
        <v>190.825133496847</v>
      </c>
      <c r="AE832" s="2">
        <v>652.8816236634932</v>
      </c>
      <c r="AF832" s="2">
        <v>823.0935501788739</v>
      </c>
      <c r="AG832" s="2">
        <v>145.84392263517881</v>
      </c>
      <c r="AH832" s="2">
        <v>611.61573977370267</v>
      </c>
      <c r="AI832" s="2">
        <v>412902.63301009667</v>
      </c>
      <c r="AJ832" s="2">
        <v>387917.3170402174</v>
      </c>
      <c r="AL832" s="27">
        <v>0.91818709924419495</v>
      </c>
      <c r="AM832" s="27">
        <v>0.91337640243343954</v>
      </c>
      <c r="AN832" s="27">
        <v>0.91332739563708465</v>
      </c>
      <c r="AO832" s="27">
        <v>0.86087237397883543</v>
      </c>
      <c r="AP832" s="27">
        <v>0.65356017204115791</v>
      </c>
      <c r="AQ832" s="27">
        <v>0.91818709924419495</v>
      </c>
      <c r="AR832" s="27">
        <v>0.91337640243343954</v>
      </c>
      <c r="AS832" s="27">
        <v>0.91332739563708465</v>
      </c>
      <c r="AT832" s="27">
        <v>0.86087237397883543</v>
      </c>
      <c r="AU832" s="27">
        <v>0.65356017204115791</v>
      </c>
      <c r="AW832" s="1">
        <v>13.384663811809743</v>
      </c>
      <c r="AX832" s="1">
        <v>15.558865219800738</v>
      </c>
      <c r="AY832" s="2">
        <v>1673854.7377374023</v>
      </c>
      <c r="AZ832" s="1">
        <v>15.27701697061109</v>
      </c>
      <c r="BA832" s="1">
        <v>17.353307142436108</v>
      </c>
      <c r="BB832" s="2">
        <v>1181431.3611555563</v>
      </c>
      <c r="BC832" s="2">
        <f t="shared" si="91"/>
        <v>-492423.37658184604</v>
      </c>
      <c r="BD832" s="292">
        <f t="shared" si="92"/>
        <v>1.8923531588013471</v>
      </c>
      <c r="BF832" s="170">
        <f t="shared" si="87"/>
        <v>467691.47215215629</v>
      </c>
      <c r="BG832" s="2">
        <f t="shared" si="88"/>
        <v>1262891.3541422181</v>
      </c>
      <c r="BI832">
        <f t="shared" si="89"/>
        <v>0</v>
      </c>
      <c r="BJ832" s="95">
        <f t="shared" si="90"/>
        <v>1</v>
      </c>
      <c r="BP832" s="217">
        <f t="shared" si="93"/>
        <v>1262891.3541422181</v>
      </c>
    </row>
    <row r="833" spans="1:68">
      <c r="A833" s="11">
        <v>827</v>
      </c>
      <c r="C833" s="27">
        <v>0.92120292658183434</v>
      </c>
      <c r="D833" s="27">
        <v>7.8797073418165664E-2</v>
      </c>
      <c r="E833" s="27">
        <v>0</v>
      </c>
      <c r="F833" s="27">
        <v>0.8545934604477311</v>
      </c>
      <c r="G833" s="27">
        <v>0.1454065395522689</v>
      </c>
      <c r="H833" s="27">
        <v>0</v>
      </c>
      <c r="I833" s="27">
        <v>0.75513874957316829</v>
      </c>
      <c r="J833" s="27">
        <v>0.24486125042683177</v>
      </c>
      <c r="K833" s="27">
        <v>0</v>
      </c>
      <c r="L833" s="27">
        <v>0.15043010046440963</v>
      </c>
      <c r="M833" s="27">
        <v>0.49812163041692675</v>
      </c>
      <c r="N833" s="27">
        <v>0.35144826911866367</v>
      </c>
      <c r="O833" s="27">
        <v>-11.426539557173854</v>
      </c>
      <c r="P833" s="27">
        <v>3.2215650270454324E-2</v>
      </c>
      <c r="Q833" s="27">
        <v>4.2183464685118156E-5</v>
      </c>
      <c r="R833" s="27">
        <v>1.1292821364964876</v>
      </c>
      <c r="S833" s="154"/>
      <c r="T833">
        <v>0.94927040968506504</v>
      </c>
      <c r="U833">
        <v>2.2027861386829164</v>
      </c>
      <c r="V833">
        <v>2.9932490143278931</v>
      </c>
      <c r="W833">
        <v>1</v>
      </c>
      <c r="Y833" s="2">
        <v>121.24710821067615</v>
      </c>
      <c r="Z833" s="2">
        <v>1910.5034148119989</v>
      </c>
      <c r="AA833" s="2">
        <v>786.67767429540493</v>
      </c>
      <c r="AB833" s="2">
        <v>4152.8660434433041</v>
      </c>
      <c r="AC833" s="2">
        <v>579.13358801408856</v>
      </c>
      <c r="AD833" s="2">
        <v>506.44470039862136</v>
      </c>
      <c r="AE833" s="2">
        <v>602.25418712739133</v>
      </c>
      <c r="AF833" s="2">
        <v>948.90598917047384</v>
      </c>
      <c r="AG833" s="2">
        <v>132.27114071652284</v>
      </c>
      <c r="AH833" s="2">
        <v>451.9356066568763</v>
      </c>
      <c r="AI833" s="2">
        <v>554652.76093251863</v>
      </c>
      <c r="AJ833" s="2">
        <v>529925.66783532058</v>
      </c>
      <c r="AL833" s="27">
        <v>0.91492821083505593</v>
      </c>
      <c r="AM833" s="27">
        <v>0.91819234959785612</v>
      </c>
      <c r="AN833" s="27">
        <v>0.9066181525345246</v>
      </c>
      <c r="AO833" s="27">
        <v>0.89093000093834496</v>
      </c>
      <c r="AP833" s="27">
        <v>0.78951270879450897</v>
      </c>
      <c r="AQ833" s="27">
        <v>0.91492821083505593</v>
      </c>
      <c r="AR833" s="27">
        <v>0.91819234959785612</v>
      </c>
      <c r="AS833" s="27">
        <v>0.9066181525345246</v>
      </c>
      <c r="AT833" s="27">
        <v>0.89093000093834496</v>
      </c>
      <c r="AU833" s="27">
        <v>0.78951270879450897</v>
      </c>
      <c r="AW833" s="1">
        <v>13.830405353499835</v>
      </c>
      <c r="AX833" s="1">
        <v>15.549006360602565</v>
      </c>
      <c r="AY833" s="2">
        <v>1997966.6219846869</v>
      </c>
      <c r="AZ833" s="1">
        <v>15.465344830276468</v>
      </c>
      <c r="BA833" s="1">
        <v>17.223692513414498</v>
      </c>
      <c r="BB833" s="2">
        <v>1525748.5431518755</v>
      </c>
      <c r="BC833" s="2">
        <f t="shared" si="91"/>
        <v>-472218.07883281144</v>
      </c>
      <c r="BD833" s="292">
        <f t="shared" si="92"/>
        <v>1.6349394767766334</v>
      </c>
      <c r="BF833" s="170">
        <f t="shared" si="87"/>
        <v>214898.23457528674</v>
      </c>
      <c r="BG833" s="2">
        <f t="shared" si="88"/>
        <v>948706.62969235936</v>
      </c>
      <c r="BI833">
        <f t="shared" si="89"/>
        <v>0</v>
      </c>
      <c r="BJ833" s="95">
        <f t="shared" si="90"/>
        <v>1</v>
      </c>
      <c r="BP833" s="217">
        <f t="shared" si="93"/>
        <v>948706.62969235936</v>
      </c>
    </row>
    <row r="834" spans="1:68">
      <c r="A834" s="11">
        <v>828</v>
      </c>
      <c r="C834" s="27">
        <v>0.92367479549923837</v>
      </c>
      <c r="D834" s="27">
        <v>7.6325204500761662E-2</v>
      </c>
      <c r="E834" s="27">
        <v>0</v>
      </c>
      <c r="F834" s="27">
        <v>0.85373423982506724</v>
      </c>
      <c r="G834" s="27">
        <v>0.14626576017493276</v>
      </c>
      <c r="H834" s="27">
        <v>0</v>
      </c>
      <c r="I834" s="27">
        <v>0.74463516209580682</v>
      </c>
      <c r="J834" s="27">
        <v>0.25536483790419318</v>
      </c>
      <c r="K834" s="27">
        <v>0</v>
      </c>
      <c r="L834" s="27">
        <v>0.14169273678188687</v>
      </c>
      <c r="M834" s="27">
        <v>0.46995505892615114</v>
      </c>
      <c r="N834" s="27">
        <v>0.38835220429196193</v>
      </c>
      <c r="O834" s="27">
        <v>-11.001663261136663</v>
      </c>
      <c r="P834" s="27">
        <v>3.393258669473833E-2</v>
      </c>
      <c r="Q834" s="27">
        <v>6.9339583805216255E-5</v>
      </c>
      <c r="R834" s="27">
        <v>1.059104387883933</v>
      </c>
      <c r="S834" s="154"/>
      <c r="T834">
        <v>1.0267214307629211</v>
      </c>
      <c r="U834">
        <v>2.2121382557223024</v>
      </c>
      <c r="V834">
        <v>3.2114781481475108</v>
      </c>
      <c r="W834">
        <v>1</v>
      </c>
      <c r="Y834" s="2">
        <v>180.30031323687643</v>
      </c>
      <c r="Z834" s="2">
        <v>743.85375500440125</v>
      </c>
      <c r="AA834" s="2">
        <v>904.41645556780861</v>
      </c>
      <c r="AB834" s="2">
        <v>3333.8007370574514</v>
      </c>
      <c r="AC834" s="2">
        <v>417.098788162105</v>
      </c>
      <c r="AD834" s="2">
        <v>2840.0904222853242</v>
      </c>
      <c r="AE834" s="2">
        <v>584.99238570877492</v>
      </c>
      <c r="AF834" s="2">
        <v>1130.1420157976213</v>
      </c>
      <c r="AG834" s="2">
        <v>158.97130483000413</v>
      </c>
      <c r="AH834" s="2">
        <v>474.37875488052424</v>
      </c>
      <c r="AI834" s="2">
        <v>560664.55217890406</v>
      </c>
      <c r="AJ834" s="2">
        <v>540466.83810887986</v>
      </c>
      <c r="AL834" s="27">
        <v>0.91263187715261807</v>
      </c>
      <c r="AM834" s="27">
        <v>0.9189042006927044</v>
      </c>
      <c r="AN834" s="27">
        <v>0.91542450852398849</v>
      </c>
      <c r="AO834" s="27">
        <v>0.89104267981675256</v>
      </c>
      <c r="AP834" s="27">
        <v>0.73644661752631357</v>
      </c>
      <c r="AQ834" s="27">
        <v>0.91263187715261807</v>
      </c>
      <c r="AR834" s="27">
        <v>0.9189042006927044</v>
      </c>
      <c r="AS834" s="27">
        <v>0.91542450852398849</v>
      </c>
      <c r="AT834" s="27">
        <v>0.89104267981675256</v>
      </c>
      <c r="AU834" s="27">
        <v>0.73644661752631357</v>
      </c>
      <c r="AW834" s="1">
        <v>13.45613449448553</v>
      </c>
      <c r="AX834" s="1">
        <v>15.349120020501166</v>
      </c>
      <c r="AY834" s="2">
        <v>2102880.7721213554</v>
      </c>
      <c r="AZ834" s="1">
        <v>15.359901058193252</v>
      </c>
      <c r="BA834" s="1">
        <v>17.236563297448491</v>
      </c>
      <c r="BB834" s="2">
        <v>1589261.8650167275</v>
      </c>
      <c r="BC834" s="2">
        <f t="shared" si="91"/>
        <v>-513618.90710462793</v>
      </c>
      <c r="BD834" s="292">
        <f t="shared" si="92"/>
        <v>1.9037665637077215</v>
      </c>
      <c r="BF834" s="170">
        <f t="shared" si="87"/>
        <v>50100.746996329632</v>
      </c>
      <c r="BG834" s="2">
        <f t="shared" si="88"/>
        <v>868322.30429419293</v>
      </c>
      <c r="BI834">
        <f t="shared" si="89"/>
        <v>0</v>
      </c>
      <c r="BJ834" s="95">
        <f t="shared" si="90"/>
        <v>1</v>
      </c>
      <c r="BP834" s="217">
        <f t="shared" si="93"/>
        <v>868322.30429419293</v>
      </c>
    </row>
    <row r="835" spans="1:68">
      <c r="A835" s="11">
        <v>829</v>
      </c>
      <c r="C835" s="27">
        <v>0.91989526007135258</v>
      </c>
      <c r="D835" s="27">
        <v>8.0104739928647417E-2</v>
      </c>
      <c r="E835" s="27">
        <v>0</v>
      </c>
      <c r="F835" s="27">
        <v>0.85840888589274245</v>
      </c>
      <c r="G835" s="27">
        <v>0.14159111410725755</v>
      </c>
      <c r="H835" s="27">
        <v>0</v>
      </c>
      <c r="I835" s="27">
        <v>0.74367586125963847</v>
      </c>
      <c r="J835" s="27">
        <v>0.25632413874036153</v>
      </c>
      <c r="K835" s="27">
        <v>0</v>
      </c>
      <c r="L835" s="27">
        <v>0.12785364047988357</v>
      </c>
      <c r="M835" s="27">
        <v>0.49861885093939851</v>
      </c>
      <c r="N835" s="27">
        <v>0.37352750858071793</v>
      </c>
      <c r="O835" s="27">
        <v>-11.426622431728248</v>
      </c>
      <c r="P835" s="27">
        <v>3.5435781520630469E-2</v>
      </c>
      <c r="Q835" s="27">
        <v>4.8288379908158632E-5</v>
      </c>
      <c r="R835" s="27">
        <v>1.1062118953213935</v>
      </c>
      <c r="S835" s="154"/>
      <c r="T835">
        <v>0.96884452021584166</v>
      </c>
      <c r="U835">
        <v>2.264776944942446</v>
      </c>
      <c r="V835">
        <v>3.0436475626543373</v>
      </c>
      <c r="W835">
        <v>1</v>
      </c>
      <c r="Y835" s="2">
        <v>419.55219850568284</v>
      </c>
      <c r="Z835" s="2">
        <v>7520.8743606657081</v>
      </c>
      <c r="AA835" s="2">
        <v>998.46404277339684</v>
      </c>
      <c r="AB835" s="2">
        <v>4272.18409656514</v>
      </c>
      <c r="AC835" s="2">
        <v>1200.3137778960947</v>
      </c>
      <c r="AD835" s="2">
        <v>432.96061372943467</v>
      </c>
      <c r="AE835" s="2">
        <v>588.82282363599745</v>
      </c>
      <c r="AF835" s="2">
        <v>875.54869546000134</v>
      </c>
      <c r="AG835" s="2">
        <v>164.34321204041277</v>
      </c>
      <c r="AH835" s="2">
        <v>229.99805369512617</v>
      </c>
      <c r="AI835" s="2">
        <v>436854.33715483762</v>
      </c>
      <c r="AJ835" s="2">
        <v>419962.79096328968</v>
      </c>
      <c r="AL835" s="27">
        <v>0.91579472367107817</v>
      </c>
      <c r="AM835" s="27">
        <v>0.91510172187136818</v>
      </c>
      <c r="AN835" s="27">
        <v>0.914308825604079</v>
      </c>
      <c r="AO835" s="27">
        <v>0.8358948179005844</v>
      </c>
      <c r="AP835" s="27">
        <v>0.81665661746519358</v>
      </c>
      <c r="AQ835" s="27">
        <v>0.91579472367107817</v>
      </c>
      <c r="AR835" s="27">
        <v>0.91510172187136818</v>
      </c>
      <c r="AS835" s="27">
        <v>0.914308825604079</v>
      </c>
      <c r="AT835" s="27">
        <v>0.8358948179005844</v>
      </c>
      <c r="AU835" s="27">
        <v>0.81665661746519358</v>
      </c>
      <c r="AW835" s="1">
        <v>13.765140463673786</v>
      </c>
      <c r="AX835" s="1">
        <v>15.428835428679831</v>
      </c>
      <c r="AY835" s="2">
        <v>1739896.1065887553</v>
      </c>
      <c r="AZ835" s="1">
        <v>15.477310518888752</v>
      </c>
      <c r="BA835" s="1">
        <v>17.194378184105528</v>
      </c>
      <c r="BB835" s="2">
        <v>1258039.2901686011</v>
      </c>
      <c r="BC835" s="2">
        <f t="shared" si="91"/>
        <v>-481856.81642015418</v>
      </c>
      <c r="BD835" s="292">
        <f t="shared" si="92"/>
        <v>1.7121700552149655</v>
      </c>
      <c r="BF835" s="170">
        <f t="shared" si="87"/>
        <v>462526.36759905051</v>
      </c>
      <c r="BG835" s="2">
        <f t="shared" si="88"/>
        <v>1218330.392853599</v>
      </c>
      <c r="BI835">
        <f t="shared" si="89"/>
        <v>0</v>
      </c>
      <c r="BJ835" s="95">
        <f t="shared" si="90"/>
        <v>1</v>
      </c>
      <c r="BP835" s="217">
        <f t="shared" si="93"/>
        <v>1218330.392853599</v>
      </c>
    </row>
    <row r="836" spans="1:68">
      <c r="A836" s="11">
        <v>830</v>
      </c>
      <c r="C836" s="27">
        <v>0.9222045363916368</v>
      </c>
      <c r="D836" s="27">
        <v>7.7795463608363202E-2</v>
      </c>
      <c r="E836" s="27">
        <v>0</v>
      </c>
      <c r="F836" s="27">
        <v>0.85752890093942902</v>
      </c>
      <c r="G836" s="27">
        <v>0.14247109906057098</v>
      </c>
      <c r="H836" s="27">
        <v>0</v>
      </c>
      <c r="I836" s="27">
        <v>0.74754784003777575</v>
      </c>
      <c r="J836" s="27">
        <v>0.25245215996222425</v>
      </c>
      <c r="K836" s="27">
        <v>0</v>
      </c>
      <c r="L836" s="27">
        <v>0.1410504824154859</v>
      </c>
      <c r="M836" s="27">
        <v>0.46212183427480591</v>
      </c>
      <c r="N836" s="27">
        <v>0.39682768330970819</v>
      </c>
      <c r="O836" s="27">
        <v>-11.14330492589267</v>
      </c>
      <c r="P836" s="27">
        <v>3.2711716453184048E-2</v>
      </c>
      <c r="Q836" s="27">
        <v>5.7173912724597544E-5</v>
      </c>
      <c r="R836" s="27">
        <v>1.0860279104456398</v>
      </c>
      <c r="S836" s="154"/>
      <c r="T836">
        <v>1.1559618923137578</v>
      </c>
      <c r="U836">
        <v>2.2413901374992315</v>
      </c>
      <c r="V836">
        <v>3.0154315461198182</v>
      </c>
      <c r="W836">
        <v>1</v>
      </c>
      <c r="Y836" s="2">
        <v>216.08406607440941</v>
      </c>
      <c r="Z836" s="2">
        <v>1595.10801262115</v>
      </c>
      <c r="AA836" s="2">
        <v>3047.8899590959627</v>
      </c>
      <c r="AB836" s="2">
        <v>2473.155327520225</v>
      </c>
      <c r="AC836" s="2">
        <v>867.87032601857834</v>
      </c>
      <c r="AD836" s="2">
        <v>65.963966323527885</v>
      </c>
      <c r="AE836" s="2">
        <v>655.42822115093634</v>
      </c>
      <c r="AF836" s="2">
        <v>1035.6063068191468</v>
      </c>
      <c r="AG836" s="2">
        <v>125.25646527726111</v>
      </c>
      <c r="AH836" s="2">
        <v>356.74762094363376</v>
      </c>
      <c r="AI836" s="2">
        <v>492090.7419273142</v>
      </c>
      <c r="AJ836" s="2">
        <v>463593.89290661225</v>
      </c>
      <c r="AL836" s="27">
        <v>0.91248261114325313</v>
      </c>
      <c r="AM836" s="27">
        <v>0.91796889603349807</v>
      </c>
      <c r="AN836" s="27">
        <v>0.91326728141378555</v>
      </c>
      <c r="AO836" s="27">
        <v>0.84311903415702416</v>
      </c>
      <c r="AP836" s="27">
        <v>0.66199597840948066</v>
      </c>
      <c r="AQ836" s="27">
        <v>0.91248261114325313</v>
      </c>
      <c r="AR836" s="27">
        <v>0.91796889603349807</v>
      </c>
      <c r="AS836" s="27">
        <v>0.91326728141378555</v>
      </c>
      <c r="AT836" s="27">
        <v>0.84311903415702416</v>
      </c>
      <c r="AU836" s="27">
        <v>0.66199597840948066</v>
      </c>
      <c r="AW836" s="1">
        <v>12.732587562157777</v>
      </c>
      <c r="AX836" s="1">
        <v>14.864001636551958</v>
      </c>
      <c r="AY836" s="2">
        <v>1845023.5010379427</v>
      </c>
      <c r="AZ836" s="1">
        <v>15.113014566757341</v>
      </c>
      <c r="BA836" s="1">
        <v>17.155155885515335</v>
      </c>
      <c r="BB836" s="2">
        <v>1299820.1134247258</v>
      </c>
      <c r="BC836" s="2">
        <f t="shared" si="91"/>
        <v>-545203.38761321688</v>
      </c>
      <c r="BD836" s="292">
        <f t="shared" si="92"/>
        <v>2.3804270045995644</v>
      </c>
      <c r="BF836" s="170">
        <f t="shared" si="87"/>
        <v>192190.50890730158</v>
      </c>
      <c r="BG836" s="2">
        <f t="shared" si="88"/>
        <v>1118262.2172564487</v>
      </c>
      <c r="BI836">
        <f t="shared" si="89"/>
        <v>0</v>
      </c>
      <c r="BJ836" s="95">
        <f t="shared" si="90"/>
        <v>1</v>
      </c>
      <c r="BP836" s="217">
        <f t="shared" si="93"/>
        <v>1118262.2172564487</v>
      </c>
    </row>
    <row r="837" spans="1:68">
      <c r="A837" s="11">
        <v>831</v>
      </c>
      <c r="C837" s="27">
        <v>0.92871874424102385</v>
      </c>
      <c r="D837" s="27">
        <v>7.1281255758976161E-2</v>
      </c>
      <c r="E837" s="27">
        <v>0</v>
      </c>
      <c r="F837" s="27">
        <v>0.85447862465922753</v>
      </c>
      <c r="G837" s="27">
        <v>0.14552137534077247</v>
      </c>
      <c r="H837" s="27">
        <v>0</v>
      </c>
      <c r="I837" s="27">
        <v>0.74591238874986543</v>
      </c>
      <c r="J837" s="27">
        <v>0.25408761125013457</v>
      </c>
      <c r="K837" s="27">
        <v>0</v>
      </c>
      <c r="L837" s="27">
        <v>0.17572592384594121</v>
      </c>
      <c r="M837" s="27">
        <v>0.55037997277268635</v>
      </c>
      <c r="N837" s="27">
        <v>0.27389410338137243</v>
      </c>
      <c r="O837" s="27">
        <v>-11.106836759197085</v>
      </c>
      <c r="P837" s="27">
        <v>3.3242735792757015E-2</v>
      </c>
      <c r="Q837" s="27">
        <v>6.0634782803043668E-5</v>
      </c>
      <c r="R837" s="27">
        <v>1.0699369238239249</v>
      </c>
      <c r="S837" s="154"/>
      <c r="T837">
        <v>1.0115291794487793</v>
      </c>
      <c r="U837">
        <v>2.2752169176780432</v>
      </c>
      <c r="V837">
        <v>3.0298214116764011</v>
      </c>
      <c r="W837">
        <v>1</v>
      </c>
      <c r="Y837" s="2">
        <v>245.12115616495956</v>
      </c>
      <c r="Z837" s="2">
        <v>862.91195879166071</v>
      </c>
      <c r="AA837" s="2">
        <v>3348.8821071431007</v>
      </c>
      <c r="AB837" s="2">
        <v>652.55120016793057</v>
      </c>
      <c r="AC837" s="2">
        <v>59.034457101230771</v>
      </c>
      <c r="AD837" s="2">
        <v>789.6382026932157</v>
      </c>
      <c r="AE837" s="2">
        <v>511.44543555088944</v>
      </c>
      <c r="AF837" s="2">
        <v>908.8526084905867</v>
      </c>
      <c r="AG837" s="2">
        <v>104.21934398641955</v>
      </c>
      <c r="AH837" s="2">
        <v>908.4439217762349</v>
      </c>
      <c r="AI837" s="2">
        <v>514114.00188185944</v>
      </c>
      <c r="AJ837" s="2">
        <v>472858.15537548979</v>
      </c>
      <c r="AL837" s="27">
        <v>0.90645158915268964</v>
      </c>
      <c r="AM837" s="27">
        <v>0.91917384634831012</v>
      </c>
      <c r="AN837" s="27">
        <v>0.914297096660316</v>
      </c>
      <c r="AO837" s="27">
        <v>0.84506776103436632</v>
      </c>
      <c r="AP837" s="27">
        <v>0.74599099862013807</v>
      </c>
      <c r="AQ837" s="27">
        <v>0.90645158915268964</v>
      </c>
      <c r="AR837" s="27">
        <v>0.91917384634831012</v>
      </c>
      <c r="AS837" s="27">
        <v>0.914297096660316</v>
      </c>
      <c r="AT837" s="27">
        <v>0.84506776103436632</v>
      </c>
      <c r="AU837" s="27">
        <v>0.74599099862013807</v>
      </c>
      <c r="AW837" s="1">
        <v>14.179813696248372</v>
      </c>
      <c r="AX837" s="1">
        <v>16.309836735189666</v>
      </c>
      <c r="AY837" s="2">
        <v>2169159.1590791214</v>
      </c>
      <c r="AZ837" s="1">
        <v>15.826254016289429</v>
      </c>
      <c r="BA837" s="1">
        <v>17.888395372330891</v>
      </c>
      <c r="BB837" s="2">
        <v>1606024.2400818269</v>
      </c>
      <c r="BC837" s="2">
        <f t="shared" si="91"/>
        <v>-563134.9189972945</v>
      </c>
      <c r="BD837" s="292">
        <f t="shared" si="92"/>
        <v>1.6464403200410569</v>
      </c>
      <c r="BF837" s="170">
        <f t="shared" si="87"/>
        <v>99611.032320618164</v>
      </c>
      <c r="BG837" s="2">
        <f t="shared" si="88"/>
        <v>926176.40252448176</v>
      </c>
      <c r="BI837">
        <f t="shared" si="89"/>
        <v>0</v>
      </c>
      <c r="BJ837" s="95">
        <f t="shared" si="90"/>
        <v>1</v>
      </c>
      <c r="BP837" s="217">
        <f t="shared" si="93"/>
        <v>926176.40252448176</v>
      </c>
    </row>
    <row r="838" spans="1:68">
      <c r="A838" s="11">
        <v>832</v>
      </c>
      <c r="C838" s="27">
        <v>0.91876275321269707</v>
      </c>
      <c r="D838" s="27">
        <v>8.123724678730293E-2</v>
      </c>
      <c r="E838" s="27">
        <v>0</v>
      </c>
      <c r="F838" s="27">
        <v>0.85513286218567119</v>
      </c>
      <c r="G838" s="27">
        <v>0.14486713781432881</v>
      </c>
      <c r="H838" s="27">
        <v>0</v>
      </c>
      <c r="I838" s="27">
        <v>0.74724181092779451</v>
      </c>
      <c r="J838" s="27">
        <v>0.25275818907220549</v>
      </c>
      <c r="K838" s="27">
        <v>0</v>
      </c>
      <c r="L838" s="27">
        <v>0.10253110000595189</v>
      </c>
      <c r="M838" s="27">
        <v>0.56080046298705799</v>
      </c>
      <c r="N838" s="27">
        <v>0.33666843700699012</v>
      </c>
      <c r="O838" s="27">
        <v>-11.504242138635901</v>
      </c>
      <c r="P838" s="27">
        <v>3.6189570872977674E-2</v>
      </c>
      <c r="Q838" s="27">
        <v>4.6119248277455998E-5</v>
      </c>
      <c r="R838" s="27">
        <v>1.1125577442477068</v>
      </c>
      <c r="S838" s="154"/>
      <c r="T838">
        <v>0.99693891883557617</v>
      </c>
      <c r="U838">
        <v>2.2337413493323544</v>
      </c>
      <c r="V838">
        <v>2.9080042950770948</v>
      </c>
      <c r="W838">
        <v>1</v>
      </c>
      <c r="Y838" s="2">
        <v>3283.8821297132868</v>
      </c>
      <c r="Z838" s="2">
        <v>8883.0908267789655</v>
      </c>
      <c r="AA838" s="2">
        <v>313.02685002134587</v>
      </c>
      <c r="AB838" s="2">
        <v>572.68471759076613</v>
      </c>
      <c r="AC838" s="2">
        <v>263.13576797247265</v>
      </c>
      <c r="AD838" s="2">
        <v>304.35790600411974</v>
      </c>
      <c r="AE838" s="2">
        <v>594.82459752750253</v>
      </c>
      <c r="AF838" s="2">
        <v>881.31955198761943</v>
      </c>
      <c r="AG838" s="2">
        <v>139.26893478758927</v>
      </c>
      <c r="AH838" s="2">
        <v>427.74493738434376</v>
      </c>
      <c r="AI838" s="2">
        <v>342676.69079601427</v>
      </c>
      <c r="AJ838" s="2">
        <v>315300.10779084486</v>
      </c>
      <c r="AL838" s="27">
        <v>0.91330641490287723</v>
      </c>
      <c r="AM838" s="27">
        <v>0.91739785722105527</v>
      </c>
      <c r="AN838" s="27">
        <v>0.90238007387022734</v>
      </c>
      <c r="AO838" s="27">
        <v>0.89571079626834205</v>
      </c>
      <c r="AP838" s="27">
        <v>0.76352351935914742</v>
      </c>
      <c r="AQ838" s="27">
        <v>0.91330641490287723</v>
      </c>
      <c r="AR838" s="27">
        <v>0.91739785722105527</v>
      </c>
      <c r="AS838" s="27">
        <v>0.90238007387022734</v>
      </c>
      <c r="AT838" s="27">
        <v>0.89571079626834205</v>
      </c>
      <c r="AU838" s="27">
        <v>0.76352351935914742</v>
      </c>
      <c r="AW838" s="1">
        <v>13.70647563991589</v>
      </c>
      <c r="AX838" s="1">
        <v>15.589571027457712</v>
      </c>
      <c r="AY838" s="2">
        <v>1512189.1655610357</v>
      </c>
      <c r="AZ838" s="1">
        <v>15.446148959362278</v>
      </c>
      <c r="BA838" s="1">
        <v>17.334448797211273</v>
      </c>
      <c r="BB838" s="2">
        <v>989721.16273883346</v>
      </c>
      <c r="BC838" s="2">
        <f t="shared" si="91"/>
        <v>-522468.00282220228</v>
      </c>
      <c r="BD838" s="292">
        <f t="shared" si="92"/>
        <v>1.7396733194463874</v>
      </c>
      <c r="BF838" s="170">
        <f t="shared" si="87"/>
        <v>680846.93682550685</v>
      </c>
      <c r="BG838" s="2">
        <f t="shared" si="88"/>
        <v>1481662.6707591307</v>
      </c>
      <c r="BI838">
        <f t="shared" si="89"/>
        <v>0</v>
      </c>
      <c r="BJ838" s="95">
        <f t="shared" si="90"/>
        <v>1</v>
      </c>
      <c r="BP838" s="217">
        <f t="shared" si="93"/>
        <v>1481662.6707591307</v>
      </c>
    </row>
    <row r="839" spans="1:68">
      <c r="A839" s="11">
        <v>833</v>
      </c>
      <c r="C839" s="27">
        <v>0.92330677668856831</v>
      </c>
      <c r="D839" s="27">
        <v>7.6693223311431705E-2</v>
      </c>
      <c r="E839" s="27">
        <v>0</v>
      </c>
      <c r="F839" s="27">
        <v>0.86059701241729403</v>
      </c>
      <c r="G839" s="27">
        <v>0.13940298758270597</v>
      </c>
      <c r="H839" s="27">
        <v>0</v>
      </c>
      <c r="I839" s="27">
        <v>0.74363254406349399</v>
      </c>
      <c r="J839" s="27">
        <v>0.25636745593650601</v>
      </c>
      <c r="K839" s="27">
        <v>0</v>
      </c>
      <c r="L839" s="27">
        <v>0.21264171867697251</v>
      </c>
      <c r="M839" s="27">
        <v>0.46932298772892833</v>
      </c>
      <c r="N839" s="27">
        <v>0.31803529359409916</v>
      </c>
      <c r="O839" s="27">
        <v>-11.190036866121241</v>
      </c>
      <c r="P839" s="27">
        <v>3.2698654580697158E-2</v>
      </c>
      <c r="Q839" s="27">
        <v>5.4533608658201173E-5</v>
      </c>
      <c r="R839" s="27">
        <v>1.0891694528475093</v>
      </c>
      <c r="S839" s="154"/>
      <c r="T839">
        <v>1.0903348534048767</v>
      </c>
      <c r="U839">
        <v>2.3316950541618269</v>
      </c>
      <c r="V839">
        <v>2.9604360000740848</v>
      </c>
      <c r="W839">
        <v>1</v>
      </c>
      <c r="Y839" s="2">
        <v>5.2630163909395566</v>
      </c>
      <c r="Z839" s="2">
        <v>2636.5809575282383</v>
      </c>
      <c r="AA839" s="2">
        <v>269.19178148584803</v>
      </c>
      <c r="AB839" s="2">
        <v>15790.677872532164</v>
      </c>
      <c r="AC839" s="2">
        <v>1837.5100217020004</v>
      </c>
      <c r="AD839" s="2">
        <v>407.35159423199644</v>
      </c>
      <c r="AE839" s="2">
        <v>486.37139525499305</v>
      </c>
      <c r="AF839" s="2">
        <v>1136.1513088643583</v>
      </c>
      <c r="AG839" s="2">
        <v>125.39863710610921</v>
      </c>
      <c r="AH839" s="2">
        <v>284.87606135029699</v>
      </c>
      <c r="AI839" s="2">
        <v>583132.83055125491</v>
      </c>
      <c r="AJ839" s="2">
        <v>546907.27207325376</v>
      </c>
      <c r="AL839" s="27">
        <v>0.91931552517681592</v>
      </c>
      <c r="AM839" s="27">
        <v>0.91316708636275057</v>
      </c>
      <c r="AN839" s="27">
        <v>0.91203178521627459</v>
      </c>
      <c r="AO839" s="27">
        <v>0.86471327952063171</v>
      </c>
      <c r="AP839" s="27">
        <v>0.65811811538456322</v>
      </c>
      <c r="AQ839" s="27">
        <v>0.91931552517681592</v>
      </c>
      <c r="AR839" s="27">
        <v>0.91316708636275057</v>
      </c>
      <c r="AS839" s="27">
        <v>0.91203178521627459</v>
      </c>
      <c r="AT839" s="27">
        <v>0.86471327952063171</v>
      </c>
      <c r="AU839" s="27">
        <v>0.65811811538456322</v>
      </c>
      <c r="AW839" s="1">
        <v>13.255272493566375</v>
      </c>
      <c r="AX839" s="1">
        <v>15.451528062519026</v>
      </c>
      <c r="AY839" s="2">
        <v>2353907.8121973462</v>
      </c>
      <c r="AZ839" s="1">
        <v>15.390352443773976</v>
      </c>
      <c r="BA839" s="1">
        <v>17.468069832606098</v>
      </c>
      <c r="BB839" s="2">
        <v>1827783.9657090951</v>
      </c>
      <c r="BC839" s="2">
        <f t="shared" si="91"/>
        <v>-526123.84648825112</v>
      </c>
      <c r="BD839" s="292">
        <f t="shared" si="92"/>
        <v>2.1350799502076008</v>
      </c>
      <c r="BF839" s="170">
        <f t="shared" ref="BF839:BF902" si="94">AW839*Threshold-AY839</f>
        <v>-233064.21322672628</v>
      </c>
      <c r="BG839" s="2">
        <f t="shared" ref="BG839:BG902" si="95">AZ839*Threshold-BB839</f>
        <v>634672.42529474082</v>
      </c>
      <c r="BI839">
        <f t="shared" ref="BI839:BI902" si="96">IF(MAX($BF839:$BG839)=$BF839,1,0)</f>
        <v>0</v>
      </c>
      <c r="BJ839" s="95">
        <f t="shared" ref="BJ839:BJ902" si="97">IF(MAX($BF839:$BG839)=$BF839,0,1)</f>
        <v>1</v>
      </c>
      <c r="BP839" s="217">
        <f t="shared" si="93"/>
        <v>634672.42529474082</v>
      </c>
    </row>
    <row r="840" spans="1:68">
      <c r="A840" s="11">
        <v>834</v>
      </c>
      <c r="C840" s="27">
        <v>0.9196255468570772</v>
      </c>
      <c r="D840" s="27">
        <v>8.0374453142922797E-2</v>
      </c>
      <c r="E840" s="27">
        <v>0</v>
      </c>
      <c r="F840" s="27">
        <v>0.85688163336194667</v>
      </c>
      <c r="G840" s="27">
        <v>0.14311836663805333</v>
      </c>
      <c r="H840" s="27">
        <v>0</v>
      </c>
      <c r="I840" s="27">
        <v>0.75057687326249423</v>
      </c>
      <c r="J840" s="27">
        <v>0.24942312673750572</v>
      </c>
      <c r="K840" s="27">
        <v>0</v>
      </c>
      <c r="L840" s="27">
        <v>0.13997344742929829</v>
      </c>
      <c r="M840" s="27">
        <v>0.49593679312671934</v>
      </c>
      <c r="N840" s="27">
        <v>0.36408975944398236</v>
      </c>
      <c r="O840" s="27">
        <v>-11.367839357327579</v>
      </c>
      <c r="P840" s="27">
        <v>3.6491852902136385E-2</v>
      </c>
      <c r="Q840" s="27">
        <v>5.3534645434382386E-5</v>
      </c>
      <c r="R840" s="27">
        <v>1.0881342147127919</v>
      </c>
      <c r="S840" s="154"/>
      <c r="T840">
        <v>1.0414591316298074</v>
      </c>
      <c r="U840">
        <v>2.1891320048068184</v>
      </c>
      <c r="V840">
        <v>3.0331780322994559</v>
      </c>
      <c r="W840">
        <v>1</v>
      </c>
      <c r="Y840" s="2">
        <v>729.3683435954556</v>
      </c>
      <c r="Z840" s="2">
        <v>3840.5017841666481</v>
      </c>
      <c r="AA840" s="2">
        <v>629.10633170676726</v>
      </c>
      <c r="AB840" s="2">
        <v>3058.6251194335118</v>
      </c>
      <c r="AC840" s="2">
        <v>1799.7527348023084</v>
      </c>
      <c r="AD840" s="2">
        <v>1647.9238563194733</v>
      </c>
      <c r="AE840" s="2">
        <v>552.6976519234687</v>
      </c>
      <c r="AF840" s="2">
        <v>1243.0054681845777</v>
      </c>
      <c r="AG840" s="2">
        <v>114.32359649746691</v>
      </c>
      <c r="AH840" s="2">
        <v>283.48286162161207</v>
      </c>
      <c r="AI840" s="2">
        <v>405105.86238431372</v>
      </c>
      <c r="AJ840" s="2">
        <v>380236.80016916542</v>
      </c>
      <c r="AL840" s="27">
        <v>0.91848859377723535</v>
      </c>
      <c r="AM840" s="27">
        <v>0.91870582696764236</v>
      </c>
      <c r="AN840" s="27">
        <v>0.9060441567807469</v>
      </c>
      <c r="AO840" s="27">
        <v>0.87275475888927179</v>
      </c>
      <c r="AP840" s="27">
        <v>0.78193396101841528</v>
      </c>
      <c r="AQ840" s="27">
        <v>0.91848859377723535</v>
      </c>
      <c r="AR840" s="27">
        <v>0.91870582696764236</v>
      </c>
      <c r="AS840" s="27">
        <v>0.9060441567807469</v>
      </c>
      <c r="AT840" s="27">
        <v>0.87275475888927179</v>
      </c>
      <c r="AU840" s="27">
        <v>0.78193396101841528</v>
      </c>
      <c r="AW840" s="1">
        <v>13.62441976743407</v>
      </c>
      <c r="AX840" s="1">
        <v>15.373552587687492</v>
      </c>
      <c r="AY840" s="2">
        <v>1649423.9977415458</v>
      </c>
      <c r="AZ840" s="1">
        <v>15.508763515524329</v>
      </c>
      <c r="BA840" s="1">
        <v>17.281221318766374</v>
      </c>
      <c r="BB840" s="2">
        <v>1189142.2713578276</v>
      </c>
      <c r="BC840" s="2">
        <f t="shared" ref="BC840:BC903" si="98">BB840-AY840</f>
        <v>-460281.7263837182</v>
      </c>
      <c r="BD840" s="292">
        <f t="shared" ref="BD840:BD903" si="99">AZ840-AW840</f>
        <v>1.8843437480902594</v>
      </c>
      <c r="BF840" s="170">
        <f t="shared" si="94"/>
        <v>530483.16504790518</v>
      </c>
      <c r="BG840" s="2">
        <f t="shared" si="95"/>
        <v>1292259.8911260653</v>
      </c>
      <c r="BI840">
        <f t="shared" si="96"/>
        <v>0</v>
      </c>
      <c r="BJ840" s="95">
        <f t="shared" si="97"/>
        <v>1</v>
      </c>
      <c r="BP840" s="217">
        <f t="shared" ref="BP840:BP903" si="100">MAX(BF840,BG840)</f>
        <v>1292259.8911260653</v>
      </c>
    </row>
    <row r="841" spans="1:68">
      <c r="A841" s="11">
        <v>835</v>
      </c>
      <c r="C841" s="27">
        <v>0.92341496192132821</v>
      </c>
      <c r="D841" s="27">
        <v>7.6585038078671744E-2</v>
      </c>
      <c r="E841" s="27">
        <v>0</v>
      </c>
      <c r="F841" s="27">
        <v>0.8575568997137033</v>
      </c>
      <c r="G841" s="27">
        <v>0.1424431002862967</v>
      </c>
      <c r="H841" s="27">
        <v>0</v>
      </c>
      <c r="I841" s="27">
        <v>0.74061270693428871</v>
      </c>
      <c r="J841" s="27">
        <v>0.25938729306571129</v>
      </c>
      <c r="K841" s="27">
        <v>0</v>
      </c>
      <c r="L841" s="27">
        <v>5.6235522652108516E-2</v>
      </c>
      <c r="M841" s="27">
        <v>0.50603146169207258</v>
      </c>
      <c r="N841" s="27">
        <v>0.4377330156558189</v>
      </c>
      <c r="O841" s="27">
        <v>-11.19341501739353</v>
      </c>
      <c r="P841" s="27">
        <v>3.4731669582449151E-2</v>
      </c>
      <c r="Q841" s="27">
        <v>5.9194324243800818E-5</v>
      </c>
      <c r="R841" s="27">
        <v>1.074523741108601</v>
      </c>
      <c r="S841" s="154"/>
      <c r="T841">
        <v>1.020706894670357</v>
      </c>
      <c r="U841">
        <v>2.2934746193089453</v>
      </c>
      <c r="V841">
        <v>2.9808841348230044</v>
      </c>
      <c r="W841">
        <v>1</v>
      </c>
      <c r="Y841" s="2">
        <v>2059.746090942981</v>
      </c>
      <c r="Z841" s="2">
        <v>649.62514370635574</v>
      </c>
      <c r="AA841" s="2">
        <v>554.1428011631416</v>
      </c>
      <c r="AB841" s="2">
        <v>2311.627786498464</v>
      </c>
      <c r="AC841" s="2">
        <v>140.12891773668827</v>
      </c>
      <c r="AD841" s="2">
        <v>903.07894684332848</v>
      </c>
      <c r="AE841" s="2">
        <v>525.36126117818503</v>
      </c>
      <c r="AF841" s="2">
        <v>1157.1537372215028</v>
      </c>
      <c r="AG841" s="2">
        <v>128.0888772151236</v>
      </c>
      <c r="AH841" s="2">
        <v>572.12079602836343</v>
      </c>
      <c r="AI841" s="2">
        <v>684931.60505807132</v>
      </c>
      <c r="AJ841" s="2">
        <v>640698.46106859576</v>
      </c>
      <c r="AL841" s="27">
        <v>0.91894409766183582</v>
      </c>
      <c r="AM841" s="27">
        <v>0.91513736135891388</v>
      </c>
      <c r="AN841" s="27">
        <v>0.90355860713156999</v>
      </c>
      <c r="AO841" s="27">
        <v>0.87965413861441633</v>
      </c>
      <c r="AP841" s="27">
        <v>0.72620900063248017</v>
      </c>
      <c r="AQ841" s="27">
        <v>0.91894409766183582</v>
      </c>
      <c r="AR841" s="27">
        <v>0.91513736135891388</v>
      </c>
      <c r="AS841" s="27">
        <v>0.90355860713156999</v>
      </c>
      <c r="AT841" s="27">
        <v>0.87965413861441633</v>
      </c>
      <c r="AU841" s="27">
        <v>0.72620900063248017</v>
      </c>
      <c r="AW841" s="1">
        <v>13.403816923789506</v>
      </c>
      <c r="AX841" s="1">
        <v>15.279196735521005</v>
      </c>
      <c r="AY841" s="2">
        <v>2471585.0049027088</v>
      </c>
      <c r="AZ841" s="1">
        <v>15.312959903243581</v>
      </c>
      <c r="BA841" s="1">
        <v>17.182685759379194</v>
      </c>
      <c r="BB841" s="2">
        <v>1779047.7519084904</v>
      </c>
      <c r="BC841" s="2">
        <f t="shared" si="98"/>
        <v>-692537.25299421838</v>
      </c>
      <c r="BD841" s="292">
        <f t="shared" si="99"/>
        <v>1.9091429794540744</v>
      </c>
      <c r="BF841" s="170">
        <f t="shared" si="94"/>
        <v>-326974.29709638795</v>
      </c>
      <c r="BG841" s="2">
        <f t="shared" si="95"/>
        <v>671025.83261048235</v>
      </c>
      <c r="BI841">
        <f t="shared" si="96"/>
        <v>0</v>
      </c>
      <c r="BJ841" s="95">
        <f t="shared" si="97"/>
        <v>1</v>
      </c>
      <c r="BP841" s="217">
        <f t="shared" si="100"/>
        <v>671025.83261048235</v>
      </c>
    </row>
    <row r="842" spans="1:68">
      <c r="A842" s="11">
        <v>836</v>
      </c>
      <c r="C842" s="27">
        <v>0.92273572092748268</v>
      </c>
      <c r="D842" s="27">
        <v>7.7264279072517317E-2</v>
      </c>
      <c r="E842" s="27">
        <v>0</v>
      </c>
      <c r="F842" s="27">
        <v>0.86125052443322281</v>
      </c>
      <c r="G842" s="27">
        <v>0.13874947556677719</v>
      </c>
      <c r="H842" s="27">
        <v>0</v>
      </c>
      <c r="I842" s="27">
        <v>0.74440981105766124</v>
      </c>
      <c r="J842" s="27">
        <v>0.25559018894233876</v>
      </c>
      <c r="K842" s="27">
        <v>0</v>
      </c>
      <c r="L842" s="27">
        <v>2.6668332203557799E-2</v>
      </c>
      <c r="M842" s="27">
        <v>0.56467024608008876</v>
      </c>
      <c r="N842" s="27">
        <v>0.40866142171635345</v>
      </c>
      <c r="O842" s="27">
        <v>-11.470858714585715</v>
      </c>
      <c r="P842" s="27">
        <v>3.4587886990287003E-2</v>
      </c>
      <c r="Q842" s="27">
        <v>4.458257541698358E-5</v>
      </c>
      <c r="R842" s="27">
        <v>1.1206866831596787</v>
      </c>
      <c r="S842" s="154"/>
      <c r="T842">
        <v>0.85961279769458776</v>
      </c>
      <c r="U842">
        <v>2.2947869293824952</v>
      </c>
      <c r="V842">
        <v>3.0273224392028104</v>
      </c>
      <c r="W842">
        <v>1</v>
      </c>
      <c r="Y842" s="2">
        <v>401.34115129107028</v>
      </c>
      <c r="Z842" s="2">
        <v>7153.4583985740919</v>
      </c>
      <c r="AA842" s="2">
        <v>1210.6458477438496</v>
      </c>
      <c r="AB842" s="2">
        <v>1338.5864029612585</v>
      </c>
      <c r="AC842" s="2">
        <v>2183.8004632745647</v>
      </c>
      <c r="AD842" s="2">
        <v>271.01759460546441</v>
      </c>
      <c r="AE842" s="2">
        <v>522.15898814270906</v>
      </c>
      <c r="AF842" s="2">
        <v>1029.5649137491423</v>
      </c>
      <c r="AG842" s="2">
        <v>78.914815451948627</v>
      </c>
      <c r="AH842" s="2">
        <v>530.63821889973917</v>
      </c>
      <c r="AI842" s="2">
        <v>485336.74343985901</v>
      </c>
      <c r="AJ842" s="2">
        <v>449120.26595020585</v>
      </c>
      <c r="AL842" s="27">
        <v>0.92284323793987799</v>
      </c>
      <c r="AM842" s="27">
        <v>0.90792124307475575</v>
      </c>
      <c r="AN842" s="27">
        <v>0.90906851520242948</v>
      </c>
      <c r="AO842" s="27">
        <v>0.88667587027858785</v>
      </c>
      <c r="AP842" s="27">
        <v>0.68512833693418951</v>
      </c>
      <c r="AQ842" s="27">
        <v>0.92284323793987799</v>
      </c>
      <c r="AR842" s="27">
        <v>0.90792124307475575</v>
      </c>
      <c r="AS842" s="27">
        <v>0.90906851520242948</v>
      </c>
      <c r="AT842" s="27">
        <v>0.88667587027858785</v>
      </c>
      <c r="AU842" s="27">
        <v>0.68512833693418951</v>
      </c>
      <c r="AW842" s="1">
        <v>13.859638549546514</v>
      </c>
      <c r="AX842" s="1">
        <v>15.823256544142001</v>
      </c>
      <c r="AY842" s="2">
        <v>1725820.4831124053</v>
      </c>
      <c r="AZ842" s="1">
        <v>15.299183320778569</v>
      </c>
      <c r="BA842" s="1">
        <v>17.249968266024769</v>
      </c>
      <c r="BB842" s="2">
        <v>1263794.6085692763</v>
      </c>
      <c r="BC842" s="2">
        <f t="shared" si="98"/>
        <v>-462025.874543129</v>
      </c>
      <c r="BD842" s="292">
        <f t="shared" si="99"/>
        <v>1.4395447712320557</v>
      </c>
      <c r="BF842" s="170">
        <f t="shared" si="94"/>
        <v>491721.68481503683</v>
      </c>
      <c r="BG842" s="2">
        <f t="shared" si="95"/>
        <v>1184074.722755295</v>
      </c>
      <c r="BI842">
        <f t="shared" si="96"/>
        <v>0</v>
      </c>
      <c r="BJ842" s="95">
        <f t="shared" si="97"/>
        <v>1</v>
      </c>
      <c r="BP842" s="217">
        <f t="shared" si="100"/>
        <v>1184074.722755295</v>
      </c>
    </row>
    <row r="843" spans="1:68">
      <c r="A843" s="11">
        <v>837</v>
      </c>
      <c r="C843" s="27">
        <v>0.92141195174723345</v>
      </c>
      <c r="D843" s="27">
        <v>7.8588048252766551E-2</v>
      </c>
      <c r="E843" s="27">
        <v>0</v>
      </c>
      <c r="F843" s="27">
        <v>0.8590175267046416</v>
      </c>
      <c r="G843" s="27">
        <v>0.14098247329535837</v>
      </c>
      <c r="H843" s="27">
        <v>0</v>
      </c>
      <c r="I843" s="27">
        <v>0.75146151007778206</v>
      </c>
      <c r="J843" s="27">
        <v>0.24853848992221797</v>
      </c>
      <c r="K843" s="27">
        <v>0</v>
      </c>
      <c r="L843" s="27">
        <v>9.5385533062605776E-2</v>
      </c>
      <c r="M843" s="27">
        <v>0.46676631113084988</v>
      </c>
      <c r="N843" s="27">
        <v>0.43784815580654435</v>
      </c>
      <c r="O843" s="27">
        <v>-11.606042999540287</v>
      </c>
      <c r="P843" s="27">
        <v>3.986515907467008E-2</v>
      </c>
      <c r="Q843" s="27">
        <v>4.8608783234148246E-5</v>
      </c>
      <c r="R843" s="27">
        <v>1.0911625198128183</v>
      </c>
      <c r="S843" s="154"/>
      <c r="T843">
        <v>0.93898016843418397</v>
      </c>
      <c r="U843">
        <v>2.2641919364880416</v>
      </c>
      <c r="V843">
        <v>3.0285337995475059</v>
      </c>
      <c r="W843">
        <v>1</v>
      </c>
      <c r="Y843" s="2">
        <v>190.35950690146038</v>
      </c>
      <c r="Z843" s="2">
        <v>5925.0403565842753</v>
      </c>
      <c r="AA843" s="2">
        <v>1484.3595034207908</v>
      </c>
      <c r="AB843" s="2">
        <v>8539.9010618523989</v>
      </c>
      <c r="AC843" s="2">
        <v>164.11317496074395</v>
      </c>
      <c r="AD843" s="2">
        <v>1496.5752355804032</v>
      </c>
      <c r="AE843" s="2">
        <v>637.9043561833812</v>
      </c>
      <c r="AF843" s="2">
        <v>1181.613621262878</v>
      </c>
      <c r="AG843" s="2">
        <v>163.08963851614263</v>
      </c>
      <c r="AH843" s="2">
        <v>427.48768774059926</v>
      </c>
      <c r="AI843" s="2">
        <v>409875.63802598149</v>
      </c>
      <c r="AJ843" s="2">
        <v>392788.59222930088</v>
      </c>
      <c r="AL843" s="27">
        <v>0.91045282528390292</v>
      </c>
      <c r="AM843" s="27">
        <v>0.91539572993290519</v>
      </c>
      <c r="AN843" s="27">
        <v>0.91213922173225348</v>
      </c>
      <c r="AO843" s="27">
        <v>0.87268679696505225</v>
      </c>
      <c r="AP843" s="27">
        <v>0.69317033053045418</v>
      </c>
      <c r="AQ843" s="27">
        <v>0.91045282528390292</v>
      </c>
      <c r="AR843" s="27">
        <v>0.91539572993290519</v>
      </c>
      <c r="AS843" s="27">
        <v>0.91213922173225348</v>
      </c>
      <c r="AT843" s="27">
        <v>0.87268679696505225</v>
      </c>
      <c r="AU843" s="27">
        <v>0.69317033053045418</v>
      </c>
      <c r="AW843" s="1">
        <v>13.403100240120523</v>
      </c>
      <c r="AX843" s="1">
        <v>15.426624141429864</v>
      </c>
      <c r="AY843" s="2">
        <v>1494907.7376925221</v>
      </c>
      <c r="AZ843" s="1">
        <v>15.151575501685375</v>
      </c>
      <c r="BA843" s="1">
        <v>17.139185095642773</v>
      </c>
      <c r="BB843" s="2">
        <v>1221951.9297353742</v>
      </c>
      <c r="BC843" s="2">
        <f t="shared" si="98"/>
        <v>-272955.80795714795</v>
      </c>
      <c r="BD843" s="292">
        <f t="shared" si="99"/>
        <v>1.7484752615648524</v>
      </c>
      <c r="BF843" s="170">
        <f t="shared" si="94"/>
        <v>649588.30072676134</v>
      </c>
      <c r="BG843" s="2">
        <f t="shared" si="95"/>
        <v>1202300.1505342857</v>
      </c>
      <c r="BI843">
        <f t="shared" si="96"/>
        <v>0</v>
      </c>
      <c r="BJ843" s="95">
        <f t="shared" si="97"/>
        <v>1</v>
      </c>
      <c r="BP843" s="217">
        <f t="shared" si="100"/>
        <v>1202300.1505342857</v>
      </c>
    </row>
    <row r="844" spans="1:68">
      <c r="A844" s="11">
        <v>838</v>
      </c>
      <c r="C844" s="27">
        <v>0.92412224845392699</v>
      </c>
      <c r="D844" s="27">
        <v>7.5877751546073027E-2</v>
      </c>
      <c r="E844" s="27">
        <v>0</v>
      </c>
      <c r="F844" s="27">
        <v>0.85605201116980434</v>
      </c>
      <c r="G844" s="27">
        <v>0.14394798883019566</v>
      </c>
      <c r="H844" s="27">
        <v>0</v>
      </c>
      <c r="I844" s="27">
        <v>0.75655669098328648</v>
      </c>
      <c r="J844" s="27">
        <v>0.24344330901671352</v>
      </c>
      <c r="K844" s="27">
        <v>0</v>
      </c>
      <c r="L844" s="27">
        <v>0.1418615089324522</v>
      </c>
      <c r="M844" s="27">
        <v>0.48842244070404423</v>
      </c>
      <c r="N844" s="27">
        <v>0.36971605036350352</v>
      </c>
      <c r="O844" s="27">
        <v>-11.504224320920585</v>
      </c>
      <c r="P844" s="27">
        <v>3.7858669213199851E-2</v>
      </c>
      <c r="Q844" s="27">
        <v>4.9469204467377888E-5</v>
      </c>
      <c r="R844" s="27">
        <v>1.1034255780383955</v>
      </c>
      <c r="S844" s="154"/>
      <c r="T844">
        <v>1.0006451384453217</v>
      </c>
      <c r="U844">
        <v>2.2363776121094565</v>
      </c>
      <c r="V844">
        <v>2.9011552339507203</v>
      </c>
      <c r="W844">
        <v>1</v>
      </c>
      <c r="Y844" s="2">
        <v>312.46715220974528</v>
      </c>
      <c r="Z844" s="2">
        <v>1210.0989892204748</v>
      </c>
      <c r="AA844" s="2">
        <v>1692.5204342984555</v>
      </c>
      <c r="AB844" s="2">
        <v>1141.8057156363445</v>
      </c>
      <c r="AC844" s="2">
        <v>631.04982323358354</v>
      </c>
      <c r="AD844" s="2">
        <v>1994.9235743619297</v>
      </c>
      <c r="AE844" s="2">
        <v>474.5749818535113</v>
      </c>
      <c r="AF844" s="2">
        <v>1123.7444711212906</v>
      </c>
      <c r="AG844" s="2">
        <v>137.864244763698</v>
      </c>
      <c r="AH844" s="2">
        <v>214.47541628310597</v>
      </c>
      <c r="AI844" s="2">
        <v>368331.21184796258</v>
      </c>
      <c r="AJ844" s="2">
        <v>330390.11078845593</v>
      </c>
      <c r="AL844" s="27">
        <v>0.91795744483084629</v>
      </c>
      <c r="AM844" s="27">
        <v>0.91678319148477327</v>
      </c>
      <c r="AN844" s="27">
        <v>0.91355284880264775</v>
      </c>
      <c r="AO844" s="27">
        <v>0.86381818405085797</v>
      </c>
      <c r="AP844" s="27">
        <v>0.72966565365855551</v>
      </c>
      <c r="AQ844" s="27">
        <v>0.91795744483084629</v>
      </c>
      <c r="AR844" s="27">
        <v>0.91678319148477327</v>
      </c>
      <c r="AS844" s="27">
        <v>0.91355284880264775</v>
      </c>
      <c r="AT844" s="27">
        <v>0.86381818405085797</v>
      </c>
      <c r="AU844" s="27">
        <v>0.72966565365855551</v>
      </c>
      <c r="AW844" s="1">
        <v>13.640190435535159</v>
      </c>
      <c r="AX844" s="1">
        <v>15.532427177115526</v>
      </c>
      <c r="AY844" s="2">
        <v>1276566.0461636526</v>
      </c>
      <c r="AZ844" s="1">
        <v>15.457942035378757</v>
      </c>
      <c r="BA844" s="1">
        <v>17.327805113654509</v>
      </c>
      <c r="BB844" s="2">
        <v>972264.71599954204</v>
      </c>
      <c r="BC844" s="2">
        <f t="shared" si="98"/>
        <v>-304301.33016411052</v>
      </c>
      <c r="BD844" s="292">
        <f t="shared" si="99"/>
        <v>1.8177515998435982</v>
      </c>
      <c r="BF844" s="170">
        <f t="shared" si="94"/>
        <v>905864.42352197273</v>
      </c>
      <c r="BG844" s="2">
        <f t="shared" si="95"/>
        <v>1501006.0096610591</v>
      </c>
      <c r="BI844">
        <f t="shared" si="96"/>
        <v>0</v>
      </c>
      <c r="BJ844" s="95">
        <f t="shared" si="97"/>
        <v>1</v>
      </c>
      <c r="BP844" s="217">
        <f t="shared" si="100"/>
        <v>1501006.0096610591</v>
      </c>
    </row>
    <row r="845" spans="1:68">
      <c r="A845" s="11">
        <v>839</v>
      </c>
      <c r="C845" s="27">
        <v>0.92578589813817758</v>
      </c>
      <c r="D845" s="27">
        <v>7.4214101861822424E-2</v>
      </c>
      <c r="E845" s="27">
        <v>0</v>
      </c>
      <c r="F845" s="27">
        <v>0.85501456224623662</v>
      </c>
      <c r="G845" s="27">
        <v>0.14498543775376338</v>
      </c>
      <c r="H845" s="27">
        <v>0</v>
      </c>
      <c r="I845" s="27">
        <v>0.74863474210269632</v>
      </c>
      <c r="J845" s="27">
        <v>0.25136525789730368</v>
      </c>
      <c r="K845" s="27">
        <v>0</v>
      </c>
      <c r="L845" s="27">
        <v>0.11291341873863231</v>
      </c>
      <c r="M845" s="27">
        <v>0.55409569204056108</v>
      </c>
      <c r="N845" s="27">
        <v>0.33299088922080661</v>
      </c>
      <c r="O845" s="27">
        <v>-11.257692729782818</v>
      </c>
      <c r="P845" s="27">
        <v>3.4725811466216026E-2</v>
      </c>
      <c r="Q845" s="27">
        <v>5.5495498522624904E-5</v>
      </c>
      <c r="R845" s="27">
        <v>1.0847050932469433</v>
      </c>
      <c r="S845" s="154"/>
      <c r="T845">
        <v>1.0936602148847747</v>
      </c>
      <c r="U845">
        <v>2.1708667498319385</v>
      </c>
      <c r="V845">
        <v>2.9847845360707068</v>
      </c>
      <c r="W845">
        <v>1</v>
      </c>
      <c r="Y845" s="2">
        <v>161.05688861646067</v>
      </c>
      <c r="Z845" s="2">
        <v>2694.0533447594926</v>
      </c>
      <c r="AA845" s="2">
        <v>256.48407155153171</v>
      </c>
      <c r="AB845" s="2">
        <v>9678.6757769209289</v>
      </c>
      <c r="AC845" s="2">
        <v>322.10082432186744</v>
      </c>
      <c r="AD845" s="2">
        <v>1158.4972430213688</v>
      </c>
      <c r="AE845" s="2">
        <v>550.73902763166961</v>
      </c>
      <c r="AF845" s="2">
        <v>1181.0249380733192</v>
      </c>
      <c r="AG845" s="2">
        <v>145.08575383697479</v>
      </c>
      <c r="AH845" s="2">
        <v>210.00611221205219</v>
      </c>
      <c r="AI845" s="2">
        <v>731950.94124162511</v>
      </c>
      <c r="AJ845" s="2">
        <v>706367.2949669935</v>
      </c>
      <c r="AL845" s="27">
        <v>0.91906591854988617</v>
      </c>
      <c r="AM845" s="27">
        <v>0.91055619753943984</v>
      </c>
      <c r="AN845" s="27">
        <v>0.90735872162884945</v>
      </c>
      <c r="AO845" s="27">
        <v>0.85502796980501528</v>
      </c>
      <c r="AP845" s="27">
        <v>0.72653621455669692</v>
      </c>
      <c r="AQ845" s="27">
        <v>0.91906591854988617</v>
      </c>
      <c r="AR845" s="27">
        <v>0.91055619753943984</v>
      </c>
      <c r="AS845" s="27">
        <v>0.90735872162884945</v>
      </c>
      <c r="AT845" s="27">
        <v>0.85502796980501528</v>
      </c>
      <c r="AU845" s="27">
        <v>0.72653621455669692</v>
      </c>
      <c r="AW845" s="1">
        <v>13.690145586846462</v>
      </c>
      <c r="AX845" s="1">
        <v>15.716789960435166</v>
      </c>
      <c r="AY845" s="2">
        <v>3138864.3310267897</v>
      </c>
      <c r="AZ845" s="1">
        <v>15.614848225989128</v>
      </c>
      <c r="BA845" s="1">
        <v>17.59151209645135</v>
      </c>
      <c r="BB845" s="2">
        <v>2299731.9458501618</v>
      </c>
      <c r="BC845" s="2">
        <f t="shared" si="98"/>
        <v>-839132.3851766279</v>
      </c>
      <c r="BD845" s="292">
        <f t="shared" si="99"/>
        <v>1.9247026391426658</v>
      </c>
      <c r="BF845" s="170">
        <f t="shared" si="94"/>
        <v>-948441.03713135561</v>
      </c>
      <c r="BG845" s="2">
        <f t="shared" si="95"/>
        <v>198643.77030809876</v>
      </c>
      <c r="BI845">
        <f t="shared" si="96"/>
        <v>0</v>
      </c>
      <c r="BJ845" s="95">
        <f t="shared" si="97"/>
        <v>1</v>
      </c>
      <c r="BP845" s="217">
        <f t="shared" si="100"/>
        <v>198643.77030809876</v>
      </c>
    </row>
    <row r="846" spans="1:68">
      <c r="A846" s="11">
        <v>840</v>
      </c>
      <c r="C846" s="27">
        <v>0.92278805277702969</v>
      </c>
      <c r="D846" s="27">
        <v>7.7211947222970312E-2</v>
      </c>
      <c r="E846" s="27">
        <v>0</v>
      </c>
      <c r="F846" s="27">
        <v>0.86259980443391504</v>
      </c>
      <c r="G846" s="27">
        <v>0.13740019556608496</v>
      </c>
      <c r="H846" s="27">
        <v>0</v>
      </c>
      <c r="I846" s="27">
        <v>0.75192313290810464</v>
      </c>
      <c r="J846" s="27">
        <v>0.2480768670918953</v>
      </c>
      <c r="K846" s="27">
        <v>0</v>
      </c>
      <c r="L846" s="27">
        <v>9.182576072906079E-2</v>
      </c>
      <c r="M846" s="27">
        <v>0.50932857438933676</v>
      </c>
      <c r="N846" s="27">
        <v>0.39884566488160245</v>
      </c>
      <c r="O846" s="27">
        <v>-11.207088158056514</v>
      </c>
      <c r="P846" s="27">
        <v>3.6049036259562205E-2</v>
      </c>
      <c r="Q846" s="27">
        <v>6.1712217309532749E-5</v>
      </c>
      <c r="R846" s="27">
        <v>1.0639703507775298</v>
      </c>
      <c r="S846" s="154"/>
      <c r="T846">
        <v>1.0705882814898404</v>
      </c>
      <c r="U846">
        <v>2.1932000604601103</v>
      </c>
      <c r="V846">
        <v>2.9895475979961925</v>
      </c>
      <c r="W846">
        <v>1</v>
      </c>
      <c r="Y846" s="2">
        <v>932.76382283168675</v>
      </c>
      <c r="Z846" s="2">
        <v>5374.3562557087189</v>
      </c>
      <c r="AA846" s="2">
        <v>1328.2236526183483</v>
      </c>
      <c r="AB846" s="2">
        <v>848.21036127885043</v>
      </c>
      <c r="AC846" s="2">
        <v>713.05220963006491</v>
      </c>
      <c r="AD846" s="2">
        <v>443.13375389373584</v>
      </c>
      <c r="AE846" s="2">
        <v>512.00958260245886</v>
      </c>
      <c r="AF846" s="2">
        <v>1021.8446721896781</v>
      </c>
      <c r="AG846" s="2">
        <v>155.01325525380091</v>
      </c>
      <c r="AH846" s="2">
        <v>617.23770295489476</v>
      </c>
      <c r="AI846" s="2">
        <v>422171.21443739795</v>
      </c>
      <c r="AJ846" s="2">
        <v>391376.65912294935</v>
      </c>
      <c r="AL846" s="27">
        <v>0.91637858518092152</v>
      </c>
      <c r="AM846" s="27">
        <v>0.9188732295856904</v>
      </c>
      <c r="AN846" s="27">
        <v>0.90498812755779345</v>
      </c>
      <c r="AO846" s="27">
        <v>0.84799526558929905</v>
      </c>
      <c r="AP846" s="27">
        <v>0.70499624187246979</v>
      </c>
      <c r="AQ846" s="27">
        <v>0.91637858518092152</v>
      </c>
      <c r="AR846" s="27">
        <v>0.9188732295856904</v>
      </c>
      <c r="AS846" s="27">
        <v>0.90498812755779345</v>
      </c>
      <c r="AT846" s="27">
        <v>0.84799526558929905</v>
      </c>
      <c r="AU846" s="27">
        <v>0.70499624187246979</v>
      </c>
      <c r="AW846" s="1">
        <v>13.412619414491456</v>
      </c>
      <c r="AX846" s="1">
        <v>15.453651863727586</v>
      </c>
      <c r="AY846" s="2">
        <v>1701256.6344798808</v>
      </c>
      <c r="AZ846" s="1">
        <v>15.436652307199138</v>
      </c>
      <c r="BA846" s="1">
        <v>17.414582386544563</v>
      </c>
      <c r="BB846" s="2">
        <v>1150727.5939816353</v>
      </c>
      <c r="BC846" s="2">
        <f t="shared" si="98"/>
        <v>-550529.04049824551</v>
      </c>
      <c r="BD846" s="292">
        <f t="shared" si="99"/>
        <v>2.0240328927076821</v>
      </c>
      <c r="BF846" s="170">
        <f t="shared" si="94"/>
        <v>444762.47183875227</v>
      </c>
      <c r="BG846" s="2">
        <f t="shared" si="95"/>
        <v>1319136.7751702266</v>
      </c>
      <c r="BI846">
        <f t="shared" si="96"/>
        <v>0</v>
      </c>
      <c r="BJ846" s="95">
        <f t="shared" si="97"/>
        <v>1</v>
      </c>
      <c r="BP846" s="217">
        <f t="shared" si="100"/>
        <v>1319136.7751702266</v>
      </c>
    </row>
    <row r="847" spans="1:68">
      <c r="A847" s="11">
        <v>841</v>
      </c>
      <c r="C847" s="27">
        <v>0.92305774345030622</v>
      </c>
      <c r="D847" s="27">
        <v>7.6942256549693777E-2</v>
      </c>
      <c r="E847" s="27">
        <v>0</v>
      </c>
      <c r="F847" s="27">
        <v>0.85506381497103146</v>
      </c>
      <c r="G847" s="27">
        <v>0.14493618502896854</v>
      </c>
      <c r="H847" s="27">
        <v>0</v>
      </c>
      <c r="I847" s="27">
        <v>0.74821451343961332</v>
      </c>
      <c r="J847" s="27">
        <v>0.25178548656038668</v>
      </c>
      <c r="K847" s="27">
        <v>0</v>
      </c>
      <c r="L847" s="27">
        <v>5.4817309000649739E-2</v>
      </c>
      <c r="M847" s="27">
        <v>0.54669250445352646</v>
      </c>
      <c r="N847" s="27">
        <v>0.3984901865458238</v>
      </c>
      <c r="O847" s="27">
        <v>-11.315550533413013</v>
      </c>
      <c r="P847" s="27">
        <v>3.402640359811427E-2</v>
      </c>
      <c r="Q847" s="27">
        <v>5.0859604090928425E-5</v>
      </c>
      <c r="R847" s="27">
        <v>1.0996342120188347</v>
      </c>
      <c r="S847" s="154"/>
      <c r="T847">
        <v>1.1139948275485771</v>
      </c>
      <c r="U847">
        <v>2.2158678114859667</v>
      </c>
      <c r="V847">
        <v>2.9328232334038984</v>
      </c>
      <c r="W847">
        <v>1</v>
      </c>
      <c r="Y847" s="2">
        <v>314.03026972857378</v>
      </c>
      <c r="Z847" s="2">
        <v>320.44770719175602</v>
      </c>
      <c r="AA847" s="2">
        <v>347.82256390963545</v>
      </c>
      <c r="AB847" s="2">
        <v>3700.6157801303693</v>
      </c>
      <c r="AC847" s="2">
        <v>1694.20431820268</v>
      </c>
      <c r="AD847" s="2">
        <v>1562.5599747496119</v>
      </c>
      <c r="AE847" s="2">
        <v>622.8791567268911</v>
      </c>
      <c r="AF847" s="2">
        <v>1080.2680419484627</v>
      </c>
      <c r="AG847" s="2">
        <v>101.59648638571262</v>
      </c>
      <c r="AH847" s="2">
        <v>430.04856902908045</v>
      </c>
      <c r="AI847" s="2">
        <v>460314.71090526343</v>
      </c>
      <c r="AJ847" s="2">
        <v>424164.44242543308</v>
      </c>
      <c r="AL847" s="27">
        <v>0.90981714466219421</v>
      </c>
      <c r="AM847" s="27">
        <v>0.91518683626840291</v>
      </c>
      <c r="AN847" s="27">
        <v>0.91275574960161121</v>
      </c>
      <c r="AO847" s="27">
        <v>0.90317094288174193</v>
      </c>
      <c r="AP847" s="27">
        <v>0.66534837409731673</v>
      </c>
      <c r="AQ847" s="27">
        <v>0.90981714466219421</v>
      </c>
      <c r="AR847" s="27">
        <v>0.91518683626840291</v>
      </c>
      <c r="AS847" s="27">
        <v>0.91275574960161121</v>
      </c>
      <c r="AT847" s="27">
        <v>0.90317094288174193</v>
      </c>
      <c r="AU847" s="27">
        <v>0.66534837409731673</v>
      </c>
      <c r="AW847" s="1">
        <v>13.011966922609261</v>
      </c>
      <c r="AX847" s="1">
        <v>15.188046343864007</v>
      </c>
      <c r="AY847" s="2">
        <v>1771913.2049719342</v>
      </c>
      <c r="AZ847" s="1">
        <v>15.182189448733174</v>
      </c>
      <c r="BA847" s="1">
        <v>17.271712355368276</v>
      </c>
      <c r="BB847" s="2">
        <v>1283245.8694987404</v>
      </c>
      <c r="BC847" s="2">
        <f t="shared" si="98"/>
        <v>-488667.33547319379</v>
      </c>
      <c r="BD847" s="292">
        <f t="shared" si="99"/>
        <v>2.1702225261239132</v>
      </c>
      <c r="BF847" s="170">
        <f t="shared" si="94"/>
        <v>310001.5026455475</v>
      </c>
      <c r="BG847" s="2">
        <f t="shared" si="95"/>
        <v>1145904.4422985674</v>
      </c>
      <c r="BI847">
        <f t="shared" si="96"/>
        <v>0</v>
      </c>
      <c r="BJ847" s="95">
        <f t="shared" si="97"/>
        <v>1</v>
      </c>
      <c r="BP847" s="217">
        <f t="shared" si="100"/>
        <v>1145904.4422985674</v>
      </c>
    </row>
    <row r="848" spans="1:68">
      <c r="A848" s="11">
        <v>842</v>
      </c>
      <c r="C848" s="27">
        <v>0.92469968477333453</v>
      </c>
      <c r="D848" s="27">
        <v>7.5300315226665443E-2</v>
      </c>
      <c r="E848" s="27">
        <v>0</v>
      </c>
      <c r="F848" s="27">
        <v>0.85340715057198591</v>
      </c>
      <c r="G848" s="27">
        <v>0.14659284942801409</v>
      </c>
      <c r="H848" s="27">
        <v>0</v>
      </c>
      <c r="I848" s="27">
        <v>0.75443877583109586</v>
      </c>
      <c r="J848" s="27">
        <v>0.24556122416890416</v>
      </c>
      <c r="K848" s="27">
        <v>0</v>
      </c>
      <c r="L848" s="27">
        <v>0.14314429736880507</v>
      </c>
      <c r="M848" s="27">
        <v>0.53140821454548015</v>
      </c>
      <c r="N848" s="27">
        <v>0.32544748808571478</v>
      </c>
      <c r="O848" s="27">
        <v>-10.646646924381814</v>
      </c>
      <c r="P848" s="27">
        <v>3.2249634043670004E-2</v>
      </c>
      <c r="Q848" s="27">
        <v>9.2143603104606758E-5</v>
      </c>
      <c r="R848" s="27">
        <v>1.0178142426531909</v>
      </c>
      <c r="S848" s="154"/>
      <c r="T848">
        <v>1.089228631438796</v>
      </c>
      <c r="U848">
        <v>2.2451683859759997</v>
      </c>
      <c r="V848">
        <v>2.9407592386057542</v>
      </c>
      <c r="W848">
        <v>1</v>
      </c>
      <c r="Y848" s="2">
        <v>76.602743749842418</v>
      </c>
      <c r="Z848" s="2">
        <v>1068.3407250555056</v>
      </c>
      <c r="AA848" s="2">
        <v>8434.2986573377548</v>
      </c>
      <c r="AB848" s="2">
        <v>5138.4083639348974</v>
      </c>
      <c r="AC848" s="2">
        <v>650.46635415607557</v>
      </c>
      <c r="AD848" s="2">
        <v>196.44232470972696</v>
      </c>
      <c r="AE848" s="2">
        <v>564.17432481554238</v>
      </c>
      <c r="AF848" s="2">
        <v>963.33299005279332</v>
      </c>
      <c r="AG848" s="2">
        <v>105.42563969059147</v>
      </c>
      <c r="AH848" s="2">
        <v>880.64596432522126</v>
      </c>
      <c r="AI848" s="2">
        <v>420369.37579137151</v>
      </c>
      <c r="AJ848" s="2">
        <v>377892.93301665224</v>
      </c>
      <c r="AL848" s="27">
        <v>0.91582648434451341</v>
      </c>
      <c r="AM848" s="27">
        <v>0.91571916899279227</v>
      </c>
      <c r="AN848" s="27">
        <v>0.90990899492138011</v>
      </c>
      <c r="AO848" s="27">
        <v>0.85541122528631541</v>
      </c>
      <c r="AP848" s="27">
        <v>0.64995946122388115</v>
      </c>
      <c r="AQ848" s="27">
        <v>0.91582648434451341</v>
      </c>
      <c r="AR848" s="27">
        <v>0.91571916899279227</v>
      </c>
      <c r="AS848" s="27">
        <v>0.90990899492138011</v>
      </c>
      <c r="AT848" s="27">
        <v>0.85541122528631541</v>
      </c>
      <c r="AU848" s="27">
        <v>0.64995946122388115</v>
      </c>
      <c r="AW848" s="1">
        <v>13.456594156662536</v>
      </c>
      <c r="AX848" s="1">
        <v>15.831638073258327</v>
      </c>
      <c r="AY848" s="2">
        <v>1780748.3523983958</v>
      </c>
      <c r="AZ848" s="1">
        <v>15.47503607420118</v>
      </c>
      <c r="BA848" s="1">
        <v>17.684087401761804</v>
      </c>
      <c r="BB848" s="2">
        <v>1439767.3059176898</v>
      </c>
      <c r="BC848" s="2">
        <f t="shared" si="98"/>
        <v>-340981.04648070596</v>
      </c>
      <c r="BD848" s="292">
        <f t="shared" si="99"/>
        <v>2.0184419175386434</v>
      </c>
      <c r="BF848" s="170">
        <f t="shared" si="94"/>
        <v>372306.7126676098</v>
      </c>
      <c r="BG848" s="2">
        <f t="shared" si="95"/>
        <v>1036238.4659544991</v>
      </c>
      <c r="BI848">
        <f t="shared" si="96"/>
        <v>0</v>
      </c>
      <c r="BJ848" s="95">
        <f t="shared" si="97"/>
        <v>1</v>
      </c>
      <c r="BP848" s="217">
        <f t="shared" si="100"/>
        <v>1036238.4659544991</v>
      </c>
    </row>
    <row r="849" spans="1:68">
      <c r="A849" s="11">
        <v>843</v>
      </c>
      <c r="C849" s="27">
        <v>0.92456708112649222</v>
      </c>
      <c r="D849" s="27">
        <v>7.543291887350774E-2</v>
      </c>
      <c r="E849" s="27">
        <v>0</v>
      </c>
      <c r="F849" s="27">
        <v>0.8618483234890798</v>
      </c>
      <c r="G849" s="27">
        <v>0.1381516765109202</v>
      </c>
      <c r="H849" s="27">
        <v>0</v>
      </c>
      <c r="I849" s="27">
        <v>0.75341678141731971</v>
      </c>
      <c r="J849" s="27">
        <v>0.24658321858268026</v>
      </c>
      <c r="K849" s="27">
        <v>0</v>
      </c>
      <c r="L849" s="27">
        <v>0.14782267244727754</v>
      </c>
      <c r="M849" s="27">
        <v>0.49686693496941942</v>
      </c>
      <c r="N849" s="27">
        <v>0.35531039258330299</v>
      </c>
      <c r="O849" s="27">
        <v>-10.848712535100026</v>
      </c>
      <c r="P849" s="27">
        <v>3.2522994196957339E-2</v>
      </c>
      <c r="Q849" s="27">
        <v>7.615447012060735E-5</v>
      </c>
      <c r="R849" s="27">
        <v>1.0490517922567333</v>
      </c>
      <c r="S849" s="154"/>
      <c r="T849">
        <v>1.0542763268524593</v>
      </c>
      <c r="U849">
        <v>2.2842531709241638</v>
      </c>
      <c r="V849">
        <v>2.7915894064735771</v>
      </c>
      <c r="W849">
        <v>1</v>
      </c>
      <c r="Y849" s="2">
        <v>1485.5448851996134</v>
      </c>
      <c r="Z849" s="2">
        <v>9062.5781122374319</v>
      </c>
      <c r="AA849" s="2">
        <v>4649.1811928983152</v>
      </c>
      <c r="AB849" s="2">
        <v>3347.4321516893192</v>
      </c>
      <c r="AC849" s="2">
        <v>1647.653433626871</v>
      </c>
      <c r="AD849" s="2">
        <v>613.6159396234118</v>
      </c>
      <c r="AE849" s="2">
        <v>603.83357118189565</v>
      </c>
      <c r="AF849" s="2">
        <v>1098.7513628653999</v>
      </c>
      <c r="AG849" s="2">
        <v>64.7632532121727</v>
      </c>
      <c r="AH849" s="2">
        <v>390.69970414810234</v>
      </c>
      <c r="AI849" s="2">
        <v>667626.58863209572</v>
      </c>
      <c r="AJ849" s="2">
        <v>623850.78613299713</v>
      </c>
      <c r="AL849" s="27">
        <v>0.92069055288709278</v>
      </c>
      <c r="AM849" s="27">
        <v>0.9065872781756743</v>
      </c>
      <c r="AN849" s="27">
        <v>0.90670367812396391</v>
      </c>
      <c r="AO849" s="27">
        <v>0.83672864380584588</v>
      </c>
      <c r="AP849" s="27">
        <v>0.7956463851619916</v>
      </c>
      <c r="AQ849" s="27">
        <v>0.92069055288709278</v>
      </c>
      <c r="AR849" s="27">
        <v>0.9065872781756743</v>
      </c>
      <c r="AS849" s="27">
        <v>0.90670367812396391</v>
      </c>
      <c r="AT849" s="27">
        <v>0.83672864380584588</v>
      </c>
      <c r="AU849" s="27">
        <v>0.7956463851619916</v>
      </c>
      <c r="AW849" s="1">
        <v>13.879213803735833</v>
      </c>
      <c r="AX849" s="1">
        <v>15.627345234847539</v>
      </c>
      <c r="AY849" s="2">
        <v>2704440.9376569847</v>
      </c>
      <c r="AZ849" s="1">
        <v>15.7248142767377</v>
      </c>
      <c r="BA849" s="1">
        <v>17.518749339462783</v>
      </c>
      <c r="BB849" s="2">
        <v>1889813.6134698233</v>
      </c>
      <c r="BC849" s="2">
        <f t="shared" si="98"/>
        <v>-814627.3241871614</v>
      </c>
      <c r="BD849" s="292">
        <f t="shared" si="99"/>
        <v>1.8456004730018662</v>
      </c>
      <c r="BF849" s="170">
        <f t="shared" si="94"/>
        <v>-483766.72905925149</v>
      </c>
      <c r="BG849" s="2">
        <f t="shared" si="95"/>
        <v>626156.67080820864</v>
      </c>
      <c r="BI849">
        <f t="shared" si="96"/>
        <v>0</v>
      </c>
      <c r="BJ849" s="95">
        <f t="shared" si="97"/>
        <v>1</v>
      </c>
      <c r="BP849" s="217">
        <f t="shared" si="100"/>
        <v>626156.67080820864</v>
      </c>
    </row>
    <row r="850" spans="1:68">
      <c r="A850" s="11">
        <v>844</v>
      </c>
      <c r="C850" s="27">
        <v>0.92098375758176276</v>
      </c>
      <c r="D850" s="27">
        <v>7.9016242418237237E-2</v>
      </c>
      <c r="E850" s="27">
        <v>0</v>
      </c>
      <c r="F850" s="27">
        <v>0.85612877510879093</v>
      </c>
      <c r="G850" s="27">
        <v>0.14387122489120907</v>
      </c>
      <c r="H850" s="27">
        <v>0</v>
      </c>
      <c r="I850" s="27">
        <v>0.74084238859645624</v>
      </c>
      <c r="J850" s="27">
        <v>0.25915761140354376</v>
      </c>
      <c r="K850" s="27">
        <v>0</v>
      </c>
      <c r="L850" s="27">
        <v>0.12229438445415319</v>
      </c>
      <c r="M850" s="27">
        <v>0.5145136098302705</v>
      </c>
      <c r="N850" s="27">
        <v>0.3631920057155763</v>
      </c>
      <c r="O850" s="27">
        <v>-10.983008761162496</v>
      </c>
      <c r="P850" s="27">
        <v>3.4291649584460369E-2</v>
      </c>
      <c r="Q850" s="27">
        <v>7.1718668215870921E-5</v>
      </c>
      <c r="R850" s="27">
        <v>1.0569074674195686</v>
      </c>
      <c r="S850" s="154"/>
      <c r="T850">
        <v>0.95350653055927836</v>
      </c>
      <c r="U850">
        <v>2.2453910111321753</v>
      </c>
      <c r="V850">
        <v>2.882262959866527</v>
      </c>
      <c r="W850">
        <v>1</v>
      </c>
      <c r="Y850" s="2">
        <v>241.34938243302256</v>
      </c>
      <c r="Z850" s="2">
        <v>835.9449548755972</v>
      </c>
      <c r="AA850" s="2">
        <v>497.28177732162703</v>
      </c>
      <c r="AB850" s="2">
        <v>5289.7297971115477</v>
      </c>
      <c r="AC850" s="2">
        <v>549.19609850420557</v>
      </c>
      <c r="AD850" s="2">
        <v>102.87205542019568</v>
      </c>
      <c r="AE850" s="2">
        <v>535.18302023639023</v>
      </c>
      <c r="AF850" s="2">
        <v>1025.5826100648737</v>
      </c>
      <c r="AG850" s="2">
        <v>119.95422205956714</v>
      </c>
      <c r="AH850" s="2">
        <v>401.54893350732408</v>
      </c>
      <c r="AI850" s="2">
        <v>591063.11401860288</v>
      </c>
      <c r="AJ850" s="2">
        <v>551327.03075281356</v>
      </c>
      <c r="AL850" s="27">
        <v>0.91744917352857502</v>
      </c>
      <c r="AM850" s="27">
        <v>0.9134760278335422</v>
      </c>
      <c r="AN850" s="27">
        <v>0.91002246633811568</v>
      </c>
      <c r="AO850" s="27">
        <v>0.89928959961030164</v>
      </c>
      <c r="AP850" s="27">
        <v>0.59788167418110372</v>
      </c>
      <c r="AQ850" s="27">
        <v>0.91744917352857502</v>
      </c>
      <c r="AR850" s="27">
        <v>0.9134760278335422</v>
      </c>
      <c r="AS850" s="27">
        <v>0.91002246633811568</v>
      </c>
      <c r="AT850" s="27">
        <v>0.89928959961030164</v>
      </c>
      <c r="AU850" s="27">
        <v>0.59788167418110372</v>
      </c>
      <c r="AW850" s="1">
        <v>13.338136211826948</v>
      </c>
      <c r="AX850" s="1">
        <v>15.700239481766891</v>
      </c>
      <c r="AY850" s="2">
        <v>2233231.4698994653</v>
      </c>
      <c r="AZ850" s="1">
        <v>15.086310052566759</v>
      </c>
      <c r="BA850" s="1">
        <v>17.3161367208637</v>
      </c>
      <c r="BB850" s="2">
        <v>1720668.63909519</v>
      </c>
      <c r="BC850" s="2">
        <f t="shared" si="98"/>
        <v>-512562.83080427535</v>
      </c>
      <c r="BD850" s="292">
        <f t="shared" si="99"/>
        <v>1.7481738407398115</v>
      </c>
      <c r="BF850" s="170">
        <f t="shared" si="94"/>
        <v>-99129.676007153932</v>
      </c>
      <c r="BG850" s="2">
        <f t="shared" si="95"/>
        <v>693140.96931549162</v>
      </c>
      <c r="BI850">
        <f t="shared" si="96"/>
        <v>0</v>
      </c>
      <c r="BJ850" s="95">
        <f t="shared" si="97"/>
        <v>1</v>
      </c>
      <c r="BP850" s="217">
        <f t="shared" si="100"/>
        <v>693140.96931549162</v>
      </c>
    </row>
    <row r="851" spans="1:68">
      <c r="A851" s="11">
        <v>845</v>
      </c>
      <c r="C851" s="27">
        <v>0.92393097154258796</v>
      </c>
      <c r="D851" s="27">
        <v>7.6069028457412077E-2</v>
      </c>
      <c r="E851" s="27">
        <v>0</v>
      </c>
      <c r="F851" s="27">
        <v>0.85890604665531811</v>
      </c>
      <c r="G851" s="27">
        <v>0.14109395334468192</v>
      </c>
      <c r="H851" s="27">
        <v>0</v>
      </c>
      <c r="I851" s="27">
        <v>0.74636480399567495</v>
      </c>
      <c r="J851" s="27">
        <v>0.25363519600432505</v>
      </c>
      <c r="K851" s="27">
        <v>0</v>
      </c>
      <c r="L851" s="27">
        <v>0.17070726600621161</v>
      </c>
      <c r="M851" s="27">
        <v>0.51062930154408226</v>
      </c>
      <c r="N851" s="27">
        <v>0.31866343244970613</v>
      </c>
      <c r="O851" s="27">
        <v>-11.413911159947737</v>
      </c>
      <c r="P851" s="27">
        <v>3.7414644423655913E-2</v>
      </c>
      <c r="Q851" s="27">
        <v>5.3144491767470344E-5</v>
      </c>
      <c r="R851" s="27">
        <v>1.0884227384539225</v>
      </c>
      <c r="S851" s="154"/>
      <c r="T851">
        <v>1.0208870585151231</v>
      </c>
      <c r="U851">
        <v>2.3319542895012946</v>
      </c>
      <c r="V851">
        <v>2.8635320544734277</v>
      </c>
      <c r="W851">
        <v>1</v>
      </c>
      <c r="Y851" s="2">
        <v>450.51635080353384</v>
      </c>
      <c r="Z851" s="2">
        <v>875.22519547470608</v>
      </c>
      <c r="AA851" s="2">
        <v>377.03709685280415</v>
      </c>
      <c r="AB851" s="2">
        <v>3656.4369049150901</v>
      </c>
      <c r="AC851" s="2">
        <v>631.34794131760873</v>
      </c>
      <c r="AD851" s="2">
        <v>704.64383486459894</v>
      </c>
      <c r="AE851" s="2">
        <v>531.30841202911654</v>
      </c>
      <c r="AF851" s="2">
        <v>929.18505010516969</v>
      </c>
      <c r="AG851" s="2">
        <v>263.74752144591059</v>
      </c>
      <c r="AH851" s="2">
        <v>368.66948469854009</v>
      </c>
      <c r="AI851" s="2">
        <v>368456.82436703518</v>
      </c>
      <c r="AJ851" s="2">
        <v>333527.52126068616</v>
      </c>
      <c r="AL851" s="27">
        <v>0.91739715324821647</v>
      </c>
      <c r="AM851" s="27">
        <v>0.91436463446969796</v>
      </c>
      <c r="AN851" s="27">
        <v>0.90657304949526485</v>
      </c>
      <c r="AO851" s="27">
        <v>0.89506923785884773</v>
      </c>
      <c r="AP851" s="27">
        <v>0.76696632879816518</v>
      </c>
      <c r="AQ851" s="27">
        <v>0.91739715324821647</v>
      </c>
      <c r="AR851" s="27">
        <v>0.91436463446969796</v>
      </c>
      <c r="AS851" s="27">
        <v>0.90657304949526485</v>
      </c>
      <c r="AT851" s="27">
        <v>0.89506923785884773</v>
      </c>
      <c r="AU851" s="27">
        <v>0.76696632879816518</v>
      </c>
      <c r="AW851" s="1">
        <v>13.939450162099847</v>
      </c>
      <c r="AX851" s="1">
        <v>15.793569981388339</v>
      </c>
      <c r="AY851" s="2">
        <v>1451626.2817578549</v>
      </c>
      <c r="AZ851" s="1">
        <v>15.707355406791534</v>
      </c>
      <c r="BA851" s="1">
        <v>17.563386296464621</v>
      </c>
      <c r="BB851" s="2">
        <v>1078967.0484552616</v>
      </c>
      <c r="BC851" s="2">
        <f t="shared" si="98"/>
        <v>-372659.23330259323</v>
      </c>
      <c r="BD851" s="292">
        <f t="shared" si="99"/>
        <v>1.7679052446916863</v>
      </c>
      <c r="BF851" s="170">
        <f t="shared" si="94"/>
        <v>778685.74417812051</v>
      </c>
      <c r="BG851" s="2">
        <f t="shared" si="95"/>
        <v>1434209.8166313837</v>
      </c>
      <c r="BI851">
        <f t="shared" si="96"/>
        <v>0</v>
      </c>
      <c r="BJ851" s="95">
        <f t="shared" si="97"/>
        <v>1</v>
      </c>
      <c r="BP851" s="217">
        <f t="shared" si="100"/>
        <v>1434209.8166313837</v>
      </c>
    </row>
    <row r="852" spans="1:68">
      <c r="A852" s="11">
        <v>846</v>
      </c>
      <c r="C852" s="27">
        <v>0.91780717964134495</v>
      </c>
      <c r="D852" s="27">
        <v>8.219282035865505E-2</v>
      </c>
      <c r="E852" s="27">
        <v>0</v>
      </c>
      <c r="F852" s="27">
        <v>0.86076434961175685</v>
      </c>
      <c r="G852" s="27">
        <v>0.13923565038824318</v>
      </c>
      <c r="H852" s="27">
        <v>0</v>
      </c>
      <c r="I852" s="27">
        <v>0.7522957954664955</v>
      </c>
      <c r="J852" s="27">
        <v>0.24770420453350445</v>
      </c>
      <c r="K852" s="27">
        <v>0</v>
      </c>
      <c r="L852" s="27">
        <v>0.15515901488709977</v>
      </c>
      <c r="M852" s="27">
        <v>0.48919045557966645</v>
      </c>
      <c r="N852" s="27">
        <v>0.35565052953323378</v>
      </c>
      <c r="O852" s="27">
        <v>-11.230926492940538</v>
      </c>
      <c r="P852" s="27">
        <v>3.7392741624445593E-2</v>
      </c>
      <c r="Q852" s="27">
        <v>6.3757014748166155E-5</v>
      </c>
      <c r="R852" s="27">
        <v>1.0680588206304382</v>
      </c>
      <c r="S852" s="154"/>
      <c r="T852">
        <v>0.99330946513947571</v>
      </c>
      <c r="U852">
        <v>2.2924616161494118</v>
      </c>
      <c r="V852">
        <v>2.8707925729189632</v>
      </c>
      <c r="W852">
        <v>1</v>
      </c>
      <c r="Y852" s="2">
        <v>4371.1995912062375</v>
      </c>
      <c r="Z852" s="2">
        <v>3255.3012571946447</v>
      </c>
      <c r="AA852" s="2">
        <v>767.81109628379249</v>
      </c>
      <c r="AB852" s="2">
        <v>2630.4123787543317</v>
      </c>
      <c r="AC852" s="2">
        <v>1106.4623975981106</v>
      </c>
      <c r="AD852" s="2">
        <v>2932.302115352973</v>
      </c>
      <c r="AE852" s="2">
        <v>586.32943076662093</v>
      </c>
      <c r="AF852" s="2">
        <v>1035.6864610848697</v>
      </c>
      <c r="AG852" s="2">
        <v>78.762938740916809</v>
      </c>
      <c r="AH852" s="2">
        <v>368.48040580909321</v>
      </c>
      <c r="AI852" s="2">
        <v>535221.40239231079</v>
      </c>
      <c r="AJ852" s="2">
        <v>496765.80906352442</v>
      </c>
      <c r="AL852" s="27">
        <v>0.91276006390344433</v>
      </c>
      <c r="AM852" s="27">
        <v>0.91263641231048209</v>
      </c>
      <c r="AN852" s="27">
        <v>0.91276421430973453</v>
      </c>
      <c r="AO852" s="27">
        <v>0.84794655867359336</v>
      </c>
      <c r="AP852" s="27">
        <v>0.59615986928217124</v>
      </c>
      <c r="AQ852" s="27">
        <v>0.91276006390344433</v>
      </c>
      <c r="AR852" s="27">
        <v>0.91263641231048209</v>
      </c>
      <c r="AS852" s="27">
        <v>0.91276421430973453</v>
      </c>
      <c r="AT852" s="27">
        <v>0.84794655867359336</v>
      </c>
      <c r="AU852" s="27">
        <v>0.59615986928217124</v>
      </c>
      <c r="AW852" s="1">
        <v>13.04916974285992</v>
      </c>
      <c r="AX852" s="1">
        <v>15.49906647860294</v>
      </c>
      <c r="AY852" s="2">
        <v>2154667.6816322664</v>
      </c>
      <c r="AZ852" s="1">
        <v>15.025839407788174</v>
      </c>
      <c r="BA852" s="1">
        <v>17.316082366408718</v>
      </c>
      <c r="BB852" s="2">
        <v>1549669.3530775965</v>
      </c>
      <c r="BC852" s="2">
        <f t="shared" si="98"/>
        <v>-604998.32855466986</v>
      </c>
      <c r="BD852" s="292">
        <f t="shared" si="99"/>
        <v>1.976669664928254</v>
      </c>
      <c r="BF852" s="170">
        <f t="shared" si="94"/>
        <v>-66800.522774679121</v>
      </c>
      <c r="BG852" s="2">
        <f t="shared" si="95"/>
        <v>854464.95216851123</v>
      </c>
      <c r="BI852">
        <f t="shared" si="96"/>
        <v>0</v>
      </c>
      <c r="BJ852" s="95">
        <f t="shared" si="97"/>
        <v>1</v>
      </c>
      <c r="BP852" s="217">
        <f t="shared" si="100"/>
        <v>854464.95216851123</v>
      </c>
    </row>
    <row r="853" spans="1:68">
      <c r="A853" s="11">
        <v>847</v>
      </c>
      <c r="C853" s="27">
        <v>0.92527627568255233</v>
      </c>
      <c r="D853" s="27">
        <v>7.4723724317447726E-2</v>
      </c>
      <c r="E853" s="27">
        <v>0</v>
      </c>
      <c r="F853" s="27">
        <v>0.85538246958648612</v>
      </c>
      <c r="G853" s="27">
        <v>0.14461753041351388</v>
      </c>
      <c r="H853" s="27">
        <v>0</v>
      </c>
      <c r="I853" s="27">
        <v>0.74034289406716969</v>
      </c>
      <c r="J853" s="27">
        <v>0.25965710593283031</v>
      </c>
      <c r="K853" s="27">
        <v>0</v>
      </c>
      <c r="L853" s="27">
        <v>0.15663597856435263</v>
      </c>
      <c r="M853" s="27">
        <v>0.47986257490631451</v>
      </c>
      <c r="N853" s="27">
        <v>0.36350144652933281</v>
      </c>
      <c r="O853" s="27">
        <v>-11.188225830535419</v>
      </c>
      <c r="P853" s="27">
        <v>3.601604369592136E-2</v>
      </c>
      <c r="Q853" s="27">
        <v>6.2800219121099691E-5</v>
      </c>
      <c r="R853" s="27">
        <v>1.0676211980726984</v>
      </c>
      <c r="S853" s="154"/>
      <c r="T853">
        <v>0.8498561988263218</v>
      </c>
      <c r="U853">
        <v>2.2370584801073026</v>
      </c>
      <c r="V853">
        <v>3.0240164608157571</v>
      </c>
      <c r="W853">
        <v>1</v>
      </c>
      <c r="Y853" s="2">
        <v>406.68074141105342</v>
      </c>
      <c r="Z853" s="2">
        <v>1945.5568242781503</v>
      </c>
      <c r="AA853" s="2">
        <v>1880.2020051964505</v>
      </c>
      <c r="AB853" s="2">
        <v>5534.705143198772</v>
      </c>
      <c r="AC853" s="2">
        <v>2508.4851010565621</v>
      </c>
      <c r="AD853" s="2">
        <v>996.26544673033345</v>
      </c>
      <c r="AE853" s="2">
        <v>571.78983283717776</v>
      </c>
      <c r="AF853" s="2">
        <v>977.15196113058926</v>
      </c>
      <c r="AG853" s="2">
        <v>171.3831902430486</v>
      </c>
      <c r="AH853" s="2">
        <v>526.90610999961632</v>
      </c>
      <c r="AI853" s="2">
        <v>641608.46174163383</v>
      </c>
      <c r="AJ853" s="2">
        <v>598073.57090601441</v>
      </c>
      <c r="AL853" s="27">
        <v>0.91138516174520556</v>
      </c>
      <c r="AM853" s="27">
        <v>0.91252028581074562</v>
      </c>
      <c r="AN853" s="27">
        <v>0.91321979800933151</v>
      </c>
      <c r="AO853" s="27">
        <v>0.85975079549957223</v>
      </c>
      <c r="AP853" s="27">
        <v>0.76058176456008364</v>
      </c>
      <c r="AQ853" s="27">
        <v>0.91138516174520556</v>
      </c>
      <c r="AR853" s="27">
        <v>0.91252028581074562</v>
      </c>
      <c r="AS853" s="27">
        <v>0.91321979800933151</v>
      </c>
      <c r="AT853" s="27">
        <v>0.85975079549957223</v>
      </c>
      <c r="AU853" s="27">
        <v>0.76058176456008364</v>
      </c>
      <c r="AW853" s="1">
        <v>14.214403528541906</v>
      </c>
      <c r="AX853" s="1">
        <v>16.112513743845316</v>
      </c>
      <c r="AY853" s="2">
        <v>2229431.0654267427</v>
      </c>
      <c r="AZ853" s="1">
        <v>15.481357493137629</v>
      </c>
      <c r="BA853" s="1">
        <v>17.383102077220851</v>
      </c>
      <c r="BB853" s="2">
        <v>1816963.9408296333</v>
      </c>
      <c r="BC853" s="2">
        <f t="shared" si="98"/>
        <v>-412467.12459710939</v>
      </c>
      <c r="BD853" s="292">
        <f t="shared" si="99"/>
        <v>1.2669539645957233</v>
      </c>
      <c r="BF853" s="170">
        <f t="shared" si="94"/>
        <v>44873.499139962252</v>
      </c>
      <c r="BG853" s="2">
        <f t="shared" si="95"/>
        <v>660053.25807238743</v>
      </c>
      <c r="BI853">
        <f t="shared" si="96"/>
        <v>0</v>
      </c>
      <c r="BJ853" s="95">
        <f t="shared" si="97"/>
        <v>1</v>
      </c>
      <c r="BP853" s="217">
        <f t="shared" si="100"/>
        <v>660053.25807238743</v>
      </c>
    </row>
    <row r="854" spans="1:68">
      <c r="A854" s="11">
        <v>848</v>
      </c>
      <c r="C854" s="27">
        <v>0.92519504476175185</v>
      </c>
      <c r="D854" s="27">
        <v>7.4804955238248164E-2</v>
      </c>
      <c r="E854" s="27">
        <v>0</v>
      </c>
      <c r="F854" s="27">
        <v>0.860850055750219</v>
      </c>
      <c r="G854" s="27">
        <v>0.139149944249781</v>
      </c>
      <c r="H854" s="27">
        <v>0</v>
      </c>
      <c r="I854" s="27">
        <v>0.74167161357713607</v>
      </c>
      <c r="J854" s="27">
        <v>0.25832838642286393</v>
      </c>
      <c r="K854" s="27">
        <v>0</v>
      </c>
      <c r="L854" s="27">
        <v>9.3683894125093037E-2</v>
      </c>
      <c r="M854" s="27">
        <v>0.53303685564148306</v>
      </c>
      <c r="N854" s="27">
        <v>0.3732792502334239</v>
      </c>
      <c r="O854" s="27">
        <v>-11.329124720783764</v>
      </c>
      <c r="P854" s="27">
        <v>3.5808664331322772E-2</v>
      </c>
      <c r="Q854" s="27">
        <v>5.4073797777783663E-5</v>
      </c>
      <c r="R854" s="27">
        <v>1.090197172809608</v>
      </c>
      <c r="S854" s="154"/>
      <c r="T854">
        <v>1.0009241500589872</v>
      </c>
      <c r="U854">
        <v>2.2400624661754884</v>
      </c>
      <c r="V854">
        <v>2.8653278536043065</v>
      </c>
      <c r="W854">
        <v>1</v>
      </c>
      <c r="Y854" s="2">
        <v>3.1910027236659375</v>
      </c>
      <c r="Z854" s="2">
        <v>4070.2515099505881</v>
      </c>
      <c r="AA854" s="2">
        <v>3224.0448792339953</v>
      </c>
      <c r="AB854" s="2">
        <v>2414.8946958447473</v>
      </c>
      <c r="AC854" s="2">
        <v>759.881967081158</v>
      </c>
      <c r="AD854" s="2">
        <v>1413.8192198413685</v>
      </c>
      <c r="AE854" s="2">
        <v>517.93953069259555</v>
      </c>
      <c r="AF854" s="2">
        <v>1064.6085495006844</v>
      </c>
      <c r="AG854" s="2">
        <v>156.34141944918395</v>
      </c>
      <c r="AH854" s="2">
        <v>400.41925279482041</v>
      </c>
      <c r="AI854" s="2">
        <v>483656.87304635468</v>
      </c>
      <c r="AJ854" s="2">
        <v>450693.33711815876</v>
      </c>
      <c r="AL854" s="27">
        <v>0.92518939161464342</v>
      </c>
      <c r="AM854" s="27">
        <v>0.9179873859943104</v>
      </c>
      <c r="AN854" s="27">
        <v>0.91988352897228143</v>
      </c>
      <c r="AO854" s="27">
        <v>0.85073910545620535</v>
      </c>
      <c r="AP854" s="27">
        <v>0.8225802922891452</v>
      </c>
      <c r="AQ854" s="27">
        <v>0.92518939161464342</v>
      </c>
      <c r="AR854" s="27">
        <v>0.9179873859943104</v>
      </c>
      <c r="AS854" s="27">
        <v>0.91988352897228143</v>
      </c>
      <c r="AT854" s="27">
        <v>0.85073910545620535</v>
      </c>
      <c r="AU854" s="27">
        <v>0.8225802922891452</v>
      </c>
      <c r="AW854" s="1">
        <v>14.14195243064931</v>
      </c>
      <c r="AX854" s="1">
        <v>15.708787044749544</v>
      </c>
      <c r="AY854" s="2">
        <v>1839206.2236784906</v>
      </c>
      <c r="AZ854" s="1">
        <v>15.828185707832549</v>
      </c>
      <c r="BA854" s="1">
        <v>17.437151743941321</v>
      </c>
      <c r="BB854" s="2">
        <v>1383258.6912180523</v>
      </c>
      <c r="BC854" s="2">
        <f t="shared" si="98"/>
        <v>-455947.53246043832</v>
      </c>
      <c r="BD854" s="292">
        <f t="shared" si="99"/>
        <v>1.6862332771832396</v>
      </c>
      <c r="BF854" s="170">
        <f t="shared" si="94"/>
        <v>423506.16522539919</v>
      </c>
      <c r="BG854" s="2">
        <f t="shared" si="95"/>
        <v>1149251.0220351557</v>
      </c>
      <c r="BI854">
        <f t="shared" si="96"/>
        <v>0</v>
      </c>
      <c r="BJ854" s="95">
        <f t="shared" si="97"/>
        <v>1</v>
      </c>
      <c r="BP854" s="217">
        <f t="shared" si="100"/>
        <v>1149251.0220351557</v>
      </c>
    </row>
    <row r="855" spans="1:68">
      <c r="A855" s="11">
        <v>849</v>
      </c>
      <c r="C855" s="27">
        <v>0.92021052474329679</v>
      </c>
      <c r="D855" s="27">
        <v>7.9789475256703213E-2</v>
      </c>
      <c r="E855" s="27">
        <v>0</v>
      </c>
      <c r="F855" s="27">
        <v>0.86056549717202824</v>
      </c>
      <c r="G855" s="27">
        <v>0.13943450282797176</v>
      </c>
      <c r="H855" s="27">
        <v>0</v>
      </c>
      <c r="I855" s="27">
        <v>0.74504494779672104</v>
      </c>
      <c r="J855" s="27">
        <v>0.25495505220327896</v>
      </c>
      <c r="K855" s="27">
        <v>0</v>
      </c>
      <c r="L855" s="27">
        <v>0.12655650095828297</v>
      </c>
      <c r="M855" s="27">
        <v>0.51651369178833595</v>
      </c>
      <c r="N855" s="27">
        <v>0.35692980725338108</v>
      </c>
      <c r="O855" s="27">
        <v>-11.460735951102322</v>
      </c>
      <c r="P855" s="27">
        <v>3.9541102957041961E-2</v>
      </c>
      <c r="Q855" s="27">
        <v>5.5451065607380207E-5</v>
      </c>
      <c r="R855" s="27">
        <v>1.070849289478722</v>
      </c>
      <c r="S855" s="154"/>
      <c r="T855">
        <v>1.1172035121540111</v>
      </c>
      <c r="U855">
        <v>2.2257671380761685</v>
      </c>
      <c r="V855">
        <v>3.0130998422636806</v>
      </c>
      <c r="W855">
        <v>1</v>
      </c>
      <c r="Y855" s="2">
        <v>1254.1132291935694</v>
      </c>
      <c r="Z855" s="2">
        <v>978.65421799442538</v>
      </c>
      <c r="AA855" s="2">
        <v>108.88857444141794</v>
      </c>
      <c r="AB855" s="2">
        <v>8959.1327986207452</v>
      </c>
      <c r="AC855" s="2">
        <v>1366.7741467647234</v>
      </c>
      <c r="AD855" s="2">
        <v>306.4864913899861</v>
      </c>
      <c r="AE855" s="2">
        <v>583.02594153573057</v>
      </c>
      <c r="AF855" s="2">
        <v>1061.6145798698269</v>
      </c>
      <c r="AG855" s="2">
        <v>119.48080839975837</v>
      </c>
      <c r="AH855" s="2">
        <v>646.30775256710615</v>
      </c>
      <c r="AI855" s="2">
        <v>491116.08396253118</v>
      </c>
      <c r="AJ855" s="2">
        <v>469320.53134919732</v>
      </c>
      <c r="AL855" s="27">
        <v>0.91522402363735877</v>
      </c>
      <c r="AM855" s="27">
        <v>0.91595004045379169</v>
      </c>
      <c r="AN855" s="27">
        <v>0.91424342136314196</v>
      </c>
      <c r="AO855" s="27">
        <v>0.85818505712978932</v>
      </c>
      <c r="AP855" s="27">
        <v>0.6529965768737982</v>
      </c>
      <c r="AQ855" s="27">
        <v>0.91522402363735877</v>
      </c>
      <c r="AR855" s="27">
        <v>0.91595004045379169</v>
      </c>
      <c r="AS855" s="27">
        <v>0.91424342136314196</v>
      </c>
      <c r="AT855" s="27">
        <v>0.85818505712978932</v>
      </c>
      <c r="AU855" s="27">
        <v>0.6529965768737982</v>
      </c>
      <c r="AW855" s="1">
        <v>13.13415159876569</v>
      </c>
      <c r="AX855" s="1">
        <v>15.449245010215277</v>
      </c>
      <c r="AY855" s="2">
        <v>2188809.4875380788</v>
      </c>
      <c r="AZ855" s="1">
        <v>15.313402305202878</v>
      </c>
      <c r="BA855" s="1">
        <v>17.471989549478632</v>
      </c>
      <c r="BB855" s="2">
        <v>1601868.197593723</v>
      </c>
      <c r="BC855" s="2">
        <f t="shared" si="98"/>
        <v>-586941.28994435584</v>
      </c>
      <c r="BD855" s="292">
        <f t="shared" si="99"/>
        <v>2.1792507064371875</v>
      </c>
      <c r="BF855" s="170">
        <f t="shared" si="94"/>
        <v>-87345.231735568494</v>
      </c>
      <c r="BG855" s="2">
        <f t="shared" si="95"/>
        <v>848276.17123873765</v>
      </c>
      <c r="BI855">
        <f t="shared" si="96"/>
        <v>0</v>
      </c>
      <c r="BJ855" s="95">
        <f t="shared" si="97"/>
        <v>1</v>
      </c>
      <c r="BP855" s="217">
        <f t="shared" si="100"/>
        <v>848276.17123873765</v>
      </c>
    </row>
    <row r="856" spans="1:68">
      <c r="A856" s="11">
        <v>850</v>
      </c>
      <c r="C856" s="27">
        <v>0.92040832785193549</v>
      </c>
      <c r="D856" s="27">
        <v>7.9591672148064507E-2</v>
      </c>
      <c r="E856" s="27">
        <v>0</v>
      </c>
      <c r="F856" s="27">
        <v>0.86425761403477608</v>
      </c>
      <c r="G856" s="27">
        <v>0.13574238596522389</v>
      </c>
      <c r="H856" s="27">
        <v>0</v>
      </c>
      <c r="I856" s="27">
        <v>0.74197115791663493</v>
      </c>
      <c r="J856" s="27">
        <v>0.25802884208336507</v>
      </c>
      <c r="K856" s="27">
        <v>0</v>
      </c>
      <c r="L856" s="27">
        <v>6.5893917576130834E-2</v>
      </c>
      <c r="M856" s="27">
        <v>0.53995842598494315</v>
      </c>
      <c r="N856" s="27">
        <v>0.39414765643892602</v>
      </c>
      <c r="O856" s="27">
        <v>-11.097642419859904</v>
      </c>
      <c r="P856" s="27">
        <v>3.5545911815440957E-2</v>
      </c>
      <c r="Q856" s="27">
        <v>6.7410206240370763E-5</v>
      </c>
      <c r="R856" s="27">
        <v>1.0529409081503056</v>
      </c>
      <c r="S856" s="154"/>
      <c r="T856">
        <v>1.000388347707303</v>
      </c>
      <c r="U856">
        <v>2.2496617003204378</v>
      </c>
      <c r="V856">
        <v>3.3073044969489436</v>
      </c>
      <c r="W856">
        <v>1</v>
      </c>
      <c r="Y856" s="2">
        <v>36.639568682628664</v>
      </c>
      <c r="Z856" s="2">
        <v>455.51493178822727</v>
      </c>
      <c r="AA856" s="2">
        <v>59.490262714919233</v>
      </c>
      <c r="AB856" s="2">
        <v>3026.4489988575183</v>
      </c>
      <c r="AC856" s="2">
        <v>293.41363742026959</v>
      </c>
      <c r="AD856" s="2">
        <v>3006.1751592588976</v>
      </c>
      <c r="AE856" s="2">
        <v>610.90539493598362</v>
      </c>
      <c r="AF856" s="2">
        <v>1070.5079680528952</v>
      </c>
      <c r="AG856" s="2">
        <v>221.811800998482</v>
      </c>
      <c r="AH856" s="2">
        <v>447.66606248395277</v>
      </c>
      <c r="AI856" s="2">
        <v>472340.28002009075</v>
      </c>
      <c r="AJ856" s="2">
        <v>429726.4049177728</v>
      </c>
      <c r="AL856" s="27">
        <v>0.91401445791366853</v>
      </c>
      <c r="AM856" s="27">
        <v>0.91391120425974637</v>
      </c>
      <c r="AN856" s="27">
        <v>0.91525538123162931</v>
      </c>
      <c r="AO856" s="27">
        <v>0.90563245335416309</v>
      </c>
      <c r="AP856" s="27">
        <v>0.66858038077702142</v>
      </c>
      <c r="AQ856" s="27">
        <v>0.91401445791366853</v>
      </c>
      <c r="AR856" s="27">
        <v>0.91391120425974637</v>
      </c>
      <c r="AS856" s="27">
        <v>0.91525538123162931</v>
      </c>
      <c r="AT856" s="27">
        <v>0.90563245335416309</v>
      </c>
      <c r="AU856" s="27">
        <v>0.66858038077702142</v>
      </c>
      <c r="AW856" s="1">
        <v>13.405211886140547</v>
      </c>
      <c r="AX856" s="1">
        <v>15.592196341083808</v>
      </c>
      <c r="AY856" s="2">
        <v>1837452.2591577044</v>
      </c>
      <c r="AZ856" s="1">
        <v>15.325924488748008</v>
      </c>
      <c r="BA856" s="1">
        <v>17.414388568193971</v>
      </c>
      <c r="BB856" s="2">
        <v>1384820.6712046622</v>
      </c>
      <c r="BC856" s="2">
        <f t="shared" si="98"/>
        <v>-452631.58795304224</v>
      </c>
      <c r="BD856" s="292">
        <f t="shared" si="99"/>
        <v>1.9207126026074608</v>
      </c>
      <c r="BF856" s="170">
        <f t="shared" si="94"/>
        <v>307381.6426247831</v>
      </c>
      <c r="BG856" s="2">
        <f t="shared" si="95"/>
        <v>1067327.246995019</v>
      </c>
      <c r="BI856">
        <f t="shared" si="96"/>
        <v>0</v>
      </c>
      <c r="BJ856" s="95">
        <f t="shared" si="97"/>
        <v>1</v>
      </c>
      <c r="BP856" s="217">
        <f t="shared" si="100"/>
        <v>1067327.246995019</v>
      </c>
    </row>
    <row r="857" spans="1:68">
      <c r="A857" s="11">
        <v>851</v>
      </c>
      <c r="C857" s="27">
        <v>0.92357400955307467</v>
      </c>
      <c r="D857" s="27">
        <v>7.6425990446925371E-2</v>
      </c>
      <c r="E857" s="27">
        <v>0</v>
      </c>
      <c r="F857" s="27">
        <v>0.85888947791278247</v>
      </c>
      <c r="G857" s="27">
        <v>0.14111052208721758</v>
      </c>
      <c r="H857" s="27">
        <v>0</v>
      </c>
      <c r="I857" s="27">
        <v>0.75081248331133965</v>
      </c>
      <c r="J857" s="27">
        <v>0.24918751668866032</v>
      </c>
      <c r="K857" s="27">
        <v>0</v>
      </c>
      <c r="L857" s="27">
        <v>9.2785112185413188E-2</v>
      </c>
      <c r="M857" s="27">
        <v>0.50651967192080161</v>
      </c>
      <c r="N857" s="27">
        <v>0.40069521589378521</v>
      </c>
      <c r="O857" s="27">
        <v>-11.329735165684491</v>
      </c>
      <c r="P857" s="27">
        <v>3.4867804745567929E-2</v>
      </c>
      <c r="Q857" s="27">
        <v>5.1946959665784401E-5</v>
      </c>
      <c r="R857" s="27">
        <v>1.0919358477838339</v>
      </c>
      <c r="S857" s="154"/>
      <c r="T857">
        <v>0.93358230569359479</v>
      </c>
      <c r="U857">
        <v>2.2341948323094458</v>
      </c>
      <c r="V857">
        <v>3.182469794034557</v>
      </c>
      <c r="W857">
        <v>1</v>
      </c>
      <c r="Y857" s="2">
        <v>1308.165610734635</v>
      </c>
      <c r="Z857" s="2">
        <v>5244.1970794649842</v>
      </c>
      <c r="AA857" s="2">
        <v>219.2639067955615</v>
      </c>
      <c r="AB857" s="2">
        <v>8696.7106039720456</v>
      </c>
      <c r="AC857" s="2">
        <v>35.674763440033573</v>
      </c>
      <c r="AD857" s="2">
        <v>936.68698400736002</v>
      </c>
      <c r="AE857" s="2">
        <v>596.79410465585431</v>
      </c>
      <c r="AF857" s="2">
        <v>964.770341228083</v>
      </c>
      <c r="AG857" s="2">
        <v>74.485572006464878</v>
      </c>
      <c r="AH857" s="2">
        <v>592.0362661405776</v>
      </c>
      <c r="AI857" s="2">
        <v>511885.17835756106</v>
      </c>
      <c r="AJ857" s="2">
        <v>495041.65206588717</v>
      </c>
      <c r="AL857" s="27">
        <v>0.91957906981903026</v>
      </c>
      <c r="AM857" s="27">
        <v>0.91407547057606153</v>
      </c>
      <c r="AN857" s="27">
        <v>0.92112702303348071</v>
      </c>
      <c r="AO857" s="27">
        <v>0.82827356540290287</v>
      </c>
      <c r="AP857" s="27">
        <v>0.61806022054470455</v>
      </c>
      <c r="AQ857" s="27">
        <v>0.91957906981903026</v>
      </c>
      <c r="AR857" s="27">
        <v>0.91407547057606153</v>
      </c>
      <c r="AS857" s="27">
        <v>0.92112702303348071</v>
      </c>
      <c r="AT857" s="27">
        <v>0.82827356540290287</v>
      </c>
      <c r="AU857" s="27">
        <v>0.61806022054470455</v>
      </c>
      <c r="AW857" s="1">
        <v>13.436256201099798</v>
      </c>
      <c r="AX857" s="1">
        <v>15.667808362147566</v>
      </c>
      <c r="AY857" s="2">
        <v>1923642.2481777871</v>
      </c>
      <c r="AZ857" s="1">
        <v>15.194977375621857</v>
      </c>
      <c r="BA857" s="1">
        <v>17.30859455596665</v>
      </c>
      <c r="BB857" s="2">
        <v>1504843.8533179378</v>
      </c>
      <c r="BC857" s="2">
        <f t="shared" si="98"/>
        <v>-418798.39485984924</v>
      </c>
      <c r="BD857" s="292">
        <f t="shared" si="99"/>
        <v>1.7587211745220586</v>
      </c>
      <c r="BF857" s="170">
        <f t="shared" si="94"/>
        <v>226158.74399818084</v>
      </c>
      <c r="BG857" s="2">
        <f t="shared" si="95"/>
        <v>926352.52678155946</v>
      </c>
      <c r="BI857">
        <f t="shared" si="96"/>
        <v>0</v>
      </c>
      <c r="BJ857" s="95">
        <f t="shared" si="97"/>
        <v>1</v>
      </c>
      <c r="BP857" s="217">
        <f t="shared" si="100"/>
        <v>926352.52678155946</v>
      </c>
    </row>
    <row r="858" spans="1:68">
      <c r="A858" s="11">
        <v>852</v>
      </c>
      <c r="C858" s="27">
        <v>0.92279246409496796</v>
      </c>
      <c r="D858" s="27">
        <v>7.7207535905032043E-2</v>
      </c>
      <c r="E858" s="27">
        <v>0</v>
      </c>
      <c r="F858" s="27">
        <v>0.85630317380674748</v>
      </c>
      <c r="G858" s="27">
        <v>0.14369682619325252</v>
      </c>
      <c r="H858" s="27">
        <v>0</v>
      </c>
      <c r="I858" s="27">
        <v>0.75244474183631338</v>
      </c>
      <c r="J858" s="27">
        <v>0.24755525816368659</v>
      </c>
      <c r="K858" s="27">
        <v>0</v>
      </c>
      <c r="L858" s="27">
        <v>0.21069170303381446</v>
      </c>
      <c r="M858" s="27">
        <v>0.49065011993023799</v>
      </c>
      <c r="N858" s="27">
        <v>0.29865817703594755</v>
      </c>
      <c r="O858" s="27">
        <v>-10.830535059865586</v>
      </c>
      <c r="P858" s="27">
        <v>3.168492865595101E-2</v>
      </c>
      <c r="Q858" s="27">
        <v>7.486919331049587E-5</v>
      </c>
      <c r="R858" s="27">
        <v>1.0604239953459875</v>
      </c>
      <c r="S858" s="154"/>
      <c r="T858">
        <v>1.0839853723595565</v>
      </c>
      <c r="U858">
        <v>2.1827926887068418</v>
      </c>
      <c r="V858">
        <v>2.8743167886404204</v>
      </c>
      <c r="W858">
        <v>1</v>
      </c>
      <c r="Y858" s="2">
        <v>1679.6580231351011</v>
      </c>
      <c r="Z858" s="2">
        <v>8934.3309245973287</v>
      </c>
      <c r="AA858" s="2">
        <v>1799.6755890014833</v>
      </c>
      <c r="AB858" s="2">
        <v>3174.0785234196001</v>
      </c>
      <c r="AC858" s="2">
        <v>4.6080122100623448</v>
      </c>
      <c r="AD858" s="2">
        <v>82.83034467423046</v>
      </c>
      <c r="AE858" s="2">
        <v>465.61520976826586</v>
      </c>
      <c r="AF858" s="2">
        <v>1110.9401510598859</v>
      </c>
      <c r="AG858" s="2">
        <v>190.11855111769358</v>
      </c>
      <c r="AH858" s="2">
        <v>694.78198929949781</v>
      </c>
      <c r="AI858" s="2">
        <v>453803.44468407158</v>
      </c>
      <c r="AJ858" s="2">
        <v>426835.83843808557</v>
      </c>
      <c r="AL858" s="27">
        <v>0.91491156519333638</v>
      </c>
      <c r="AM858" s="27">
        <v>0.91454975128914795</v>
      </c>
      <c r="AN858" s="27">
        <v>0.89910424110427556</v>
      </c>
      <c r="AO858" s="27">
        <v>0.8809796927367467</v>
      </c>
      <c r="AP858" s="27">
        <v>0.76100631503058147</v>
      </c>
      <c r="AQ858" s="27">
        <v>0.91491156519333638</v>
      </c>
      <c r="AR858" s="27">
        <v>0.91454975128914795</v>
      </c>
      <c r="AS858" s="27">
        <v>0.89910424110427556</v>
      </c>
      <c r="AT858" s="27">
        <v>0.8809796927367467</v>
      </c>
      <c r="AU858" s="27">
        <v>0.76100631503058147</v>
      </c>
      <c r="AW858" s="1">
        <v>13.70891778444312</v>
      </c>
      <c r="AX858" s="1">
        <v>15.61056397802944</v>
      </c>
      <c r="AY858" s="2">
        <v>1962992.5392671484</v>
      </c>
      <c r="AZ858" s="1">
        <v>15.607486215947466</v>
      </c>
      <c r="BA858" s="1">
        <v>17.514831763397432</v>
      </c>
      <c r="BB858" s="2">
        <v>1350431.0094138763</v>
      </c>
      <c r="BC858" s="2">
        <f t="shared" si="98"/>
        <v>-612561.52985327202</v>
      </c>
      <c r="BD858" s="292">
        <f t="shared" si="99"/>
        <v>1.8985684315043461</v>
      </c>
      <c r="BF858" s="170">
        <f t="shared" si="94"/>
        <v>230434.30624375073</v>
      </c>
      <c r="BG858" s="2">
        <f t="shared" si="95"/>
        <v>1146766.7851377183</v>
      </c>
      <c r="BI858">
        <f t="shared" si="96"/>
        <v>0</v>
      </c>
      <c r="BJ858" s="95">
        <f t="shared" si="97"/>
        <v>1</v>
      </c>
      <c r="BP858" s="217">
        <f t="shared" si="100"/>
        <v>1146766.7851377183</v>
      </c>
    </row>
    <row r="859" spans="1:68">
      <c r="A859" s="11">
        <v>853</v>
      </c>
      <c r="C859" s="27">
        <v>0.92075994759263857</v>
      </c>
      <c r="D859" s="27">
        <v>7.9240052407361428E-2</v>
      </c>
      <c r="E859" s="27">
        <v>0</v>
      </c>
      <c r="F859" s="27">
        <v>0.85570209569203037</v>
      </c>
      <c r="G859" s="27">
        <v>0.14429790430796963</v>
      </c>
      <c r="H859" s="27">
        <v>0</v>
      </c>
      <c r="I859" s="27">
        <v>0.74590604855910736</v>
      </c>
      <c r="J859" s="27">
        <v>0.25409395144089264</v>
      </c>
      <c r="K859" s="27">
        <v>0</v>
      </c>
      <c r="L859" s="27">
        <v>0.20979572738661578</v>
      </c>
      <c r="M859" s="27">
        <v>0.44882927631420183</v>
      </c>
      <c r="N859" s="27">
        <v>0.34137499629918233</v>
      </c>
      <c r="O859" s="27">
        <v>-10.855888853928279</v>
      </c>
      <c r="P859" s="27">
        <v>3.4619975142634367E-2</v>
      </c>
      <c r="Q859" s="27">
        <v>8.2571175937062749E-5</v>
      </c>
      <c r="R859" s="27">
        <v>1.0308888768776117</v>
      </c>
      <c r="S859" s="154"/>
      <c r="T859">
        <v>0.90312868304170668</v>
      </c>
      <c r="U859">
        <v>2.2582810521877823</v>
      </c>
      <c r="V859">
        <v>2.9358410615835675</v>
      </c>
      <c r="W859">
        <v>1</v>
      </c>
      <c r="Y859" s="2">
        <v>329.7039021723628</v>
      </c>
      <c r="Z859" s="2">
        <v>5528.8104244968827</v>
      </c>
      <c r="AA859" s="2">
        <v>4314.6743305670361</v>
      </c>
      <c r="AB859" s="2">
        <v>597.64684712423389</v>
      </c>
      <c r="AC859" s="2">
        <v>658.0180500311377</v>
      </c>
      <c r="AD859" s="2">
        <v>142.9585193954787</v>
      </c>
      <c r="AE859" s="2">
        <v>575.14898281129774</v>
      </c>
      <c r="AF859" s="2">
        <v>984.92799178455368</v>
      </c>
      <c r="AG859" s="2">
        <v>113.77688296015448</v>
      </c>
      <c r="AH859" s="2">
        <v>474.97559698869691</v>
      </c>
      <c r="AI859" s="2">
        <v>539315.52852935879</v>
      </c>
      <c r="AJ859" s="2">
        <v>498300.38292830263</v>
      </c>
      <c r="AL859" s="27">
        <v>0.91927064427553673</v>
      </c>
      <c r="AM859" s="27">
        <v>0.91664825501368541</v>
      </c>
      <c r="AN859" s="27">
        <v>0.91497930002852512</v>
      </c>
      <c r="AO859" s="27">
        <v>0.84988620025016592</v>
      </c>
      <c r="AP859" s="27">
        <v>0.57754794525644937</v>
      </c>
      <c r="AQ859" s="27">
        <v>0.91927064427553673</v>
      </c>
      <c r="AR859" s="27">
        <v>0.91664825501368541</v>
      </c>
      <c r="AS859" s="27">
        <v>0.91497930002852512</v>
      </c>
      <c r="AT859" s="27">
        <v>0.84988620025016592</v>
      </c>
      <c r="AU859" s="27">
        <v>0.57754794525644937</v>
      </c>
      <c r="AW859" s="1">
        <v>13.476088627931041</v>
      </c>
      <c r="AX859" s="1">
        <v>15.902842723471027</v>
      </c>
      <c r="AY859" s="2">
        <v>2051728.3522126223</v>
      </c>
      <c r="AZ859" s="1">
        <v>15.10046363917723</v>
      </c>
      <c r="BA859" s="1">
        <v>17.371540959584767</v>
      </c>
      <c r="BB859" s="2">
        <v>1554224.5794770645</v>
      </c>
      <c r="BC859" s="2">
        <f t="shared" si="98"/>
        <v>-497503.77273555775</v>
      </c>
      <c r="BD859" s="292">
        <f t="shared" si="99"/>
        <v>1.6243750112461885</v>
      </c>
      <c r="BF859" s="170">
        <f t="shared" si="94"/>
        <v>104445.82825634442</v>
      </c>
      <c r="BG859" s="2">
        <f t="shared" si="95"/>
        <v>861849.60279129236</v>
      </c>
      <c r="BI859">
        <f t="shared" si="96"/>
        <v>0</v>
      </c>
      <c r="BJ859" s="95">
        <f t="shared" si="97"/>
        <v>1</v>
      </c>
      <c r="BP859" s="217">
        <f t="shared" si="100"/>
        <v>861849.60279129236</v>
      </c>
    </row>
    <row r="860" spans="1:68">
      <c r="A860" s="11">
        <v>854</v>
      </c>
      <c r="C860" s="27">
        <v>0.92618058448162777</v>
      </c>
      <c r="D860" s="27">
        <v>7.3819415518372233E-2</v>
      </c>
      <c r="E860" s="27">
        <v>0</v>
      </c>
      <c r="F860" s="27">
        <v>0.85823153163678068</v>
      </c>
      <c r="G860" s="27">
        <v>0.14176846836321935</v>
      </c>
      <c r="H860" s="27">
        <v>0</v>
      </c>
      <c r="I860" s="27">
        <v>0.74820528795657315</v>
      </c>
      <c r="J860" s="27">
        <v>0.25179471204342685</v>
      </c>
      <c r="K860" s="27">
        <v>0</v>
      </c>
      <c r="L860" s="27">
        <v>0.17935252821800635</v>
      </c>
      <c r="M860" s="27">
        <v>0.49072550374185492</v>
      </c>
      <c r="N860" s="27">
        <v>0.32992196804013868</v>
      </c>
      <c r="O860" s="27">
        <v>-10.914536760522047</v>
      </c>
      <c r="P860" s="27">
        <v>3.2126899681646115E-2</v>
      </c>
      <c r="Q860" s="27">
        <v>7.0126698464092389E-5</v>
      </c>
      <c r="R860" s="27">
        <v>1.060999303171015</v>
      </c>
      <c r="S860" s="154"/>
      <c r="T860">
        <v>0.95182494624064151</v>
      </c>
      <c r="U860">
        <v>2.2590964758887679</v>
      </c>
      <c r="V860">
        <v>3.1857458777797332</v>
      </c>
      <c r="W860">
        <v>1</v>
      </c>
      <c r="Y860" s="2">
        <v>152.47684122536131</v>
      </c>
      <c r="Z860" s="2">
        <v>3189.7669416455669</v>
      </c>
      <c r="AA860" s="2">
        <v>1742.2048450622081</v>
      </c>
      <c r="AB860" s="2">
        <v>108.72044583587933</v>
      </c>
      <c r="AC860" s="2">
        <v>2689.8864077015655</v>
      </c>
      <c r="AD860" s="2">
        <v>106.17404870422868</v>
      </c>
      <c r="AE860" s="2">
        <v>570.4719440095173</v>
      </c>
      <c r="AF860" s="2">
        <v>1046.0039227188195</v>
      </c>
      <c r="AG860" s="2">
        <v>85.417922847393527</v>
      </c>
      <c r="AH860" s="2">
        <v>405.99812335224635</v>
      </c>
      <c r="AI860" s="2">
        <v>456215.73015767377</v>
      </c>
      <c r="AJ860" s="2">
        <v>420710.00019128481</v>
      </c>
      <c r="AL860" s="27">
        <v>0.91877248958077651</v>
      </c>
      <c r="AM860" s="27">
        <v>0.91480373512555269</v>
      </c>
      <c r="AN860" s="27">
        <v>0.90599918296938975</v>
      </c>
      <c r="AO860" s="27">
        <v>0.85500272927816567</v>
      </c>
      <c r="AP860" s="27">
        <v>0.74623186903331984</v>
      </c>
      <c r="AQ860" s="27">
        <v>0.91877248958077651</v>
      </c>
      <c r="AR860" s="27">
        <v>0.91480373512555269</v>
      </c>
      <c r="AS860" s="27">
        <v>0.90599918296938975</v>
      </c>
      <c r="AT860" s="27">
        <v>0.85500272927816567</v>
      </c>
      <c r="AU860" s="27">
        <v>0.74623186903331984</v>
      </c>
      <c r="AW860" s="1">
        <v>14.039506392569573</v>
      </c>
      <c r="AX860" s="1">
        <v>15.94289107399829</v>
      </c>
      <c r="AY860" s="2">
        <v>1736547.6918179116</v>
      </c>
      <c r="AZ860" s="1">
        <v>15.656885856418871</v>
      </c>
      <c r="BA860" s="1">
        <v>17.549264892499568</v>
      </c>
      <c r="BB860" s="2">
        <v>1231703.5145851518</v>
      </c>
      <c r="BC860" s="2">
        <f t="shared" si="98"/>
        <v>-504844.17723275977</v>
      </c>
      <c r="BD860" s="292">
        <f t="shared" si="99"/>
        <v>1.6173794638492982</v>
      </c>
      <c r="BF860" s="170">
        <f t="shared" si="94"/>
        <v>509773.33099321998</v>
      </c>
      <c r="BG860" s="2">
        <f t="shared" si="95"/>
        <v>1273398.2224418675</v>
      </c>
      <c r="BI860">
        <f t="shared" si="96"/>
        <v>0</v>
      </c>
      <c r="BJ860" s="95">
        <f t="shared" si="97"/>
        <v>1</v>
      </c>
      <c r="BP860" s="217">
        <f t="shared" si="100"/>
        <v>1273398.2224418675</v>
      </c>
    </row>
    <row r="861" spans="1:68">
      <c r="A861" s="11">
        <v>855</v>
      </c>
      <c r="C861" s="27">
        <v>0.9210600255196979</v>
      </c>
      <c r="D861" s="27">
        <v>7.89399744803021E-2</v>
      </c>
      <c r="E861" s="27">
        <v>0</v>
      </c>
      <c r="F861" s="27">
        <v>0.86424412694891917</v>
      </c>
      <c r="G861" s="27">
        <v>0.13575587305108083</v>
      </c>
      <c r="H861" s="27">
        <v>0</v>
      </c>
      <c r="I861" s="27">
        <v>0.74972109315713953</v>
      </c>
      <c r="J861" s="27">
        <v>0.25027890684286047</v>
      </c>
      <c r="K861" s="27">
        <v>0</v>
      </c>
      <c r="L861" s="27">
        <v>0.13572559402907697</v>
      </c>
      <c r="M861" s="27">
        <v>0.50097482396710535</v>
      </c>
      <c r="N861" s="27">
        <v>0.36329958200381768</v>
      </c>
      <c r="O861" s="27">
        <v>-10.940196252199929</v>
      </c>
      <c r="P861" s="27">
        <v>3.1373694124874958E-2</v>
      </c>
      <c r="Q861" s="27">
        <v>6.6221783122662274E-5</v>
      </c>
      <c r="R861" s="27">
        <v>1.0681267687133718</v>
      </c>
      <c r="S861" s="154"/>
      <c r="T861">
        <v>1.050194406185037</v>
      </c>
      <c r="U861">
        <v>2.3236649382430365</v>
      </c>
      <c r="V861">
        <v>2.9865122472063779</v>
      </c>
      <c r="W861">
        <v>1</v>
      </c>
      <c r="Y861" s="2">
        <v>414.67931186074713</v>
      </c>
      <c r="Z861" s="2">
        <v>15459.123589592953</v>
      </c>
      <c r="AA861" s="2">
        <v>1627.0450822879659</v>
      </c>
      <c r="AB861" s="2">
        <v>5079.5997270053531</v>
      </c>
      <c r="AC861" s="2">
        <v>605.34459846076652</v>
      </c>
      <c r="AD861" s="2">
        <v>2020.8254039676265</v>
      </c>
      <c r="AE861" s="2">
        <v>578.06399156951068</v>
      </c>
      <c r="AF861" s="2">
        <v>1204.3516497970768</v>
      </c>
      <c r="AG861" s="2">
        <v>170.75016843570387</v>
      </c>
      <c r="AH861" s="2">
        <v>603.41096108869533</v>
      </c>
      <c r="AI861" s="2">
        <v>540714.51666675531</v>
      </c>
      <c r="AJ861" s="2">
        <v>489506.78261876106</v>
      </c>
      <c r="AL861" s="27">
        <v>0.91957610535560153</v>
      </c>
      <c r="AM861" s="27">
        <v>0.91672393473765101</v>
      </c>
      <c r="AN861" s="27">
        <v>0.90583847360884617</v>
      </c>
      <c r="AO861" s="27">
        <v>0.86831902969788743</v>
      </c>
      <c r="AP861" s="27">
        <v>0.71778286420996484</v>
      </c>
      <c r="AQ861" s="27">
        <v>0.91957610535560153</v>
      </c>
      <c r="AR861" s="27">
        <v>0.91672393473765101</v>
      </c>
      <c r="AS861" s="27">
        <v>0.90583847360884617</v>
      </c>
      <c r="AT861" s="27">
        <v>0.86831902969788743</v>
      </c>
      <c r="AU861" s="27">
        <v>0.71778286420996484</v>
      </c>
      <c r="AW861" s="1">
        <v>13.432281710891148</v>
      </c>
      <c r="AX861" s="1">
        <v>15.390711986675393</v>
      </c>
      <c r="AY861" s="2">
        <v>2221421.5825918312</v>
      </c>
      <c r="AZ861" s="1">
        <v>15.469509238582875</v>
      </c>
      <c r="BA861" s="1">
        <v>17.387174607224065</v>
      </c>
      <c r="BB861" s="2">
        <v>1523851.9689496183</v>
      </c>
      <c r="BC861" s="2">
        <f t="shared" si="98"/>
        <v>-697569.61364221293</v>
      </c>
      <c r="BD861" s="292">
        <f t="shared" si="99"/>
        <v>2.0372275276917264</v>
      </c>
      <c r="BF861" s="170">
        <f t="shared" si="94"/>
        <v>-72256.508849247359</v>
      </c>
      <c r="BG861" s="2">
        <f t="shared" si="95"/>
        <v>951269.50922364183</v>
      </c>
      <c r="BI861">
        <f t="shared" si="96"/>
        <v>0</v>
      </c>
      <c r="BJ861" s="95">
        <f t="shared" si="97"/>
        <v>1</v>
      </c>
      <c r="BP861" s="217">
        <f t="shared" si="100"/>
        <v>951269.50922364183</v>
      </c>
    </row>
    <row r="862" spans="1:68">
      <c r="A862" s="11">
        <v>856</v>
      </c>
      <c r="C862" s="27">
        <v>0.9206513635138367</v>
      </c>
      <c r="D862" s="27">
        <v>7.9348636486163304E-2</v>
      </c>
      <c r="E862" s="27">
        <v>0</v>
      </c>
      <c r="F862" s="27">
        <v>0.85278451553367807</v>
      </c>
      <c r="G862" s="27">
        <v>0.14721548446632193</v>
      </c>
      <c r="H862" s="27">
        <v>0</v>
      </c>
      <c r="I862" s="27">
        <v>0.74654920681451142</v>
      </c>
      <c r="J862" s="27">
        <v>0.25345079318548858</v>
      </c>
      <c r="K862" s="27">
        <v>0</v>
      </c>
      <c r="L862" s="27">
        <v>0.16317980043348551</v>
      </c>
      <c r="M862" s="27">
        <v>0.50016465561063106</v>
      </c>
      <c r="N862" s="27">
        <v>0.33665554395588343</v>
      </c>
      <c r="O862" s="27">
        <v>-10.972104946720718</v>
      </c>
      <c r="P862" s="27">
        <v>3.3607783861102705E-2</v>
      </c>
      <c r="Q862" s="27">
        <v>7.0452063867572386E-5</v>
      </c>
      <c r="R862" s="27">
        <v>1.0612164499705148</v>
      </c>
      <c r="S862" s="154"/>
      <c r="T862">
        <v>1.1360454018552355</v>
      </c>
      <c r="U862">
        <v>2.3230702782483061</v>
      </c>
      <c r="V862">
        <v>2.8629059591949093</v>
      </c>
      <c r="W862">
        <v>1</v>
      </c>
      <c r="Y862" s="2">
        <v>187.86170276152046</v>
      </c>
      <c r="Z862" s="2">
        <v>1235.8547195934577</v>
      </c>
      <c r="AA862" s="2">
        <v>11.012285219160661</v>
      </c>
      <c r="AB862" s="2">
        <v>674.71379941992654</v>
      </c>
      <c r="AC862" s="2">
        <v>3016.0586751922433</v>
      </c>
      <c r="AD862" s="2">
        <v>2803.6253811856027</v>
      </c>
      <c r="AE862" s="2">
        <v>589.50847938942889</v>
      </c>
      <c r="AF862" s="2">
        <v>973.24594939683925</v>
      </c>
      <c r="AG862" s="2">
        <v>180.16215091800959</v>
      </c>
      <c r="AH862" s="2">
        <v>437.61964312949425</v>
      </c>
      <c r="AI862" s="2">
        <v>390129.62813425821</v>
      </c>
      <c r="AJ862" s="2">
        <v>357991.12106511148</v>
      </c>
      <c r="AL862" s="27">
        <v>0.91291425202382215</v>
      </c>
      <c r="AM862" s="27">
        <v>0.91350461507938174</v>
      </c>
      <c r="AN862" s="27">
        <v>0.91015695806381403</v>
      </c>
      <c r="AO862" s="27">
        <v>0.90147150876948245</v>
      </c>
      <c r="AP862" s="27">
        <v>0.76814615621912785</v>
      </c>
      <c r="AQ862" s="27">
        <v>0.91291425202382215</v>
      </c>
      <c r="AR862" s="27">
        <v>0.91350461507938174</v>
      </c>
      <c r="AS862" s="27">
        <v>0.91015695806381403</v>
      </c>
      <c r="AT862" s="27">
        <v>0.90147150876948245</v>
      </c>
      <c r="AU862" s="27">
        <v>0.76814615621912785</v>
      </c>
      <c r="AW862" s="1">
        <v>13.360479454410465</v>
      </c>
      <c r="AX862" s="1">
        <v>15.214224350910103</v>
      </c>
      <c r="AY862" s="2">
        <v>1642853.6138473079</v>
      </c>
      <c r="AZ862" s="1">
        <v>15.469001182686664</v>
      </c>
      <c r="BA862" s="1">
        <v>17.33787559844869</v>
      </c>
      <c r="BB862" s="2">
        <v>1132568.2291441592</v>
      </c>
      <c r="BC862" s="2">
        <f t="shared" si="98"/>
        <v>-510285.38470314862</v>
      </c>
      <c r="BD862" s="292">
        <f t="shared" si="99"/>
        <v>2.1085217282761999</v>
      </c>
      <c r="BF862" s="170">
        <f t="shared" si="94"/>
        <v>494823.09885836625</v>
      </c>
      <c r="BG862" s="2">
        <f t="shared" si="95"/>
        <v>1342471.9600857073</v>
      </c>
      <c r="BI862">
        <f t="shared" si="96"/>
        <v>0</v>
      </c>
      <c r="BJ862" s="95">
        <f t="shared" si="97"/>
        <v>1</v>
      </c>
      <c r="BP862" s="217">
        <f t="shared" si="100"/>
        <v>1342471.9600857073</v>
      </c>
    </row>
    <row r="863" spans="1:68">
      <c r="A863" s="11">
        <v>857</v>
      </c>
      <c r="C863" s="27">
        <v>0.92571432213613258</v>
      </c>
      <c r="D863" s="27">
        <v>7.4285677863867472E-2</v>
      </c>
      <c r="E863" s="27">
        <v>0</v>
      </c>
      <c r="F863" s="27">
        <v>0.85695394017087467</v>
      </c>
      <c r="G863" s="27">
        <v>0.14304605982912533</v>
      </c>
      <c r="H863" s="27">
        <v>0</v>
      </c>
      <c r="I863" s="27">
        <v>0.75622193689378348</v>
      </c>
      <c r="J863" s="27">
        <v>0.24377806310621658</v>
      </c>
      <c r="K863" s="27">
        <v>0</v>
      </c>
      <c r="L863" s="27">
        <v>0.17965764941169754</v>
      </c>
      <c r="M863" s="27">
        <v>0.47982087580813282</v>
      </c>
      <c r="N863" s="27">
        <v>0.34052147478016964</v>
      </c>
      <c r="O863" s="27">
        <v>-11.744653374726433</v>
      </c>
      <c r="P863" s="27">
        <v>3.66181273860888E-2</v>
      </c>
      <c r="Q863" s="27">
        <v>3.6922404449687137E-5</v>
      </c>
      <c r="R863" s="27">
        <v>1.1387668953610439</v>
      </c>
      <c r="S863" s="154"/>
      <c r="T863">
        <v>0.97444560120364432</v>
      </c>
      <c r="U863">
        <v>2.3207695004681637</v>
      </c>
      <c r="V863">
        <v>3.0297024936001717</v>
      </c>
      <c r="W863">
        <v>1</v>
      </c>
      <c r="Y863" s="2">
        <v>865.51973168355926</v>
      </c>
      <c r="Z863" s="2">
        <v>5889.0358502387617</v>
      </c>
      <c r="AA863" s="2">
        <v>874.84776189055628</v>
      </c>
      <c r="AB863" s="2">
        <v>3284.1657525929459</v>
      </c>
      <c r="AC863" s="2">
        <v>456.86168681952677</v>
      </c>
      <c r="AD863" s="2">
        <v>4621.1651566085593</v>
      </c>
      <c r="AE863" s="2">
        <v>576.69284083405421</v>
      </c>
      <c r="AF863" s="2">
        <v>967.41150723197552</v>
      </c>
      <c r="AG863" s="2">
        <v>208.39252552859742</v>
      </c>
      <c r="AH863" s="2">
        <v>467.98040910800506</v>
      </c>
      <c r="AI863" s="2">
        <v>506925.55270785495</v>
      </c>
      <c r="AJ863" s="2">
        <v>472914.59809292102</v>
      </c>
      <c r="AL863" s="27">
        <v>0.92080783406294187</v>
      </c>
      <c r="AM863" s="27">
        <v>0.92081650595151432</v>
      </c>
      <c r="AN863" s="27">
        <v>0.9032602856739842</v>
      </c>
      <c r="AO863" s="27">
        <v>0.88537735785025917</v>
      </c>
      <c r="AP863" s="27">
        <v>0.69753727119472808</v>
      </c>
      <c r="AQ863" s="27">
        <v>0.92080783406294187</v>
      </c>
      <c r="AR863" s="27">
        <v>0.92081650595151432</v>
      </c>
      <c r="AS863" s="27">
        <v>0.9032602856739842</v>
      </c>
      <c r="AT863" s="27">
        <v>0.88537735785025917</v>
      </c>
      <c r="AU863" s="27">
        <v>0.69753727119472808</v>
      </c>
      <c r="AW863" s="1">
        <v>13.706769608512692</v>
      </c>
      <c r="AX863" s="1">
        <v>15.661926460843416</v>
      </c>
      <c r="AY863" s="2">
        <v>1860774.6316117872</v>
      </c>
      <c r="AZ863" s="1">
        <v>15.499832779360174</v>
      </c>
      <c r="BA863" s="1">
        <v>17.409426842939197</v>
      </c>
      <c r="BB863" s="2">
        <v>1400690.7399974465</v>
      </c>
      <c r="BC863" s="2">
        <f t="shared" si="98"/>
        <v>-460083.89161434071</v>
      </c>
      <c r="BD863" s="292">
        <f t="shared" si="99"/>
        <v>1.793063170847482</v>
      </c>
      <c r="BF863" s="170">
        <f t="shared" si="94"/>
        <v>332308.50575024355</v>
      </c>
      <c r="BG863" s="2">
        <f t="shared" si="95"/>
        <v>1079282.5047001815</v>
      </c>
      <c r="BI863">
        <f t="shared" si="96"/>
        <v>0</v>
      </c>
      <c r="BJ863" s="95">
        <f t="shared" si="97"/>
        <v>1</v>
      </c>
      <c r="BP863" s="217">
        <f t="shared" si="100"/>
        <v>1079282.5047001815</v>
      </c>
    </row>
    <row r="864" spans="1:68">
      <c r="A864" s="11">
        <v>858</v>
      </c>
      <c r="C864" s="27">
        <v>0.92294022928638253</v>
      </c>
      <c r="D864" s="27">
        <v>7.705977071361747E-2</v>
      </c>
      <c r="E864" s="27">
        <v>0</v>
      </c>
      <c r="F864" s="27">
        <v>0.85847892957717487</v>
      </c>
      <c r="G864" s="27">
        <v>0.14152107042282513</v>
      </c>
      <c r="H864" s="27">
        <v>0</v>
      </c>
      <c r="I864" s="27">
        <v>0.7520474156520961</v>
      </c>
      <c r="J864" s="27">
        <v>0.24795258434790393</v>
      </c>
      <c r="K864" s="27">
        <v>0</v>
      </c>
      <c r="L864" s="27">
        <v>5.6670427444314719E-2</v>
      </c>
      <c r="M864" s="27">
        <v>0.54335722394072361</v>
      </c>
      <c r="N864" s="27">
        <v>0.39997234861496167</v>
      </c>
      <c r="O864" s="27">
        <v>-10.994865373256387</v>
      </c>
      <c r="P864" s="27">
        <v>3.1705785974656148E-2</v>
      </c>
      <c r="Q864" s="27">
        <v>6.3579315893103405E-5</v>
      </c>
      <c r="R864" s="27">
        <v>1.0719952232720611</v>
      </c>
      <c r="S864" s="154"/>
      <c r="T864">
        <v>0.98975460544234017</v>
      </c>
      <c r="U864">
        <v>2.2443305626540888</v>
      </c>
      <c r="V864">
        <v>3.078228694197489</v>
      </c>
      <c r="W864">
        <v>1</v>
      </c>
      <c r="Y864" s="2">
        <v>15.215630092696207</v>
      </c>
      <c r="Z864" s="2">
        <v>8906.1728870844017</v>
      </c>
      <c r="AA864" s="2">
        <v>735.91077685806454</v>
      </c>
      <c r="AB864" s="2">
        <v>7099.4119648538381</v>
      </c>
      <c r="AC864" s="2">
        <v>1716.7810770782928</v>
      </c>
      <c r="AD864" s="2">
        <v>4657.8150245498819</v>
      </c>
      <c r="AE864" s="2">
        <v>521.67830196488012</v>
      </c>
      <c r="AF864" s="2">
        <v>1231.054624708009</v>
      </c>
      <c r="AG864" s="2">
        <v>169.09171010787526</v>
      </c>
      <c r="AH864" s="2">
        <v>481.47819563270684</v>
      </c>
      <c r="AI864" s="2">
        <v>368786.20231766254</v>
      </c>
      <c r="AJ864" s="2">
        <v>334126.63176141947</v>
      </c>
      <c r="AL864" s="27">
        <v>0.91034840194439792</v>
      </c>
      <c r="AM864" s="27">
        <v>0.91412400377609748</v>
      </c>
      <c r="AN864" s="27">
        <v>0.91273509119155671</v>
      </c>
      <c r="AO864" s="27">
        <v>0.88073490698283718</v>
      </c>
      <c r="AP864" s="27">
        <v>0.6914494767035918</v>
      </c>
      <c r="AQ864" s="27">
        <v>0.91034840194439792</v>
      </c>
      <c r="AR864" s="27">
        <v>0.91412400377609748</v>
      </c>
      <c r="AS864" s="27">
        <v>0.91273509119155671</v>
      </c>
      <c r="AT864" s="27">
        <v>0.88073490698283718</v>
      </c>
      <c r="AU864" s="27">
        <v>0.6914494767035918</v>
      </c>
      <c r="AW864" s="1">
        <v>13.453669383246444</v>
      </c>
      <c r="AX864" s="1">
        <v>15.557438286272173</v>
      </c>
      <c r="AY864" s="2">
        <v>1465082.7721172983</v>
      </c>
      <c r="AZ864" s="1">
        <v>15.298964622489304</v>
      </c>
      <c r="BA864" s="1">
        <v>17.345914902183758</v>
      </c>
      <c r="BB864" s="2">
        <v>1157447.2019104979</v>
      </c>
      <c r="BC864" s="2">
        <f t="shared" si="98"/>
        <v>-307635.57020680048</v>
      </c>
      <c r="BD864" s="292">
        <f t="shared" si="99"/>
        <v>1.8452952392428603</v>
      </c>
      <c r="BF864" s="170">
        <f t="shared" si="94"/>
        <v>687504.32920213253</v>
      </c>
      <c r="BG864" s="2">
        <f t="shared" si="95"/>
        <v>1290387.1376877909</v>
      </c>
      <c r="BI864">
        <f t="shared" si="96"/>
        <v>0</v>
      </c>
      <c r="BJ864" s="95">
        <f t="shared" si="97"/>
        <v>1</v>
      </c>
      <c r="BP864" s="217">
        <f t="shared" si="100"/>
        <v>1290387.1376877909</v>
      </c>
    </row>
    <row r="865" spans="1:68">
      <c r="A865" s="11">
        <v>859</v>
      </c>
      <c r="C865" s="27">
        <v>0.92187704975821694</v>
      </c>
      <c r="D865" s="27">
        <v>7.8122950241783062E-2</v>
      </c>
      <c r="E865" s="27">
        <v>0</v>
      </c>
      <c r="F865" s="27">
        <v>0.86003030709153117</v>
      </c>
      <c r="G865" s="27">
        <v>0.13996969290846886</v>
      </c>
      <c r="H865" s="27">
        <v>0</v>
      </c>
      <c r="I865" s="27">
        <v>0.75826686025199375</v>
      </c>
      <c r="J865" s="27">
        <v>0.24173313974800631</v>
      </c>
      <c r="K865" s="27">
        <v>0</v>
      </c>
      <c r="L865" s="27">
        <v>0.12175100774491582</v>
      </c>
      <c r="M865" s="27">
        <v>0.52231949948040379</v>
      </c>
      <c r="N865" s="27">
        <v>0.35592949277468039</v>
      </c>
      <c r="O865" s="27">
        <v>-10.834948058020794</v>
      </c>
      <c r="P865" s="27">
        <v>3.0467673594166505E-2</v>
      </c>
      <c r="Q865" s="27">
        <v>7.082448617937135E-5</v>
      </c>
      <c r="R865" s="27">
        <v>1.0626496777726195</v>
      </c>
      <c r="S865" s="154"/>
      <c r="T865">
        <v>1.0821891604048091</v>
      </c>
      <c r="U865">
        <v>2.1541115688265959</v>
      </c>
      <c r="V865">
        <v>3.2107016261372774</v>
      </c>
      <c r="W865">
        <v>1</v>
      </c>
      <c r="Y865" s="2">
        <v>191.68434351860103</v>
      </c>
      <c r="Z865" s="2">
        <v>485.5351520723537</v>
      </c>
      <c r="AA865" s="2">
        <v>692.86959699350609</v>
      </c>
      <c r="AB865" s="2">
        <v>449.04789640629656</v>
      </c>
      <c r="AC865" s="2">
        <v>1629.4605928935853</v>
      </c>
      <c r="AD865" s="2">
        <v>888.22060197960536</v>
      </c>
      <c r="AE865" s="2">
        <v>542.81718244531817</v>
      </c>
      <c r="AF865" s="2">
        <v>899.20472340017125</v>
      </c>
      <c r="AG865" s="2">
        <v>120.28122030345655</v>
      </c>
      <c r="AH865" s="2">
        <v>258.75789518203021</v>
      </c>
      <c r="AI865" s="2">
        <v>532135.45639238518</v>
      </c>
      <c r="AJ865" s="2">
        <v>493826.13529118599</v>
      </c>
      <c r="AL865" s="27">
        <v>0.91650904122816712</v>
      </c>
      <c r="AM865" s="27">
        <v>0.91491916189319966</v>
      </c>
      <c r="AN865" s="27">
        <v>0.91407528402158222</v>
      </c>
      <c r="AO865" s="27">
        <v>0.89374486931537001</v>
      </c>
      <c r="AP865" s="27">
        <v>0.55865661796453792</v>
      </c>
      <c r="AQ865" s="27">
        <v>0.91650904122816712</v>
      </c>
      <c r="AR865" s="27">
        <v>0.91491916189319966</v>
      </c>
      <c r="AS865" s="27">
        <v>0.91407528402158222</v>
      </c>
      <c r="AT865" s="27">
        <v>0.89374486931537001</v>
      </c>
      <c r="AU865" s="27">
        <v>0.55865661796453792</v>
      </c>
      <c r="AW865" s="1">
        <v>12.902142987044945</v>
      </c>
      <c r="AX865" s="1">
        <v>15.428987430314615</v>
      </c>
      <c r="AY865" s="2">
        <v>2098718.1611495852</v>
      </c>
      <c r="AZ865" s="1">
        <v>15.134084221334327</v>
      </c>
      <c r="BA865" s="1">
        <v>17.439983725469595</v>
      </c>
      <c r="BB865" s="2">
        <v>1439151.217243924</v>
      </c>
      <c r="BC865" s="2">
        <f t="shared" si="98"/>
        <v>-659566.94390566112</v>
      </c>
      <c r="BD865" s="292">
        <f t="shared" si="99"/>
        <v>2.2319412342893816</v>
      </c>
      <c r="BF865" s="170">
        <f t="shared" si="94"/>
        <v>-34375.283222394064</v>
      </c>
      <c r="BG865" s="2">
        <f t="shared" si="95"/>
        <v>982302.25816956838</v>
      </c>
      <c r="BI865">
        <f t="shared" si="96"/>
        <v>0</v>
      </c>
      <c r="BJ865" s="95">
        <f t="shared" si="97"/>
        <v>1</v>
      </c>
      <c r="BP865" s="217">
        <f t="shared" si="100"/>
        <v>982302.25816956838</v>
      </c>
    </row>
    <row r="866" spans="1:68">
      <c r="A866" s="11">
        <v>860</v>
      </c>
      <c r="C866" s="27">
        <v>0.9195272686782332</v>
      </c>
      <c r="D866" s="27">
        <v>8.0472731321766799E-2</v>
      </c>
      <c r="E866" s="27">
        <v>0</v>
      </c>
      <c r="F866" s="27">
        <v>0.84992326423035547</v>
      </c>
      <c r="G866" s="27">
        <v>0.15007673576964453</v>
      </c>
      <c r="H866" s="27">
        <v>0</v>
      </c>
      <c r="I866" s="27">
        <v>0.74724911444589692</v>
      </c>
      <c r="J866" s="27">
        <v>0.25275088555410308</v>
      </c>
      <c r="K866" s="27">
        <v>0</v>
      </c>
      <c r="L866" s="27">
        <v>7.4471427993184902E-2</v>
      </c>
      <c r="M866" s="27">
        <v>0.56235756410244842</v>
      </c>
      <c r="N866" s="27">
        <v>0.36317100790436668</v>
      </c>
      <c r="O866" s="27">
        <v>-11.298029959909694</v>
      </c>
      <c r="P866" s="27">
        <v>3.5800058413911227E-2</v>
      </c>
      <c r="Q866" s="27">
        <v>5.5761465670114316E-5</v>
      </c>
      <c r="R866" s="27">
        <v>1.0893697191608431</v>
      </c>
      <c r="S866" s="154"/>
      <c r="T866">
        <v>1.0011521761862567</v>
      </c>
      <c r="U866">
        <v>2.3054395326365724</v>
      </c>
      <c r="V866">
        <v>3.0055163894916159</v>
      </c>
      <c r="W866">
        <v>1</v>
      </c>
      <c r="Y866" s="2">
        <v>1228.702995920969</v>
      </c>
      <c r="Z866" s="2">
        <v>18355.260140624694</v>
      </c>
      <c r="AA866" s="2">
        <v>2827.9043643175646</v>
      </c>
      <c r="AB866" s="2">
        <v>827.6483867346152</v>
      </c>
      <c r="AC866" s="2">
        <v>1746.9100341063452</v>
      </c>
      <c r="AD866" s="2">
        <v>172.70156896001811</v>
      </c>
      <c r="AE866" s="2">
        <v>584.84567773708181</v>
      </c>
      <c r="AF866" s="2">
        <v>1129.8243044875323</v>
      </c>
      <c r="AG866" s="2">
        <v>92.421944742437489</v>
      </c>
      <c r="AH866" s="2">
        <v>415.76381595047462</v>
      </c>
      <c r="AI866" s="2">
        <v>561949.7953087847</v>
      </c>
      <c r="AJ866" s="2">
        <v>533036.52594143536</v>
      </c>
      <c r="AL866" s="27">
        <v>0.91232554834557911</v>
      </c>
      <c r="AM866" s="27">
        <v>0.92117740460627484</v>
      </c>
      <c r="AN866" s="27">
        <v>0.90984916547296246</v>
      </c>
      <c r="AO866" s="27">
        <v>0.86425543501050006</v>
      </c>
      <c r="AP866" s="27">
        <v>0.75151464848065475</v>
      </c>
      <c r="AQ866" s="27">
        <v>0.91232554834557911</v>
      </c>
      <c r="AR866" s="27">
        <v>0.92117740460627484</v>
      </c>
      <c r="AS866" s="27">
        <v>0.90984916547296246</v>
      </c>
      <c r="AT866" s="27">
        <v>0.86425543501050006</v>
      </c>
      <c r="AU866" s="27">
        <v>0.75151464848065475</v>
      </c>
      <c r="AW866" s="1">
        <v>13.530715054016087</v>
      </c>
      <c r="AX866" s="1">
        <v>15.45769103497595</v>
      </c>
      <c r="AY866" s="2">
        <v>2545333.2493864382</v>
      </c>
      <c r="AZ866" s="1">
        <v>15.352736234576382</v>
      </c>
      <c r="BA866" s="1">
        <v>17.258504270837683</v>
      </c>
      <c r="BB866" s="2">
        <v>1684485.1704962961</v>
      </c>
      <c r="BC866" s="2">
        <f t="shared" si="98"/>
        <v>-860848.07889014203</v>
      </c>
      <c r="BD866" s="292">
        <f t="shared" si="99"/>
        <v>1.8220211805602951</v>
      </c>
      <c r="BF866" s="170">
        <f t="shared" si="94"/>
        <v>-380418.84074386442</v>
      </c>
      <c r="BG866" s="2">
        <f t="shared" si="95"/>
        <v>771952.6270359247</v>
      </c>
      <c r="BI866">
        <f t="shared" si="96"/>
        <v>0</v>
      </c>
      <c r="BJ866" s="95">
        <f t="shared" si="97"/>
        <v>1</v>
      </c>
      <c r="BP866" s="217">
        <f t="shared" si="100"/>
        <v>771952.6270359247</v>
      </c>
    </row>
    <row r="867" spans="1:68">
      <c r="A867" s="11">
        <v>861</v>
      </c>
      <c r="C867" s="27">
        <v>0.92120074439218735</v>
      </c>
      <c r="D867" s="27">
        <v>7.8799255607812646E-2</v>
      </c>
      <c r="E867" s="27">
        <v>0</v>
      </c>
      <c r="F867" s="27">
        <v>0.8602140007213579</v>
      </c>
      <c r="G867" s="27">
        <v>0.13978599927864216</v>
      </c>
      <c r="H867" s="27">
        <v>0</v>
      </c>
      <c r="I867" s="27">
        <v>0.74907343423956785</v>
      </c>
      <c r="J867" s="27">
        <v>0.25092656576043215</v>
      </c>
      <c r="K867" s="27">
        <v>0</v>
      </c>
      <c r="L867" s="27">
        <v>0.18593893634785796</v>
      </c>
      <c r="M867" s="27">
        <v>0.42640475154871454</v>
      </c>
      <c r="N867" s="27">
        <v>0.38765631210342744</v>
      </c>
      <c r="O867" s="27">
        <v>-11.073500852631986</v>
      </c>
      <c r="P867" s="27">
        <v>3.3330219709704137E-2</v>
      </c>
      <c r="Q867" s="27">
        <v>6.2920934680382829E-5</v>
      </c>
      <c r="R867" s="27">
        <v>1.0693381495771279</v>
      </c>
      <c r="S867" s="154"/>
      <c r="T867">
        <v>0.87586127846659734</v>
      </c>
      <c r="U867">
        <v>2.2885320004202909</v>
      </c>
      <c r="V867">
        <v>2.9418922027019931</v>
      </c>
      <c r="W867">
        <v>1</v>
      </c>
      <c r="Y867" s="2">
        <v>1125.9198768822905</v>
      </c>
      <c r="Z867" s="2">
        <v>3356.4818260286288</v>
      </c>
      <c r="AA867" s="2">
        <v>921.52607700301576</v>
      </c>
      <c r="AB867" s="2">
        <v>3046.7474534982703</v>
      </c>
      <c r="AC867" s="2">
        <v>284.03013369493567</v>
      </c>
      <c r="AD867" s="2">
        <v>1643.4171298630815</v>
      </c>
      <c r="AE867" s="2">
        <v>588.14392762194666</v>
      </c>
      <c r="AF867" s="2">
        <v>993.7744388213855</v>
      </c>
      <c r="AG867" s="2">
        <v>69.924359129159768</v>
      </c>
      <c r="AH867" s="2">
        <v>396.03078960676419</v>
      </c>
      <c r="AI867" s="2">
        <v>548270.45156830328</v>
      </c>
      <c r="AJ867" s="2">
        <v>520192.61022207374</v>
      </c>
      <c r="AL867" s="27">
        <v>0.91706298086804905</v>
      </c>
      <c r="AM867" s="27">
        <v>0.90675639829478427</v>
      </c>
      <c r="AN867" s="27">
        <v>0.91120853945705083</v>
      </c>
      <c r="AO867" s="27">
        <v>0.87779953152439116</v>
      </c>
      <c r="AP867" s="27">
        <v>0.65449516583421596</v>
      </c>
      <c r="AQ867" s="27">
        <v>0.91706298086804905</v>
      </c>
      <c r="AR867" s="27">
        <v>0.90675639829478427</v>
      </c>
      <c r="AS867" s="27">
        <v>0.91120853945705083</v>
      </c>
      <c r="AT867" s="27">
        <v>0.87779953152439116</v>
      </c>
      <c r="AU867" s="27">
        <v>0.65449516583421596</v>
      </c>
      <c r="AW867" s="1">
        <v>13.593203178775225</v>
      </c>
      <c r="AX867" s="1">
        <v>15.671031741278231</v>
      </c>
      <c r="AY867" s="2">
        <v>1845510.9840310749</v>
      </c>
      <c r="AZ867" s="1">
        <v>15.129195494815855</v>
      </c>
      <c r="BA867" s="1">
        <v>17.173121662089862</v>
      </c>
      <c r="BB867" s="2">
        <v>1436208.5714456132</v>
      </c>
      <c r="BC867" s="2">
        <f t="shared" si="98"/>
        <v>-409302.41258546175</v>
      </c>
      <c r="BD867" s="292">
        <f t="shared" si="99"/>
        <v>1.5359923160406304</v>
      </c>
      <c r="BF867" s="170">
        <f t="shared" si="94"/>
        <v>329401.52457296127</v>
      </c>
      <c r="BG867" s="2">
        <f t="shared" si="95"/>
        <v>984462.70772492373</v>
      </c>
      <c r="BI867">
        <f t="shared" si="96"/>
        <v>0</v>
      </c>
      <c r="BJ867" s="95">
        <f t="shared" si="97"/>
        <v>1</v>
      </c>
      <c r="BP867" s="217">
        <f t="shared" si="100"/>
        <v>984462.70772492373</v>
      </c>
    </row>
    <row r="868" spans="1:68">
      <c r="A868" s="11">
        <v>862</v>
      </c>
      <c r="C868" s="27">
        <v>0.92349851557505114</v>
      </c>
      <c r="D868" s="27">
        <v>7.6501484424948835E-2</v>
      </c>
      <c r="E868" s="27">
        <v>0</v>
      </c>
      <c r="F868" s="27">
        <v>0.85773335827370312</v>
      </c>
      <c r="G868" s="27">
        <v>0.14226664172629686</v>
      </c>
      <c r="H868" s="27">
        <v>0</v>
      </c>
      <c r="I868" s="27">
        <v>0.75298449335291984</v>
      </c>
      <c r="J868" s="27">
        <v>0.24701550664708014</v>
      </c>
      <c r="K868" s="27">
        <v>0</v>
      </c>
      <c r="L868" s="27">
        <v>0.11124813524562505</v>
      </c>
      <c r="M868" s="27">
        <v>0.50498211508778346</v>
      </c>
      <c r="N868" s="27">
        <v>0.3837697496665915</v>
      </c>
      <c r="O868" s="27">
        <v>-11.345019974596621</v>
      </c>
      <c r="P868" s="27">
        <v>3.5165290217923882E-2</v>
      </c>
      <c r="Q868" s="27">
        <v>5.1802207931664254E-5</v>
      </c>
      <c r="R868" s="27">
        <v>1.0962714972465524</v>
      </c>
      <c r="S868" s="154"/>
      <c r="T868">
        <v>0.94455957601823426</v>
      </c>
      <c r="U868">
        <v>2.1902410686377984</v>
      </c>
      <c r="V868">
        <v>3.0610630353313844</v>
      </c>
      <c r="W868">
        <v>1</v>
      </c>
      <c r="Y868" s="2">
        <v>813.51039857583805</v>
      </c>
      <c r="Z868" s="2">
        <v>1877.3396954185284</v>
      </c>
      <c r="AA868" s="2">
        <v>694.34311348604115</v>
      </c>
      <c r="AB868" s="2">
        <v>1888.9325223353965</v>
      </c>
      <c r="AC868" s="2">
        <v>427.95099473847466</v>
      </c>
      <c r="AD868" s="2">
        <v>604.75764676377935</v>
      </c>
      <c r="AE868" s="2">
        <v>574.05357723635689</v>
      </c>
      <c r="AF868" s="2">
        <v>1113.0768616863761</v>
      </c>
      <c r="AG868" s="2">
        <v>177.36974813575276</v>
      </c>
      <c r="AH868" s="2">
        <v>456.45521345859481</v>
      </c>
      <c r="AI868" s="2">
        <v>457618.51438140881</v>
      </c>
      <c r="AJ868" s="2">
        <v>432051.4007785435</v>
      </c>
      <c r="AL868" s="27">
        <v>0.9106242828122002</v>
      </c>
      <c r="AM868" s="27">
        <v>0.91627431662022363</v>
      </c>
      <c r="AN868" s="27">
        <v>0.90428605159034914</v>
      </c>
      <c r="AO868" s="27">
        <v>0.84928046270005886</v>
      </c>
      <c r="AP868" s="27">
        <v>0.63648124898747072</v>
      </c>
      <c r="AQ868" s="27">
        <v>0.9106242828122002</v>
      </c>
      <c r="AR868" s="27">
        <v>0.91627431662022363</v>
      </c>
      <c r="AS868" s="27">
        <v>0.90428605159034914</v>
      </c>
      <c r="AT868" s="27">
        <v>0.84928046270005886</v>
      </c>
      <c r="AU868" s="27">
        <v>0.63648124898747072</v>
      </c>
      <c r="AW868" s="1">
        <v>13.421688548912707</v>
      </c>
      <c r="AX868" s="1">
        <v>15.682121566693899</v>
      </c>
      <c r="AY868" s="2">
        <v>1647521.5813193361</v>
      </c>
      <c r="AZ868" s="1">
        <v>15.147326254954182</v>
      </c>
      <c r="BA868" s="1">
        <v>17.317880941170447</v>
      </c>
      <c r="BB868" s="2">
        <v>1230133.9425205323</v>
      </c>
      <c r="BC868" s="2">
        <f t="shared" si="98"/>
        <v>-417387.63879880379</v>
      </c>
      <c r="BD868" s="292">
        <f t="shared" si="99"/>
        <v>1.7256377060414749</v>
      </c>
      <c r="BF868" s="170">
        <f t="shared" si="94"/>
        <v>499948.58650669712</v>
      </c>
      <c r="BG868" s="2">
        <f t="shared" si="95"/>
        <v>1193438.258272137</v>
      </c>
      <c r="BI868">
        <f t="shared" si="96"/>
        <v>0</v>
      </c>
      <c r="BJ868" s="95">
        <f t="shared" si="97"/>
        <v>1</v>
      </c>
      <c r="BP868" s="217">
        <f t="shared" si="100"/>
        <v>1193438.258272137</v>
      </c>
    </row>
    <row r="869" spans="1:68">
      <c r="A869" s="11">
        <v>863</v>
      </c>
      <c r="C869" s="27">
        <v>0.92243792799768431</v>
      </c>
      <c r="D869" s="27">
        <v>7.7562072002315685E-2</v>
      </c>
      <c r="E869" s="27">
        <v>0</v>
      </c>
      <c r="F869" s="27">
        <v>0.85843406336979555</v>
      </c>
      <c r="G869" s="27">
        <v>0.14156593663020448</v>
      </c>
      <c r="H869" s="27">
        <v>0</v>
      </c>
      <c r="I869" s="27">
        <v>0.7505096394946873</v>
      </c>
      <c r="J869" s="27">
        <v>0.2494903605053127</v>
      </c>
      <c r="K869" s="27">
        <v>0</v>
      </c>
      <c r="L869" s="27">
        <v>9.4469359557528443E-2</v>
      </c>
      <c r="M869" s="27">
        <v>0.5259058177766387</v>
      </c>
      <c r="N869" s="27">
        <v>0.37962482266583286</v>
      </c>
      <c r="O869" s="27">
        <v>-11.011423792102567</v>
      </c>
      <c r="P869" s="27">
        <v>3.3963975763883748E-2</v>
      </c>
      <c r="Q869" s="27">
        <v>6.8756669857143241E-5</v>
      </c>
      <c r="R869" s="27">
        <v>1.062259692522435</v>
      </c>
      <c r="S869" s="154"/>
      <c r="T869">
        <v>0.95081595943575903</v>
      </c>
      <c r="U869">
        <v>2.2424335657775081</v>
      </c>
      <c r="V869">
        <v>2.8417527234377888</v>
      </c>
      <c r="W869">
        <v>1</v>
      </c>
      <c r="Y869" s="2">
        <v>653.18636465144232</v>
      </c>
      <c r="Z869" s="2">
        <v>5529.4296501122271</v>
      </c>
      <c r="AA869" s="2">
        <v>1494.266521700833</v>
      </c>
      <c r="AB869" s="2">
        <v>11695.387531148104</v>
      </c>
      <c r="AC869" s="2">
        <v>1075.4961116864401</v>
      </c>
      <c r="AD869" s="2">
        <v>1135.9327674180117</v>
      </c>
      <c r="AE869" s="2">
        <v>560.00789358651957</v>
      </c>
      <c r="AF869" s="2">
        <v>1147.5950206362254</v>
      </c>
      <c r="AG869" s="2">
        <v>156.25186636585971</v>
      </c>
      <c r="AH869" s="2">
        <v>528.2827279821505</v>
      </c>
      <c r="AI869" s="2">
        <v>584511.88928623509</v>
      </c>
      <c r="AJ869" s="2">
        <v>556734.66468924482</v>
      </c>
      <c r="AL869" s="27">
        <v>0.91849532279050217</v>
      </c>
      <c r="AM869" s="27">
        <v>0.91230629213340431</v>
      </c>
      <c r="AN869" s="27">
        <v>0.91233247858126054</v>
      </c>
      <c r="AO869" s="27">
        <v>0.85394930337807107</v>
      </c>
      <c r="AP869" s="27">
        <v>0.73242454083176622</v>
      </c>
      <c r="AQ869" s="27">
        <v>0.91849532279050217</v>
      </c>
      <c r="AR869" s="27">
        <v>0.91230629213340431</v>
      </c>
      <c r="AS869" s="27">
        <v>0.91233247858126054</v>
      </c>
      <c r="AT869" s="27">
        <v>0.85394930337807107</v>
      </c>
      <c r="AU869" s="27">
        <v>0.73242454083176622</v>
      </c>
      <c r="AW869" s="1">
        <v>13.820088509939922</v>
      </c>
      <c r="AX869" s="1">
        <v>15.749110521441519</v>
      </c>
      <c r="AY869" s="2">
        <v>2269612.7975876569</v>
      </c>
      <c r="AZ869" s="1">
        <v>15.460367578877607</v>
      </c>
      <c r="BA869" s="1">
        <v>17.371133857320778</v>
      </c>
      <c r="BB869" s="2">
        <v>1824997.6630762792</v>
      </c>
      <c r="BC869" s="2">
        <f t="shared" si="98"/>
        <v>-444615.13451137766</v>
      </c>
      <c r="BD869" s="292">
        <f t="shared" si="99"/>
        <v>1.6402790689376854</v>
      </c>
      <c r="BF869" s="170">
        <f t="shared" si="94"/>
        <v>-58398.635997269303</v>
      </c>
      <c r="BG869" s="2">
        <f t="shared" si="95"/>
        <v>648661.149544138</v>
      </c>
      <c r="BI869">
        <f t="shared" si="96"/>
        <v>0</v>
      </c>
      <c r="BJ869" s="95">
        <f t="shared" si="97"/>
        <v>1</v>
      </c>
      <c r="BP869" s="217">
        <f t="shared" si="100"/>
        <v>648661.149544138</v>
      </c>
    </row>
    <row r="870" spans="1:68">
      <c r="A870" s="11">
        <v>864</v>
      </c>
      <c r="C870" s="27">
        <v>0.92153669013625961</v>
      </c>
      <c r="D870" s="27">
        <v>7.8463309863740394E-2</v>
      </c>
      <c r="E870" s="27">
        <v>0</v>
      </c>
      <c r="F870" s="27">
        <v>0.86218322528706492</v>
      </c>
      <c r="G870" s="27">
        <v>0.13781677471293505</v>
      </c>
      <c r="H870" s="27">
        <v>0</v>
      </c>
      <c r="I870" s="27">
        <v>0.75046932341500205</v>
      </c>
      <c r="J870" s="27">
        <v>0.24953067658499797</v>
      </c>
      <c r="K870" s="27">
        <v>0</v>
      </c>
      <c r="L870" s="27">
        <v>0.13297047451647237</v>
      </c>
      <c r="M870" s="27">
        <v>0.4868799873370861</v>
      </c>
      <c r="N870" s="27">
        <v>0.38014953814644148</v>
      </c>
      <c r="O870" s="27">
        <v>-11.166988252285034</v>
      </c>
      <c r="P870" s="27">
        <v>3.6886420598155154E-2</v>
      </c>
      <c r="Q870" s="27">
        <v>6.6536586599622353E-5</v>
      </c>
      <c r="R870" s="27">
        <v>1.0584153655834125</v>
      </c>
      <c r="S870" s="154"/>
      <c r="T870">
        <v>0.90539446213031005</v>
      </c>
      <c r="U870">
        <v>2.2444254072111121</v>
      </c>
      <c r="V870">
        <v>2.8557117455637422</v>
      </c>
      <c r="W870">
        <v>1</v>
      </c>
      <c r="Y870" s="2">
        <v>2403.2009032289243</v>
      </c>
      <c r="Z870" s="2">
        <v>1624.1169267719413</v>
      </c>
      <c r="AA870" s="2">
        <v>503.7736402287556</v>
      </c>
      <c r="AB870" s="2">
        <v>1078.8222722497144</v>
      </c>
      <c r="AC870" s="2">
        <v>978.60902464548337</v>
      </c>
      <c r="AD870" s="2">
        <v>751.00803318960448</v>
      </c>
      <c r="AE870" s="2">
        <v>622.32275071736478</v>
      </c>
      <c r="AF870" s="2">
        <v>805.91330336692135</v>
      </c>
      <c r="AG870" s="2">
        <v>51.94834218512937</v>
      </c>
      <c r="AH870" s="2">
        <v>282.42294877481316</v>
      </c>
      <c r="AI870" s="2">
        <v>412769.73371563607</v>
      </c>
      <c r="AJ870" s="2">
        <v>379200.08004859835</v>
      </c>
      <c r="AL870" s="27">
        <v>0.91236093832795473</v>
      </c>
      <c r="AM870" s="27">
        <v>0.90718198614685874</v>
      </c>
      <c r="AN870" s="27">
        <v>0.90827704741343063</v>
      </c>
      <c r="AO870" s="27">
        <v>0.85297498888202383</v>
      </c>
      <c r="AP870" s="27">
        <v>0.61865184131411932</v>
      </c>
      <c r="AQ870" s="27">
        <v>0.91236093832795473</v>
      </c>
      <c r="AR870" s="27">
        <v>0.90718198614685874</v>
      </c>
      <c r="AS870" s="27">
        <v>0.90827704741343063</v>
      </c>
      <c r="AT870" s="27">
        <v>0.85297498888202383</v>
      </c>
      <c r="AU870" s="27">
        <v>0.61865184131411932</v>
      </c>
      <c r="AW870" s="1">
        <v>13.527334085516612</v>
      </c>
      <c r="AX870" s="1">
        <v>15.867209573152444</v>
      </c>
      <c r="AY870" s="2">
        <v>1506046.0543986352</v>
      </c>
      <c r="AZ870" s="1">
        <v>15.129263334179237</v>
      </c>
      <c r="BA870" s="1">
        <v>17.375358913514631</v>
      </c>
      <c r="BB870" s="2">
        <v>1104920.9630444082</v>
      </c>
      <c r="BC870" s="2">
        <f t="shared" si="98"/>
        <v>-401125.09135422693</v>
      </c>
      <c r="BD870" s="292">
        <f t="shared" si="99"/>
        <v>1.6019292486626249</v>
      </c>
      <c r="BF870" s="170">
        <f t="shared" si="94"/>
        <v>658327.39928402263</v>
      </c>
      <c r="BG870" s="2">
        <f t="shared" si="95"/>
        <v>1315761.1704242695</v>
      </c>
      <c r="BI870">
        <f t="shared" si="96"/>
        <v>0</v>
      </c>
      <c r="BJ870" s="95">
        <f t="shared" si="97"/>
        <v>1</v>
      </c>
      <c r="BP870" s="217">
        <f t="shared" si="100"/>
        <v>1315761.1704242695</v>
      </c>
    </row>
    <row r="871" spans="1:68">
      <c r="A871" s="11">
        <v>865</v>
      </c>
      <c r="C871" s="27">
        <v>0.92200018632430236</v>
      </c>
      <c r="D871" s="27">
        <v>7.7999813675697638E-2</v>
      </c>
      <c r="E871" s="27">
        <v>0</v>
      </c>
      <c r="F871" s="27">
        <v>0.85340109524172547</v>
      </c>
      <c r="G871" s="27">
        <v>0.14659890475827453</v>
      </c>
      <c r="H871" s="27">
        <v>0</v>
      </c>
      <c r="I871" s="27">
        <v>0.74695326331603951</v>
      </c>
      <c r="J871" s="27">
        <v>0.25304673668396049</v>
      </c>
      <c r="K871" s="27">
        <v>0</v>
      </c>
      <c r="L871" s="27">
        <v>0.15182807576935398</v>
      </c>
      <c r="M871" s="27">
        <v>0.47503814204605688</v>
      </c>
      <c r="N871" s="27">
        <v>0.37313378218458915</v>
      </c>
      <c r="O871" s="27">
        <v>-11.194199389953646</v>
      </c>
      <c r="P871" s="27">
        <v>3.5184892499848117E-2</v>
      </c>
      <c r="Q871" s="27">
        <v>6.0284598288320857E-5</v>
      </c>
      <c r="R871" s="27">
        <v>1.0677831021065389</v>
      </c>
      <c r="S871" s="154"/>
      <c r="T871">
        <v>1.024376096495305</v>
      </c>
      <c r="U871">
        <v>2.2209846128189357</v>
      </c>
      <c r="V871">
        <v>2.9408901068154187</v>
      </c>
      <c r="W871">
        <v>1</v>
      </c>
      <c r="Y871" s="2">
        <v>598.03694155981202</v>
      </c>
      <c r="Z871" s="2">
        <v>6882.8416208192239</v>
      </c>
      <c r="AA871" s="2">
        <v>1353.1216197204524</v>
      </c>
      <c r="AB871" s="2">
        <v>10058.302976035828</v>
      </c>
      <c r="AC871" s="2">
        <v>465.04712537658611</v>
      </c>
      <c r="AD871" s="2">
        <v>3081.1288548251387</v>
      </c>
      <c r="AE871" s="2">
        <v>523.44694228775575</v>
      </c>
      <c r="AF871" s="2">
        <v>1150.6093433978642</v>
      </c>
      <c r="AG871" s="2">
        <v>55.217241541838376</v>
      </c>
      <c r="AH871" s="2">
        <v>315.25620268015018</v>
      </c>
      <c r="AI871" s="2">
        <v>469281.51177406154</v>
      </c>
      <c r="AJ871" s="2">
        <v>433088.19402989867</v>
      </c>
      <c r="AL871" s="27">
        <v>0.91543119154566543</v>
      </c>
      <c r="AM871" s="27">
        <v>0.91680146529326711</v>
      </c>
      <c r="AN871" s="27">
        <v>0.90848856952917445</v>
      </c>
      <c r="AO871" s="27">
        <v>0.82235020678366944</v>
      </c>
      <c r="AP871" s="27">
        <v>0.54390654851533027</v>
      </c>
      <c r="AQ871" s="27">
        <v>0.91543119154566543</v>
      </c>
      <c r="AR871" s="27">
        <v>0.91680146529326711</v>
      </c>
      <c r="AS871" s="27">
        <v>0.90848856952917445</v>
      </c>
      <c r="AT871" s="27">
        <v>0.82235020678366944</v>
      </c>
      <c r="AU871" s="27">
        <v>0.54390654851533027</v>
      </c>
      <c r="AW871" s="1">
        <v>12.882327916545066</v>
      </c>
      <c r="AX871" s="1">
        <v>15.473383114163484</v>
      </c>
      <c r="AY871" s="2">
        <v>1859525.34883868</v>
      </c>
      <c r="AZ871" s="1">
        <v>14.915105555672824</v>
      </c>
      <c r="BA871" s="1">
        <v>17.292577500081201</v>
      </c>
      <c r="BB871" s="2">
        <v>1484484.1192726756</v>
      </c>
      <c r="BC871" s="2">
        <f t="shared" si="98"/>
        <v>-375041.22956600436</v>
      </c>
      <c r="BD871" s="292">
        <f t="shared" si="99"/>
        <v>2.0327776391277581</v>
      </c>
      <c r="BF871" s="170">
        <f t="shared" si="94"/>
        <v>201647.11780853057</v>
      </c>
      <c r="BG871" s="2">
        <f t="shared" si="95"/>
        <v>901932.76963497628</v>
      </c>
      <c r="BI871">
        <f t="shared" si="96"/>
        <v>0</v>
      </c>
      <c r="BJ871" s="95">
        <f t="shared" si="97"/>
        <v>1</v>
      </c>
      <c r="BP871" s="217">
        <f t="shared" si="100"/>
        <v>901932.76963497628</v>
      </c>
    </row>
    <row r="872" spans="1:68">
      <c r="A872" s="11">
        <v>866</v>
      </c>
      <c r="C872" s="27">
        <v>0.92342646446736398</v>
      </c>
      <c r="D872" s="27">
        <v>7.6573535532636003E-2</v>
      </c>
      <c r="E872" s="27">
        <v>0</v>
      </c>
      <c r="F872" s="27">
        <v>0.86292331609498107</v>
      </c>
      <c r="G872" s="27">
        <v>0.13707668390501895</v>
      </c>
      <c r="H872" s="27">
        <v>0</v>
      </c>
      <c r="I872" s="27">
        <v>0.74866652316248539</v>
      </c>
      <c r="J872" s="27">
        <v>0.25133347683751461</v>
      </c>
      <c r="K872" s="27">
        <v>0</v>
      </c>
      <c r="L872" s="27">
        <v>9.9760680882528097E-2</v>
      </c>
      <c r="M872" s="27">
        <v>0.51736104589016596</v>
      </c>
      <c r="N872" s="27">
        <v>0.38287827322730594</v>
      </c>
      <c r="O872" s="27">
        <v>-10.872379855647113</v>
      </c>
      <c r="P872" s="27">
        <v>3.2903920588739019E-2</v>
      </c>
      <c r="Q872" s="27">
        <v>7.557271966297174E-5</v>
      </c>
      <c r="R872" s="27">
        <v>1.0496341087781271</v>
      </c>
      <c r="S872" s="154"/>
      <c r="T872">
        <v>1.0245653109496475</v>
      </c>
      <c r="U872">
        <v>2.2769753010334415</v>
      </c>
      <c r="V872">
        <v>3.1534163438359895</v>
      </c>
      <c r="W872">
        <v>1</v>
      </c>
      <c r="Y872" s="2">
        <v>159.99752216101251</v>
      </c>
      <c r="Z872" s="2">
        <v>950.31238042546806</v>
      </c>
      <c r="AA872" s="2">
        <v>359.8685077218326</v>
      </c>
      <c r="AB872" s="2">
        <v>3025.1558690115767</v>
      </c>
      <c r="AC872" s="2">
        <v>480.79238829378642</v>
      </c>
      <c r="AD872" s="2">
        <v>1867.3184196728873</v>
      </c>
      <c r="AE872" s="2">
        <v>489.01580784705703</v>
      </c>
      <c r="AF872" s="2">
        <v>1156.6230511794081</v>
      </c>
      <c r="AG872" s="2">
        <v>123.46952351033262</v>
      </c>
      <c r="AH872" s="2">
        <v>348.54579561702951</v>
      </c>
      <c r="AI872" s="2">
        <v>399745.66268962331</v>
      </c>
      <c r="AJ872" s="2">
        <v>370972.79887310183</v>
      </c>
      <c r="AL872" s="27">
        <v>0.92426880317560911</v>
      </c>
      <c r="AM872" s="27">
        <v>0.92003809507328738</v>
      </c>
      <c r="AN872" s="27">
        <v>0.91654011240353328</v>
      </c>
      <c r="AO872" s="27">
        <v>0.88672271975013173</v>
      </c>
      <c r="AP872" s="27">
        <v>0.5565405661449877</v>
      </c>
      <c r="AQ872" s="27">
        <v>0.92426880317560911</v>
      </c>
      <c r="AR872" s="27">
        <v>0.92003809507328738</v>
      </c>
      <c r="AS872" s="27">
        <v>0.91654011240353328</v>
      </c>
      <c r="AT872" s="27">
        <v>0.88672271975013173</v>
      </c>
      <c r="AU872" s="27">
        <v>0.5565405661449877</v>
      </c>
      <c r="AW872" s="1">
        <v>13.120624708496038</v>
      </c>
      <c r="AX872" s="1">
        <v>15.541062357397287</v>
      </c>
      <c r="AY872" s="2">
        <v>1522613.2392253433</v>
      </c>
      <c r="AZ872" s="1">
        <v>15.23317974281095</v>
      </c>
      <c r="BA872" s="1">
        <v>17.435441183805306</v>
      </c>
      <c r="BB872" s="2">
        <v>1135775.615945504</v>
      </c>
      <c r="BC872" s="2">
        <f t="shared" si="98"/>
        <v>-386837.62327983929</v>
      </c>
      <c r="BD872" s="292">
        <f t="shared" si="99"/>
        <v>2.1125550343149122</v>
      </c>
      <c r="BF872" s="170">
        <f t="shared" si="94"/>
        <v>576686.71413402259</v>
      </c>
      <c r="BG872" s="2">
        <f t="shared" si="95"/>
        <v>1301533.1429042481</v>
      </c>
      <c r="BI872">
        <f t="shared" si="96"/>
        <v>0</v>
      </c>
      <c r="BJ872" s="95">
        <f t="shared" si="97"/>
        <v>1</v>
      </c>
      <c r="BP872" s="217">
        <f t="shared" si="100"/>
        <v>1301533.1429042481</v>
      </c>
    </row>
    <row r="873" spans="1:68">
      <c r="A873" s="11">
        <v>867</v>
      </c>
      <c r="C873" s="27">
        <v>0.92362952200530779</v>
      </c>
      <c r="D873" s="27">
        <v>7.6370477994692182E-2</v>
      </c>
      <c r="E873" s="27">
        <v>0</v>
      </c>
      <c r="F873" s="27">
        <v>0.85618153308935563</v>
      </c>
      <c r="G873" s="27">
        <v>0.14381846691064437</v>
      </c>
      <c r="H873" s="27">
        <v>0</v>
      </c>
      <c r="I873" s="27">
        <v>0.75502015753590701</v>
      </c>
      <c r="J873" s="27">
        <v>0.24497984246409302</v>
      </c>
      <c r="K873" s="27">
        <v>0</v>
      </c>
      <c r="L873" s="27">
        <v>0.10725772178567272</v>
      </c>
      <c r="M873" s="27">
        <v>0.49189856357361456</v>
      </c>
      <c r="N873" s="27">
        <v>0.40084371464071267</v>
      </c>
      <c r="O873" s="27">
        <v>-10.998596160640753</v>
      </c>
      <c r="P873" s="27">
        <v>3.3857381410196785E-2</v>
      </c>
      <c r="Q873" s="27">
        <v>6.9333238036020238E-5</v>
      </c>
      <c r="R873" s="27">
        <v>1.0598621960817329</v>
      </c>
      <c r="S873" s="154"/>
      <c r="T873">
        <v>0.88645610483204251</v>
      </c>
      <c r="U873">
        <v>2.2730886816037401</v>
      </c>
      <c r="V873">
        <v>3.1563915343180886</v>
      </c>
      <c r="W873">
        <v>1</v>
      </c>
      <c r="Y873" s="2">
        <v>158.25193591295815</v>
      </c>
      <c r="Z873" s="2">
        <v>6668.0864174492754</v>
      </c>
      <c r="AA873" s="2">
        <v>4144.3281711483623</v>
      </c>
      <c r="AB873" s="2">
        <v>7896.1494509982676</v>
      </c>
      <c r="AC873" s="2">
        <v>545.59705907496686</v>
      </c>
      <c r="AD873" s="2">
        <v>1351.9009530797487</v>
      </c>
      <c r="AE873" s="2">
        <v>465.251322839956</v>
      </c>
      <c r="AF873" s="2">
        <v>959.49322243651989</v>
      </c>
      <c r="AG873" s="2">
        <v>83.483648076355351</v>
      </c>
      <c r="AH873" s="2">
        <v>389.2875531974953</v>
      </c>
      <c r="AI873" s="2">
        <v>424761.38663566217</v>
      </c>
      <c r="AJ873" s="2">
        <v>390164.9486562016</v>
      </c>
      <c r="AL873" s="27">
        <v>0.91892469154292855</v>
      </c>
      <c r="AM873" s="27">
        <v>0.91451164627559389</v>
      </c>
      <c r="AN873" s="27">
        <v>0.91201600113168269</v>
      </c>
      <c r="AO873" s="27">
        <v>0.8749678375023866</v>
      </c>
      <c r="AP873" s="27">
        <v>0.72065430210183723</v>
      </c>
      <c r="AQ873" s="27">
        <v>0.91892469154292855</v>
      </c>
      <c r="AR873" s="27">
        <v>0.91451164627559389</v>
      </c>
      <c r="AS873" s="27">
        <v>0.91201600113168269</v>
      </c>
      <c r="AT873" s="27">
        <v>0.8749678375023866</v>
      </c>
      <c r="AU873" s="27">
        <v>0.72065430210183723</v>
      </c>
      <c r="AW873" s="1">
        <v>13.88698017324776</v>
      </c>
      <c r="AX873" s="1">
        <v>15.785612446221641</v>
      </c>
      <c r="AY873" s="2">
        <v>1510314.7475912978</v>
      </c>
      <c r="AZ873" s="1">
        <v>15.409220834950819</v>
      </c>
      <c r="BA873" s="1">
        <v>17.294768506164885</v>
      </c>
      <c r="BB873" s="2">
        <v>1281241.3225399037</v>
      </c>
      <c r="BC873" s="2">
        <f t="shared" si="98"/>
        <v>-229073.42505139415</v>
      </c>
      <c r="BD873" s="292">
        <f t="shared" si="99"/>
        <v>1.5222406617030586</v>
      </c>
      <c r="BF873" s="170">
        <f t="shared" si="94"/>
        <v>711602.08012834401</v>
      </c>
      <c r="BG873" s="2">
        <f t="shared" si="95"/>
        <v>1184234.0110522276</v>
      </c>
      <c r="BI873">
        <f t="shared" si="96"/>
        <v>0</v>
      </c>
      <c r="BJ873" s="95">
        <f t="shared" si="97"/>
        <v>1</v>
      </c>
      <c r="BP873" s="217">
        <f t="shared" si="100"/>
        <v>1184234.0110522276</v>
      </c>
    </row>
    <row r="874" spans="1:68">
      <c r="A874" s="11">
        <v>868</v>
      </c>
      <c r="C874" s="27">
        <v>0.92193710731313661</v>
      </c>
      <c r="D874" s="27">
        <v>7.8062892686863394E-2</v>
      </c>
      <c r="E874" s="27">
        <v>0</v>
      </c>
      <c r="F874" s="27">
        <v>0.85275417871577153</v>
      </c>
      <c r="G874" s="27">
        <v>0.14724582128422847</v>
      </c>
      <c r="H874" s="27">
        <v>0</v>
      </c>
      <c r="I874" s="27">
        <v>0.75506479090188661</v>
      </c>
      <c r="J874" s="27">
        <v>0.24493520909811345</v>
      </c>
      <c r="K874" s="27">
        <v>0</v>
      </c>
      <c r="L874" s="27">
        <v>0.15141342560636079</v>
      </c>
      <c r="M874" s="27">
        <v>0.48893490408607904</v>
      </c>
      <c r="N874" s="27">
        <v>0.35965167030756012</v>
      </c>
      <c r="O874" s="27">
        <v>-11.052717945286773</v>
      </c>
      <c r="P874" s="27">
        <v>3.3735079996295415E-2</v>
      </c>
      <c r="Q874" s="27">
        <v>6.5344022869078067E-5</v>
      </c>
      <c r="R874" s="27">
        <v>1.0562781262973682</v>
      </c>
      <c r="S874" s="154"/>
      <c r="T874">
        <v>0.98249600740801302</v>
      </c>
      <c r="U874">
        <v>2.2315253608510903</v>
      </c>
      <c r="V874">
        <v>2.9336116806140566</v>
      </c>
      <c r="W874">
        <v>1</v>
      </c>
      <c r="Y874" s="2">
        <v>428.20790839818653</v>
      </c>
      <c r="Z874" s="2">
        <v>4417.2374149137822</v>
      </c>
      <c r="AA874" s="2">
        <v>1936.1358712835258</v>
      </c>
      <c r="AB874" s="2">
        <v>2726.9221581311513</v>
      </c>
      <c r="AC874" s="2">
        <v>988.31868182227754</v>
      </c>
      <c r="AD874" s="2">
        <v>1059.5815526568701</v>
      </c>
      <c r="AE874" s="2">
        <v>512.2052529940039</v>
      </c>
      <c r="AF874" s="2">
        <v>1259.4286743972461</v>
      </c>
      <c r="AG874" s="2">
        <v>95.924340904064337</v>
      </c>
      <c r="AH874" s="2">
        <v>329.90737670623525</v>
      </c>
      <c r="AI874" s="2">
        <v>452566.10124067671</v>
      </c>
      <c r="AJ874" s="2">
        <v>433707.16683944594</v>
      </c>
      <c r="AL874" s="27">
        <v>0.91516694800168397</v>
      </c>
      <c r="AM874" s="27">
        <v>0.90977778433305079</v>
      </c>
      <c r="AN874" s="27">
        <v>0.89446175426830654</v>
      </c>
      <c r="AO874" s="27">
        <v>0.86965991231548712</v>
      </c>
      <c r="AP874" s="27">
        <v>0.6827274134654473</v>
      </c>
      <c r="AQ874" s="27">
        <v>0.91516694800168397</v>
      </c>
      <c r="AR874" s="27">
        <v>0.90977778433305079</v>
      </c>
      <c r="AS874" s="27">
        <v>0.89446175426830654</v>
      </c>
      <c r="AT874" s="27">
        <v>0.86965991231548712</v>
      </c>
      <c r="AU874" s="27">
        <v>0.6827274134654473</v>
      </c>
      <c r="AW874" s="1">
        <v>13.557328719848604</v>
      </c>
      <c r="AX874" s="1">
        <v>15.723787374631515</v>
      </c>
      <c r="AY874" s="2">
        <v>1866908.6032144013</v>
      </c>
      <c r="AZ874" s="1">
        <v>15.291334904237385</v>
      </c>
      <c r="BA874" s="1">
        <v>17.405957244667995</v>
      </c>
      <c r="BB874" s="2">
        <v>1385116.0712401087</v>
      </c>
      <c r="BC874" s="2">
        <f t="shared" si="98"/>
        <v>-481792.53197429259</v>
      </c>
      <c r="BD874" s="292">
        <f t="shared" si="99"/>
        <v>1.7340061843887806</v>
      </c>
      <c r="BF874" s="170">
        <f t="shared" si="94"/>
        <v>302263.99196137534</v>
      </c>
      <c r="BG874" s="2">
        <f t="shared" si="95"/>
        <v>1061497.513437873</v>
      </c>
      <c r="BI874">
        <f t="shared" si="96"/>
        <v>0</v>
      </c>
      <c r="BJ874" s="95">
        <f t="shared" si="97"/>
        <v>1</v>
      </c>
      <c r="BP874" s="217">
        <f t="shared" si="100"/>
        <v>1061497.513437873</v>
      </c>
    </row>
    <row r="875" spans="1:68">
      <c r="A875" s="11">
        <v>869</v>
      </c>
      <c r="C875" s="27">
        <v>0.92522767072075152</v>
      </c>
      <c r="D875" s="27">
        <v>7.4772329279248526E-2</v>
      </c>
      <c r="E875" s="27">
        <v>0</v>
      </c>
      <c r="F875" s="27">
        <v>0.8560070205855459</v>
      </c>
      <c r="G875" s="27">
        <v>0.1439929794144541</v>
      </c>
      <c r="H875" s="27">
        <v>0</v>
      </c>
      <c r="I875" s="27">
        <v>0.75805346661551753</v>
      </c>
      <c r="J875" s="27">
        <v>0.24194653338448249</v>
      </c>
      <c r="K875" s="27">
        <v>0</v>
      </c>
      <c r="L875" s="27">
        <v>8.4876653710947325E-2</v>
      </c>
      <c r="M875" s="27">
        <v>0.52214407365255078</v>
      </c>
      <c r="N875" s="27">
        <v>0.3929792726365019</v>
      </c>
      <c r="O875" s="27">
        <v>-11.267393029918974</v>
      </c>
      <c r="P875" s="27">
        <v>3.4744228058404977E-2</v>
      </c>
      <c r="Q875" s="27">
        <v>5.5002305717950067E-5</v>
      </c>
      <c r="R875" s="27">
        <v>1.0853459006746373</v>
      </c>
      <c r="S875" s="154"/>
      <c r="T875">
        <v>1.0216175140214607</v>
      </c>
      <c r="U875">
        <v>2.2102018266767716</v>
      </c>
      <c r="V875">
        <v>2.693197458756114</v>
      </c>
      <c r="W875">
        <v>1</v>
      </c>
      <c r="Y875" s="2">
        <v>624.3550017605387</v>
      </c>
      <c r="Z875" s="2">
        <v>8007.7546837674445</v>
      </c>
      <c r="AA875" s="2">
        <v>268.96348488716569</v>
      </c>
      <c r="AB875" s="2">
        <v>8790.1711110370161</v>
      </c>
      <c r="AC875" s="2">
        <v>89.877643107866348</v>
      </c>
      <c r="AD875" s="2">
        <v>758.39761108083962</v>
      </c>
      <c r="AE875" s="2">
        <v>527.1408149764377</v>
      </c>
      <c r="AF875" s="2">
        <v>984.77751275000708</v>
      </c>
      <c r="AG875" s="2">
        <v>110.74477489117902</v>
      </c>
      <c r="AH875" s="2">
        <v>451.03867428064279</v>
      </c>
      <c r="AI875" s="2">
        <v>547221.51031248935</v>
      </c>
      <c r="AJ875" s="2">
        <v>517873.1822203903</v>
      </c>
      <c r="AL875" s="27">
        <v>0.91804729166243826</v>
      </c>
      <c r="AM875" s="27">
        <v>0.91255185454140719</v>
      </c>
      <c r="AN875" s="27">
        <v>0.90886803396005278</v>
      </c>
      <c r="AO875" s="27">
        <v>0.87775812494256966</v>
      </c>
      <c r="AP875" s="27">
        <v>0.65226932960918049</v>
      </c>
      <c r="AQ875" s="27">
        <v>0.91804729166243826</v>
      </c>
      <c r="AR875" s="27">
        <v>0.91255185454140719</v>
      </c>
      <c r="AS875" s="27">
        <v>0.90886803396005278</v>
      </c>
      <c r="AT875" s="27">
        <v>0.87775812494256966</v>
      </c>
      <c r="AU875" s="27">
        <v>0.65226932960918049</v>
      </c>
      <c r="AW875" s="1">
        <v>13.469512634860282</v>
      </c>
      <c r="AX875" s="1">
        <v>15.630253224756112</v>
      </c>
      <c r="AY875" s="2">
        <v>2124884.2005210235</v>
      </c>
      <c r="AZ875" s="1">
        <v>15.330545713100369</v>
      </c>
      <c r="BA875" s="1">
        <v>17.40298839599701</v>
      </c>
      <c r="BB875" s="2">
        <v>1583849.3223210278</v>
      </c>
      <c r="BC875" s="2">
        <f t="shared" si="98"/>
        <v>-541034.87819999573</v>
      </c>
      <c r="BD875" s="292">
        <f t="shared" si="99"/>
        <v>1.8610330782400872</v>
      </c>
      <c r="BF875" s="170">
        <f t="shared" si="94"/>
        <v>30237.821056621615</v>
      </c>
      <c r="BG875" s="2">
        <f t="shared" si="95"/>
        <v>869037.99177503143</v>
      </c>
      <c r="BI875">
        <f t="shared" si="96"/>
        <v>0</v>
      </c>
      <c r="BJ875" s="95">
        <f t="shared" si="97"/>
        <v>1</v>
      </c>
      <c r="BP875" s="217">
        <f t="shared" si="100"/>
        <v>869037.99177503143</v>
      </c>
    </row>
    <row r="876" spans="1:68">
      <c r="A876" s="11">
        <v>870</v>
      </c>
      <c r="C876" s="27">
        <v>0.92434895335666989</v>
      </c>
      <c r="D876" s="27">
        <v>7.5651046643330153E-2</v>
      </c>
      <c r="E876" s="27">
        <v>0</v>
      </c>
      <c r="F876" s="27">
        <v>0.85534729715866709</v>
      </c>
      <c r="G876" s="27">
        <v>0.14465270284133291</v>
      </c>
      <c r="H876" s="27">
        <v>0</v>
      </c>
      <c r="I876" s="27">
        <v>0.75338963975408046</v>
      </c>
      <c r="J876" s="27">
        <v>0.24661036024591959</v>
      </c>
      <c r="K876" s="27">
        <v>0</v>
      </c>
      <c r="L876" s="27">
        <v>1.0634330415650983E-2</v>
      </c>
      <c r="M876" s="27">
        <v>0.52846563354569653</v>
      </c>
      <c r="N876" s="27">
        <v>0.46090003603865248</v>
      </c>
      <c r="O876" s="27">
        <v>-11.316232656859924</v>
      </c>
      <c r="P876" s="27">
        <v>3.8211958134534832E-2</v>
      </c>
      <c r="Q876" s="27">
        <v>6.0593046529544453E-5</v>
      </c>
      <c r="R876" s="27">
        <v>1.068992047747976</v>
      </c>
      <c r="S876" s="154"/>
      <c r="T876">
        <v>0.98154591981343908</v>
      </c>
      <c r="U876">
        <v>2.2082738429455833</v>
      </c>
      <c r="V876">
        <v>3.0905420805946022</v>
      </c>
      <c r="W876">
        <v>1</v>
      </c>
      <c r="Y876" s="2">
        <v>1736.4289867082798</v>
      </c>
      <c r="Z876" s="2">
        <v>3930.0678791713808</v>
      </c>
      <c r="AA876" s="2">
        <v>1294.188180272248</v>
      </c>
      <c r="AB876" s="2">
        <v>99.259211872181538</v>
      </c>
      <c r="AC876" s="2">
        <v>2991.1761770769454</v>
      </c>
      <c r="AD876" s="2">
        <v>925.57131854636441</v>
      </c>
      <c r="AE876" s="2">
        <v>690.14753429398934</v>
      </c>
      <c r="AF876" s="2">
        <v>1096.6402209195246</v>
      </c>
      <c r="AG876" s="2">
        <v>154.33290208913894</v>
      </c>
      <c r="AH876" s="2">
        <v>219.72823535965546</v>
      </c>
      <c r="AI876" s="2">
        <v>564525.5469375992</v>
      </c>
      <c r="AJ876" s="2">
        <v>534414.54835537949</v>
      </c>
      <c r="AL876" s="27">
        <v>0.91685464901075231</v>
      </c>
      <c r="AM876" s="27">
        <v>0.91386660478761972</v>
      </c>
      <c r="AN876" s="27">
        <v>0.91251679500300131</v>
      </c>
      <c r="AO876" s="27">
        <v>0.91340951360641487</v>
      </c>
      <c r="AP876" s="27">
        <v>0.61588865079444088</v>
      </c>
      <c r="AQ876" s="27">
        <v>0.91685464901075231</v>
      </c>
      <c r="AR876" s="27">
        <v>0.91386660478761972</v>
      </c>
      <c r="AS876" s="27">
        <v>0.91251679500300131</v>
      </c>
      <c r="AT876" s="27">
        <v>0.91340951360641487</v>
      </c>
      <c r="AU876" s="27">
        <v>0.61588865079444088</v>
      </c>
      <c r="AW876" s="1">
        <v>13.25705064123196</v>
      </c>
      <c r="AX876" s="1">
        <v>15.463386001189065</v>
      </c>
      <c r="AY876" s="2">
        <v>2113334.4811318424</v>
      </c>
      <c r="AZ876" s="1">
        <v>15.130539433989087</v>
      </c>
      <c r="BA876" s="1">
        <v>17.234062959460079</v>
      </c>
      <c r="BB876" s="2">
        <v>1465314.1818566835</v>
      </c>
      <c r="BC876" s="2">
        <f t="shared" si="98"/>
        <v>-648020.2992751589</v>
      </c>
      <c r="BD876" s="292">
        <f t="shared" si="99"/>
        <v>1.8734887927571275</v>
      </c>
      <c r="BF876" s="170">
        <f t="shared" si="94"/>
        <v>7793.6214652713388</v>
      </c>
      <c r="BG876" s="2">
        <f t="shared" si="95"/>
        <v>955572.1275815703</v>
      </c>
      <c r="BI876">
        <f t="shared" si="96"/>
        <v>0</v>
      </c>
      <c r="BJ876" s="95">
        <f t="shared" si="97"/>
        <v>1</v>
      </c>
      <c r="BP876" s="217">
        <f t="shared" si="100"/>
        <v>955572.1275815703</v>
      </c>
    </row>
    <row r="877" spans="1:68">
      <c r="A877" s="11">
        <v>871</v>
      </c>
      <c r="C877" s="27">
        <v>0.92558019994639573</v>
      </c>
      <c r="D877" s="27">
        <v>7.4419800053604254E-2</v>
      </c>
      <c r="E877" s="27">
        <v>0</v>
      </c>
      <c r="F877" s="27">
        <v>0.86372023828618716</v>
      </c>
      <c r="G877" s="27">
        <v>0.13627976171381284</v>
      </c>
      <c r="H877" s="27">
        <v>0</v>
      </c>
      <c r="I877" s="27">
        <v>0.74398493249610265</v>
      </c>
      <c r="J877" s="27">
        <v>0.25601506750389735</v>
      </c>
      <c r="K877" s="27">
        <v>0</v>
      </c>
      <c r="L877" s="27">
        <v>0.15295103878795524</v>
      </c>
      <c r="M877" s="27">
        <v>0.48625125366537097</v>
      </c>
      <c r="N877" s="27">
        <v>0.36079770754667384</v>
      </c>
      <c r="O877" s="27">
        <v>-11.30235067829428</v>
      </c>
      <c r="P877" s="27">
        <v>3.5650751224062707E-2</v>
      </c>
      <c r="Q877" s="27">
        <v>5.5173978109857914E-5</v>
      </c>
      <c r="R877" s="27">
        <v>1.0859021937485136</v>
      </c>
      <c r="S877" s="154"/>
      <c r="T877">
        <v>1.0425774036445383</v>
      </c>
      <c r="U877">
        <v>2.2388082580322988</v>
      </c>
      <c r="V877">
        <v>3.2021984158066448</v>
      </c>
      <c r="W877">
        <v>1</v>
      </c>
      <c r="Y877" s="2">
        <v>65.274048374417816</v>
      </c>
      <c r="Z877" s="2">
        <v>5783.5650935337326</v>
      </c>
      <c r="AA877" s="2">
        <v>555.74623770968299</v>
      </c>
      <c r="AB877" s="2">
        <v>12960.276896817602</v>
      </c>
      <c r="AC877" s="2">
        <v>114.31048519323174</v>
      </c>
      <c r="AD877" s="2">
        <v>92.367418454118365</v>
      </c>
      <c r="AE877" s="2">
        <v>535.96725801655145</v>
      </c>
      <c r="AF877" s="2">
        <v>1366.9728889708917</v>
      </c>
      <c r="AG877" s="2">
        <v>175.43891400540423</v>
      </c>
      <c r="AH877" s="2">
        <v>516.81882198070684</v>
      </c>
      <c r="AI877" s="2">
        <v>421790.91923395719</v>
      </c>
      <c r="AJ877" s="2">
        <v>392048.41519911564</v>
      </c>
      <c r="AL877" s="27">
        <v>0.91903024981981551</v>
      </c>
      <c r="AM877" s="27">
        <v>0.91212219289206642</v>
      </c>
      <c r="AN877" s="27">
        <v>0.91691642025541864</v>
      </c>
      <c r="AO877" s="27">
        <v>0.87060277241486494</v>
      </c>
      <c r="AP877" s="27">
        <v>0.59344305181383772</v>
      </c>
      <c r="AQ877" s="27">
        <v>0.91903024981981551</v>
      </c>
      <c r="AR877" s="27">
        <v>0.91212219289206642</v>
      </c>
      <c r="AS877" s="27">
        <v>0.91691642025541864</v>
      </c>
      <c r="AT877" s="27">
        <v>0.87060277241486494</v>
      </c>
      <c r="AU877" s="27">
        <v>0.59344305181383772</v>
      </c>
      <c r="AW877" s="1">
        <v>13.211317303538893</v>
      </c>
      <c r="AX877" s="1">
        <v>15.559938309224373</v>
      </c>
      <c r="AY877" s="2">
        <v>1627004.4130773502</v>
      </c>
      <c r="AZ877" s="1">
        <v>15.284221988497034</v>
      </c>
      <c r="BA877" s="1">
        <v>17.467488978665678</v>
      </c>
      <c r="BB877" s="2">
        <v>1304840.2644480334</v>
      </c>
      <c r="BC877" s="2">
        <f t="shared" si="98"/>
        <v>-322164.14862931683</v>
      </c>
      <c r="BD877" s="292">
        <f t="shared" si="99"/>
        <v>2.0729046849581412</v>
      </c>
      <c r="BF877" s="170">
        <f t="shared" si="94"/>
        <v>486806.35548887262</v>
      </c>
      <c r="BG877" s="2">
        <f t="shared" si="95"/>
        <v>1140635.2537114921</v>
      </c>
      <c r="BI877">
        <f t="shared" si="96"/>
        <v>0</v>
      </c>
      <c r="BJ877" s="95">
        <f t="shared" si="97"/>
        <v>1</v>
      </c>
      <c r="BP877" s="217">
        <f t="shared" si="100"/>
        <v>1140635.2537114921</v>
      </c>
    </row>
    <row r="878" spans="1:68">
      <c r="A878" s="11">
        <v>872</v>
      </c>
      <c r="C878" s="27">
        <v>0.92134489290810229</v>
      </c>
      <c r="D878" s="27">
        <v>7.8655107091897714E-2</v>
      </c>
      <c r="E878" s="27">
        <v>0</v>
      </c>
      <c r="F878" s="27">
        <v>0.86067398382331328</v>
      </c>
      <c r="G878" s="27">
        <v>0.13932601617668675</v>
      </c>
      <c r="H878" s="27">
        <v>0</v>
      </c>
      <c r="I878" s="27">
        <v>0.75688321219491528</v>
      </c>
      <c r="J878" s="27">
        <v>0.24311678780508469</v>
      </c>
      <c r="K878" s="27">
        <v>0</v>
      </c>
      <c r="L878" s="27">
        <v>0.11666501982218702</v>
      </c>
      <c r="M878" s="27">
        <v>0.47276514177039264</v>
      </c>
      <c r="N878" s="27">
        <v>0.41056983840742034</v>
      </c>
      <c r="O878" s="27">
        <v>-10.931036730902139</v>
      </c>
      <c r="P878" s="27">
        <v>3.4459641673573953E-2</v>
      </c>
      <c r="Q878" s="27">
        <v>7.607949476315494E-5</v>
      </c>
      <c r="R878" s="27">
        <v>1.0436651046012158</v>
      </c>
      <c r="S878" s="154"/>
      <c r="T878">
        <v>1.0160734662946782</v>
      </c>
      <c r="U878">
        <v>2.2368727861341049</v>
      </c>
      <c r="V878">
        <v>2.9529817411413264</v>
      </c>
      <c r="W878">
        <v>1</v>
      </c>
      <c r="Y878" s="2">
        <v>611.66014381932803</v>
      </c>
      <c r="Z878" s="2">
        <v>3314.7953085432641</v>
      </c>
      <c r="AA878" s="2">
        <v>706.01215719942138</v>
      </c>
      <c r="AB878" s="2">
        <v>747.44204764947847</v>
      </c>
      <c r="AC878" s="2">
        <v>1580.6622732823344</v>
      </c>
      <c r="AD878" s="2">
        <v>976.37143999949433</v>
      </c>
      <c r="AE878" s="2">
        <v>599.68710064369066</v>
      </c>
      <c r="AF878" s="2">
        <v>1413.8058715599741</v>
      </c>
      <c r="AG878" s="2">
        <v>196.61672167948799</v>
      </c>
      <c r="AH878" s="2">
        <v>294.73400879182594</v>
      </c>
      <c r="AI878" s="2">
        <v>504594.29212596739</v>
      </c>
      <c r="AJ878" s="2">
        <v>471867.08275251434</v>
      </c>
      <c r="AL878" s="27">
        <v>0.91601151112006984</v>
      </c>
      <c r="AM878" s="27">
        <v>0.91345206941662727</v>
      </c>
      <c r="AN878" s="27">
        <v>0.89786742994841051</v>
      </c>
      <c r="AO878" s="27">
        <v>0.86111859861741236</v>
      </c>
      <c r="AP878" s="27">
        <v>0.68378880228256544</v>
      </c>
      <c r="AQ878" s="27">
        <v>0.91601151112006984</v>
      </c>
      <c r="AR878" s="27">
        <v>0.91345206941662727</v>
      </c>
      <c r="AS878" s="27">
        <v>0.89786742994841051</v>
      </c>
      <c r="AT878" s="27">
        <v>0.86111859861741236</v>
      </c>
      <c r="AU878" s="27">
        <v>0.68378880228256544</v>
      </c>
      <c r="AW878" s="1">
        <v>13.306953236759288</v>
      </c>
      <c r="AX878" s="1">
        <v>15.375785702464794</v>
      </c>
      <c r="AY878" s="2">
        <v>1889030.5326580547</v>
      </c>
      <c r="AZ878" s="1">
        <v>15.249456050400372</v>
      </c>
      <c r="BA878" s="1">
        <v>17.275064538203658</v>
      </c>
      <c r="BB878" s="2">
        <v>1316754.9898340984</v>
      </c>
      <c r="BC878" s="2">
        <f t="shared" si="98"/>
        <v>-572275.54282395635</v>
      </c>
      <c r="BD878" s="292">
        <f t="shared" si="99"/>
        <v>1.9425028136410845</v>
      </c>
      <c r="BF878" s="170">
        <f t="shared" si="94"/>
        <v>240081.98522343137</v>
      </c>
      <c r="BG878" s="2">
        <f t="shared" si="95"/>
        <v>1123157.9782299611</v>
      </c>
      <c r="BI878">
        <f t="shared" si="96"/>
        <v>0</v>
      </c>
      <c r="BJ878" s="95">
        <f t="shared" si="97"/>
        <v>1</v>
      </c>
      <c r="BP878" s="217">
        <f t="shared" si="100"/>
        <v>1123157.9782299611</v>
      </c>
    </row>
    <row r="879" spans="1:68">
      <c r="A879" s="11">
        <v>873</v>
      </c>
      <c r="C879" s="27">
        <v>0.92515681324943844</v>
      </c>
      <c r="D879" s="27">
        <v>7.4843186750561605E-2</v>
      </c>
      <c r="E879" s="27">
        <v>0</v>
      </c>
      <c r="F879" s="27">
        <v>0.85556142534846114</v>
      </c>
      <c r="G879" s="27">
        <v>0.14443857465153886</v>
      </c>
      <c r="H879" s="27">
        <v>0</v>
      </c>
      <c r="I879" s="27">
        <v>0.75005244281750927</v>
      </c>
      <c r="J879" s="27">
        <v>0.24994755718249068</v>
      </c>
      <c r="K879" s="27">
        <v>0</v>
      </c>
      <c r="L879" s="27">
        <v>7.6140686025043092E-2</v>
      </c>
      <c r="M879" s="27">
        <v>0.5313688103200902</v>
      </c>
      <c r="N879" s="27">
        <v>0.39249050365486671</v>
      </c>
      <c r="O879" s="27">
        <v>-11.192538051379588</v>
      </c>
      <c r="P879" s="27">
        <v>3.5365050425536421E-2</v>
      </c>
      <c r="Q879" s="27">
        <v>6.0843477535284868E-5</v>
      </c>
      <c r="R879" s="27">
        <v>1.0718980358216608</v>
      </c>
      <c r="S879" s="154"/>
      <c r="T879">
        <v>0.92938931332913155</v>
      </c>
      <c r="U879">
        <v>2.2576317748706667</v>
      </c>
      <c r="V879">
        <v>3.2532632732991762</v>
      </c>
      <c r="W879">
        <v>1</v>
      </c>
      <c r="Y879" s="2">
        <v>553.14357314104439</v>
      </c>
      <c r="Z879" s="2">
        <v>1545.6069249668485</v>
      </c>
      <c r="AA879" s="2">
        <v>508.06786134901142</v>
      </c>
      <c r="AB879" s="2">
        <v>3440.4194250582386</v>
      </c>
      <c r="AC879" s="2">
        <v>191.36548512098534</v>
      </c>
      <c r="AD879" s="2">
        <v>676.88478013085671</v>
      </c>
      <c r="AE879" s="2">
        <v>633.04713051340525</v>
      </c>
      <c r="AF879" s="2">
        <v>967.43886406129229</v>
      </c>
      <c r="AG879" s="2">
        <v>112.56316026488888</v>
      </c>
      <c r="AH879" s="2">
        <v>376.85230406240674</v>
      </c>
      <c r="AI879" s="2">
        <v>618409.29285995045</v>
      </c>
      <c r="AJ879" s="2">
        <v>588412.53838705667</v>
      </c>
      <c r="AL879" s="27">
        <v>0.92061141054186224</v>
      </c>
      <c r="AM879" s="27">
        <v>0.91292139466341227</v>
      </c>
      <c r="AN879" s="27">
        <v>0.90850808777752545</v>
      </c>
      <c r="AO879" s="27">
        <v>0.86924274308698768</v>
      </c>
      <c r="AP879" s="27">
        <v>0.70910279599610027</v>
      </c>
      <c r="AQ879" s="27">
        <v>0.92061141054186224</v>
      </c>
      <c r="AR879" s="27">
        <v>0.91292139466341227</v>
      </c>
      <c r="AS879" s="27">
        <v>0.90850808777752545</v>
      </c>
      <c r="AT879" s="27">
        <v>0.86924274308698768</v>
      </c>
      <c r="AU879" s="27">
        <v>0.70910279599610027</v>
      </c>
      <c r="AW879" s="1">
        <v>13.850532310931371</v>
      </c>
      <c r="AX879" s="1">
        <v>15.820246695720268</v>
      </c>
      <c r="AY879" s="2">
        <v>2296817.436380743</v>
      </c>
      <c r="AZ879" s="1">
        <v>15.466564402140218</v>
      </c>
      <c r="BA879" s="1">
        <v>17.405417922854344</v>
      </c>
      <c r="BB879" s="2">
        <v>1732479.8088380969</v>
      </c>
      <c r="BC879" s="2">
        <f t="shared" si="98"/>
        <v>-564337.62754264614</v>
      </c>
      <c r="BD879" s="292">
        <f t="shared" si="99"/>
        <v>1.6160320912088473</v>
      </c>
      <c r="BF879" s="170">
        <f t="shared" si="94"/>
        <v>-80732.266631723847</v>
      </c>
      <c r="BG879" s="2">
        <f t="shared" si="95"/>
        <v>742170.49550433783</v>
      </c>
      <c r="BI879">
        <f t="shared" si="96"/>
        <v>0</v>
      </c>
      <c r="BJ879" s="95">
        <f t="shared" si="97"/>
        <v>1</v>
      </c>
      <c r="BP879" s="217">
        <f t="shared" si="100"/>
        <v>742170.49550433783</v>
      </c>
    </row>
    <row r="880" spans="1:68">
      <c r="A880" s="11">
        <v>874</v>
      </c>
      <c r="C880" s="27">
        <v>0.92509497187279432</v>
      </c>
      <c r="D880" s="27">
        <v>7.4905028127205633E-2</v>
      </c>
      <c r="E880" s="27">
        <v>0</v>
      </c>
      <c r="F880" s="27">
        <v>0.85246135943600099</v>
      </c>
      <c r="G880" s="27">
        <v>0.14753864056399901</v>
      </c>
      <c r="H880" s="27">
        <v>0</v>
      </c>
      <c r="I880" s="27">
        <v>0.74576308520175849</v>
      </c>
      <c r="J880" s="27">
        <v>0.25423691479824151</v>
      </c>
      <c r="K880" s="27">
        <v>0</v>
      </c>
      <c r="L880" s="27">
        <v>0.14844475499787407</v>
      </c>
      <c r="M880" s="27">
        <v>0.52321989920996348</v>
      </c>
      <c r="N880" s="27">
        <v>0.32833534579216245</v>
      </c>
      <c r="O880" s="27">
        <v>-11.241871563712344</v>
      </c>
      <c r="P880" s="27">
        <v>3.6489602659585452E-2</v>
      </c>
      <c r="Q880" s="27">
        <v>6.0715699528789824E-5</v>
      </c>
      <c r="R880" s="27">
        <v>1.0711599724723646</v>
      </c>
      <c r="S880" s="154"/>
      <c r="T880">
        <v>1.0361497715938797</v>
      </c>
      <c r="U880">
        <v>2.3157301014899088</v>
      </c>
      <c r="V880">
        <v>3.3527094923734193</v>
      </c>
      <c r="W880">
        <v>1</v>
      </c>
      <c r="Y880" s="2">
        <v>2419.9816368286934</v>
      </c>
      <c r="Z880" s="2">
        <v>170.78995424584272</v>
      </c>
      <c r="AA880" s="2">
        <v>953.71499970568971</v>
      </c>
      <c r="AB880" s="2">
        <v>2609.4552812636921</v>
      </c>
      <c r="AC880" s="2">
        <v>1319.3592596287731</v>
      </c>
      <c r="AD880" s="2">
        <v>738.73788071305489</v>
      </c>
      <c r="AE880" s="2">
        <v>578.90181052046057</v>
      </c>
      <c r="AF880" s="2">
        <v>945.86556407862565</v>
      </c>
      <c r="AG880" s="2">
        <v>136.45795743112186</v>
      </c>
      <c r="AH880" s="2">
        <v>313.35979672307326</v>
      </c>
      <c r="AI880" s="2">
        <v>390592.78505961475</v>
      </c>
      <c r="AJ880" s="2">
        <v>355516.50289277354</v>
      </c>
      <c r="AL880" s="27">
        <v>0.91727840804122018</v>
      </c>
      <c r="AM880" s="27">
        <v>0.91459388591882229</v>
      </c>
      <c r="AN880" s="27">
        <v>0.90708243366069974</v>
      </c>
      <c r="AO880" s="27">
        <v>0.87807750318697053</v>
      </c>
      <c r="AP880" s="27">
        <v>0.81582900337177344</v>
      </c>
      <c r="AQ880" s="27">
        <v>0.91727840804122018</v>
      </c>
      <c r="AR880" s="27">
        <v>0.91459388591882229</v>
      </c>
      <c r="AS880" s="27">
        <v>0.90708243366069974</v>
      </c>
      <c r="AT880" s="27">
        <v>0.87807750318697053</v>
      </c>
      <c r="AU880" s="27">
        <v>0.81582900337177344</v>
      </c>
      <c r="AW880" s="1">
        <v>14.014264004574587</v>
      </c>
      <c r="AX880" s="1">
        <v>15.712995007798343</v>
      </c>
      <c r="AY880" s="2">
        <v>1615249.6415544851</v>
      </c>
      <c r="AZ880" s="1">
        <v>15.79891596560106</v>
      </c>
      <c r="BA880" s="1">
        <v>17.548052510167874</v>
      </c>
      <c r="BB880" s="2">
        <v>1157742.0323753939</v>
      </c>
      <c r="BC880" s="2">
        <f t="shared" si="98"/>
        <v>-457507.60917909117</v>
      </c>
      <c r="BD880" s="292">
        <f t="shared" si="99"/>
        <v>1.7846519610264728</v>
      </c>
      <c r="BF880" s="170">
        <f t="shared" si="94"/>
        <v>627032.59917744901</v>
      </c>
      <c r="BG880" s="2">
        <f t="shared" si="95"/>
        <v>1370084.5221207757</v>
      </c>
      <c r="BI880">
        <f t="shared" si="96"/>
        <v>0</v>
      </c>
      <c r="BJ880" s="95">
        <f t="shared" si="97"/>
        <v>1</v>
      </c>
      <c r="BP880" s="217">
        <f t="shared" si="100"/>
        <v>1370084.5221207757</v>
      </c>
    </row>
    <row r="881" spans="1:68">
      <c r="A881" s="11">
        <v>875</v>
      </c>
      <c r="C881" s="27">
        <v>0.92463268418698952</v>
      </c>
      <c r="D881" s="27">
        <v>7.536731581301051E-2</v>
      </c>
      <c r="E881" s="27">
        <v>0</v>
      </c>
      <c r="F881" s="27">
        <v>0.85681566756034266</v>
      </c>
      <c r="G881" s="27">
        <v>0.14318433243965734</v>
      </c>
      <c r="H881" s="27">
        <v>0</v>
      </c>
      <c r="I881" s="27">
        <v>0.74175584201004874</v>
      </c>
      <c r="J881" s="27">
        <v>0.25824415798995126</v>
      </c>
      <c r="K881" s="27">
        <v>0</v>
      </c>
      <c r="L881" s="27">
        <v>0.14318887590873075</v>
      </c>
      <c r="M881" s="27">
        <v>0.46869339749731631</v>
      </c>
      <c r="N881" s="27">
        <v>0.38811772659395294</v>
      </c>
      <c r="O881" s="27">
        <v>-11.499305389034639</v>
      </c>
      <c r="P881" s="27">
        <v>3.7426139059880827E-2</v>
      </c>
      <c r="Q881" s="27">
        <v>4.8818190983021836E-5</v>
      </c>
      <c r="R881" s="27">
        <v>1.0957581870267274</v>
      </c>
      <c r="S881" s="154"/>
      <c r="T881">
        <v>0.9547978909795567</v>
      </c>
      <c r="U881">
        <v>2.1696799196201111</v>
      </c>
      <c r="V881">
        <v>2.8789222739217375</v>
      </c>
      <c r="W881">
        <v>1</v>
      </c>
      <c r="Y881" s="2">
        <v>388.61117382292099</v>
      </c>
      <c r="Z881" s="2">
        <v>12450.963330989327</v>
      </c>
      <c r="AA881" s="2">
        <v>3497.9677905844133</v>
      </c>
      <c r="AB881" s="2">
        <v>7363.3215802031873</v>
      </c>
      <c r="AC881" s="2">
        <v>160.32421076843519</v>
      </c>
      <c r="AD881" s="2">
        <v>382.08820970478655</v>
      </c>
      <c r="AE881" s="2">
        <v>623.75225249489961</v>
      </c>
      <c r="AF881" s="2">
        <v>1063.492112792215</v>
      </c>
      <c r="AG881" s="2">
        <v>144.28240173623146</v>
      </c>
      <c r="AH881" s="2">
        <v>586.10587201412307</v>
      </c>
      <c r="AI881" s="2">
        <v>465451.47100881737</v>
      </c>
      <c r="AJ881" s="2">
        <v>429377.40997873468</v>
      </c>
      <c r="AL881" s="27">
        <v>0.90662058351839203</v>
      </c>
      <c r="AM881" s="27">
        <v>0.91960754441514059</v>
      </c>
      <c r="AN881" s="27">
        <v>0.91283064919963319</v>
      </c>
      <c r="AO881" s="27">
        <v>0.88707402152387682</v>
      </c>
      <c r="AP881" s="27">
        <v>0.68538568237412445</v>
      </c>
      <c r="AQ881" s="27">
        <v>0.90662058351839203</v>
      </c>
      <c r="AR881" s="27">
        <v>0.91960754441514059</v>
      </c>
      <c r="AS881" s="27">
        <v>0.91283064919963319</v>
      </c>
      <c r="AT881" s="27">
        <v>0.88707402152387682</v>
      </c>
      <c r="AU881" s="27">
        <v>0.68538568237412445</v>
      </c>
      <c r="AW881" s="1">
        <v>13.576223239316736</v>
      </c>
      <c r="AX881" s="1">
        <v>15.676782877747492</v>
      </c>
      <c r="AY881" s="2">
        <v>1749105.1086464913</v>
      </c>
      <c r="AZ881" s="1">
        <v>15.230968320700143</v>
      </c>
      <c r="BA881" s="1">
        <v>17.274132732006489</v>
      </c>
      <c r="BB881" s="2">
        <v>1345844.3043017841</v>
      </c>
      <c r="BC881" s="2">
        <f t="shared" si="98"/>
        <v>-403260.80434470717</v>
      </c>
      <c r="BD881" s="292">
        <f t="shared" si="99"/>
        <v>1.6547450813834068</v>
      </c>
      <c r="BF881" s="170">
        <f t="shared" si="94"/>
        <v>423090.60964418645</v>
      </c>
      <c r="BG881" s="2">
        <f t="shared" si="95"/>
        <v>1091110.6270102386</v>
      </c>
      <c r="BI881">
        <f t="shared" si="96"/>
        <v>0</v>
      </c>
      <c r="BJ881" s="95">
        <f t="shared" si="97"/>
        <v>1</v>
      </c>
      <c r="BP881" s="217">
        <f t="shared" si="100"/>
        <v>1091110.6270102386</v>
      </c>
    </row>
    <row r="882" spans="1:68">
      <c r="A882" s="11">
        <v>876</v>
      </c>
      <c r="C882" s="27">
        <v>0.91884202747494792</v>
      </c>
      <c r="D882" s="27">
        <v>8.115797252505208E-2</v>
      </c>
      <c r="E882" s="27">
        <v>0</v>
      </c>
      <c r="F882" s="27">
        <v>0.85901542803232211</v>
      </c>
      <c r="G882" s="27">
        <v>0.14098457196767791</v>
      </c>
      <c r="H882" s="27">
        <v>0</v>
      </c>
      <c r="I882" s="27">
        <v>0.74784765917039187</v>
      </c>
      <c r="J882" s="27">
        <v>0.25215234082960813</v>
      </c>
      <c r="K882" s="27">
        <v>0</v>
      </c>
      <c r="L882" s="27">
        <v>0.13430293829406692</v>
      </c>
      <c r="M882" s="27">
        <v>0.48401067849517687</v>
      </c>
      <c r="N882" s="27">
        <v>0.38168638321075621</v>
      </c>
      <c r="O882" s="27">
        <v>-10.866841543292633</v>
      </c>
      <c r="P882" s="27">
        <v>3.1714069264254963E-2</v>
      </c>
      <c r="Q882" s="27">
        <v>7.2288128924661064E-5</v>
      </c>
      <c r="R882" s="27">
        <v>1.0599334005367571</v>
      </c>
      <c r="S882" s="154"/>
      <c r="T882">
        <v>1.0189170035633341</v>
      </c>
      <c r="U882">
        <v>2.2139668269285475</v>
      </c>
      <c r="V882">
        <v>2.8245598400822081</v>
      </c>
      <c r="W882">
        <v>1</v>
      </c>
      <c r="Y882" s="2">
        <v>239.26447333070919</v>
      </c>
      <c r="Z882" s="2">
        <v>762.24577355568329</v>
      </c>
      <c r="AA882" s="2">
        <v>1257.8165709516265</v>
      </c>
      <c r="AB882" s="2">
        <v>4008.5179123802891</v>
      </c>
      <c r="AC882" s="2">
        <v>749.32233291169223</v>
      </c>
      <c r="AD882" s="2">
        <v>1724.3997529779688</v>
      </c>
      <c r="AE882" s="2">
        <v>503.92501466109167</v>
      </c>
      <c r="AF882" s="2">
        <v>847.56591414726961</v>
      </c>
      <c r="AG882" s="2">
        <v>129.81744001943096</v>
      </c>
      <c r="AH882" s="2">
        <v>501.4608040449753</v>
      </c>
      <c r="AI882" s="2">
        <v>525084.31986177794</v>
      </c>
      <c r="AJ882" s="2">
        <v>488334.95152231696</v>
      </c>
      <c r="AL882" s="27">
        <v>0.91978103182410931</v>
      </c>
      <c r="AM882" s="27">
        <v>0.91425476413473183</v>
      </c>
      <c r="AN882" s="27">
        <v>0.91597323773252493</v>
      </c>
      <c r="AO882" s="27">
        <v>0.85513733300323624</v>
      </c>
      <c r="AP882" s="27">
        <v>0.66011530961717113</v>
      </c>
      <c r="AQ882" s="27">
        <v>0.91978103182410931</v>
      </c>
      <c r="AR882" s="27">
        <v>0.91425476413473183</v>
      </c>
      <c r="AS882" s="27">
        <v>0.91597323773252493</v>
      </c>
      <c r="AT882" s="27">
        <v>0.85513733300323624</v>
      </c>
      <c r="AU882" s="27">
        <v>0.66011530961717113</v>
      </c>
      <c r="AW882" s="1">
        <v>13.197387048505799</v>
      </c>
      <c r="AX882" s="1">
        <v>15.305842839629332</v>
      </c>
      <c r="AY882" s="2">
        <v>1928626.9325204967</v>
      </c>
      <c r="AZ882" s="1">
        <v>15.15906528283668</v>
      </c>
      <c r="BA882" s="1">
        <v>17.182185715517367</v>
      </c>
      <c r="BB882" s="2">
        <v>1469209.3335362466</v>
      </c>
      <c r="BC882" s="2">
        <f t="shared" si="98"/>
        <v>-459417.5989842501</v>
      </c>
      <c r="BD882" s="292">
        <f t="shared" si="99"/>
        <v>1.961678234330881</v>
      </c>
      <c r="BF882" s="170">
        <f t="shared" si="94"/>
        <v>182954.99524043128</v>
      </c>
      <c r="BG882" s="2">
        <f t="shared" si="95"/>
        <v>956241.11171762249</v>
      </c>
      <c r="BI882">
        <f t="shared" si="96"/>
        <v>0</v>
      </c>
      <c r="BJ882" s="95">
        <f t="shared" si="97"/>
        <v>1</v>
      </c>
      <c r="BP882" s="217">
        <f t="shared" si="100"/>
        <v>956241.11171762249</v>
      </c>
    </row>
    <row r="883" spans="1:68">
      <c r="A883" s="11">
        <v>877</v>
      </c>
      <c r="C883" s="27">
        <v>0.92329295085707574</v>
      </c>
      <c r="D883" s="27">
        <v>7.6707049142924255E-2</v>
      </c>
      <c r="E883" s="27">
        <v>0</v>
      </c>
      <c r="F883" s="27">
        <v>0.85696657501181805</v>
      </c>
      <c r="G883" s="27">
        <v>0.14303342498818195</v>
      </c>
      <c r="H883" s="27">
        <v>0</v>
      </c>
      <c r="I883" s="27">
        <v>0.74729571932804073</v>
      </c>
      <c r="J883" s="27">
        <v>0.25270428067195927</v>
      </c>
      <c r="K883" s="27">
        <v>0</v>
      </c>
      <c r="L883" s="27">
        <v>7.3470705292777438E-2</v>
      </c>
      <c r="M883" s="27">
        <v>0.49387021313781149</v>
      </c>
      <c r="N883" s="27">
        <v>0.43265908156941113</v>
      </c>
      <c r="O883" s="27">
        <v>-11.204354682527585</v>
      </c>
      <c r="P883" s="27">
        <v>3.6037184366675669E-2</v>
      </c>
      <c r="Q883" s="27">
        <v>6.1850341412853906E-5</v>
      </c>
      <c r="R883" s="27">
        <v>1.0747803752444685</v>
      </c>
      <c r="S883" s="154"/>
      <c r="T883">
        <v>1.0850564071853519</v>
      </c>
      <c r="U883">
        <v>2.2832076847340486</v>
      </c>
      <c r="V883">
        <v>2.9881731847720259</v>
      </c>
      <c r="W883">
        <v>1</v>
      </c>
      <c r="Y883" s="2">
        <v>1284.0204768203741</v>
      </c>
      <c r="Z883" s="2">
        <v>12718.288410900699</v>
      </c>
      <c r="AA883" s="2">
        <v>54.312259069809222</v>
      </c>
      <c r="AB883" s="2">
        <v>4841.8824376179773</v>
      </c>
      <c r="AC883" s="2">
        <v>345.14685819154579</v>
      </c>
      <c r="AD883" s="2">
        <v>3607.0744332152899</v>
      </c>
      <c r="AE883" s="2">
        <v>569.48704681494905</v>
      </c>
      <c r="AF883" s="2">
        <v>888.99646069522987</v>
      </c>
      <c r="AG883" s="2">
        <v>49.774831212113106</v>
      </c>
      <c r="AH883" s="2">
        <v>388.77513361091445</v>
      </c>
      <c r="AI883" s="2">
        <v>721566.58821343782</v>
      </c>
      <c r="AJ883" s="2">
        <v>688830.05430583388</v>
      </c>
      <c r="AL883" s="27">
        <v>0.91635523507557282</v>
      </c>
      <c r="AM883" s="27">
        <v>0.9177581929165699</v>
      </c>
      <c r="AN883" s="27">
        <v>0.90664032401992301</v>
      </c>
      <c r="AO883" s="27">
        <v>0.87231911544680063</v>
      </c>
      <c r="AP883" s="27">
        <v>0.64924970459229225</v>
      </c>
      <c r="AQ883" s="27">
        <v>0.91635523507557282</v>
      </c>
      <c r="AR883" s="27">
        <v>0.9177581929165699</v>
      </c>
      <c r="AS883" s="27">
        <v>0.90664032401992301</v>
      </c>
      <c r="AT883" s="27">
        <v>0.87231911544680063</v>
      </c>
      <c r="AU883" s="27">
        <v>0.64924970459229225</v>
      </c>
      <c r="AW883" s="1">
        <v>12.925841667710898</v>
      </c>
      <c r="AX883" s="1">
        <v>15.043219314276737</v>
      </c>
      <c r="AY883" s="2">
        <v>2807662.7575206342</v>
      </c>
      <c r="AZ883" s="1">
        <v>15.126029888957532</v>
      </c>
      <c r="BA883" s="1">
        <v>17.157675426459836</v>
      </c>
      <c r="BB883" s="2">
        <v>1925630.8329442893</v>
      </c>
      <c r="BC883" s="2">
        <f t="shared" si="98"/>
        <v>-882031.9245763449</v>
      </c>
      <c r="BD883" s="292">
        <f t="shared" si="99"/>
        <v>2.2001882212466342</v>
      </c>
      <c r="BF883" s="170">
        <f t="shared" si="94"/>
        <v>-739528.09068689053</v>
      </c>
      <c r="BG883" s="2">
        <f t="shared" si="95"/>
        <v>494533.94928891584</v>
      </c>
      <c r="BI883">
        <f t="shared" si="96"/>
        <v>0</v>
      </c>
      <c r="BJ883" s="95">
        <f t="shared" si="97"/>
        <v>1</v>
      </c>
      <c r="BP883" s="217">
        <f t="shared" si="100"/>
        <v>494533.94928891584</v>
      </c>
    </row>
    <row r="884" spans="1:68">
      <c r="A884" s="11">
        <v>878</v>
      </c>
      <c r="C884" s="27">
        <v>0.92166001706494971</v>
      </c>
      <c r="D884" s="27">
        <v>7.833998293505029E-2</v>
      </c>
      <c r="E884" s="27">
        <v>0</v>
      </c>
      <c r="F884" s="27">
        <v>0.85656561796074993</v>
      </c>
      <c r="G884" s="27">
        <v>0.14343438203925007</v>
      </c>
      <c r="H884" s="27">
        <v>0</v>
      </c>
      <c r="I884" s="27">
        <v>0.75270026408847024</v>
      </c>
      <c r="J884" s="27">
        <v>0.24729973591152973</v>
      </c>
      <c r="K884" s="27">
        <v>0</v>
      </c>
      <c r="L884" s="27">
        <v>0.16466909969605875</v>
      </c>
      <c r="M884" s="27">
        <v>0.47372693446702768</v>
      </c>
      <c r="N884" s="27">
        <v>0.36160396583691362</v>
      </c>
      <c r="O884" s="27">
        <v>-11.684829984750094</v>
      </c>
      <c r="P884" s="27">
        <v>3.6258723035659433E-2</v>
      </c>
      <c r="Q884" s="27">
        <v>3.8611375715632149E-5</v>
      </c>
      <c r="R884" s="27">
        <v>1.1324263278162279</v>
      </c>
      <c r="S884" s="154"/>
      <c r="T884">
        <v>0.99806719218257522</v>
      </c>
      <c r="U884">
        <v>2.2184540837825524</v>
      </c>
      <c r="V884">
        <v>3.1691485132384787</v>
      </c>
      <c r="W884">
        <v>1</v>
      </c>
      <c r="Y884" s="2">
        <v>936.45856029745505</v>
      </c>
      <c r="Z884" s="2">
        <v>28.354755645373711</v>
      </c>
      <c r="AA884" s="2">
        <v>2242.5189139625863</v>
      </c>
      <c r="AB884" s="2">
        <v>4730.7435035406279</v>
      </c>
      <c r="AC884" s="2">
        <v>21.472909961705291</v>
      </c>
      <c r="AD884" s="2">
        <v>215.27591663412539</v>
      </c>
      <c r="AE884" s="2">
        <v>605.21997075405181</v>
      </c>
      <c r="AF884" s="2">
        <v>974.25911980238357</v>
      </c>
      <c r="AG884" s="2">
        <v>126.04063489279737</v>
      </c>
      <c r="AH884" s="2">
        <v>476.53520327659828</v>
      </c>
      <c r="AI884" s="2">
        <v>484860.59847702115</v>
      </c>
      <c r="AJ884" s="2">
        <v>460536.96374309529</v>
      </c>
      <c r="AL884" s="27">
        <v>0.91281352003866711</v>
      </c>
      <c r="AM884" s="27">
        <v>0.91851004381298085</v>
      </c>
      <c r="AN884" s="27">
        <v>0.90782331814570061</v>
      </c>
      <c r="AO884" s="27">
        <v>0.84421934717903535</v>
      </c>
      <c r="AP884" s="27">
        <v>0.74206700761311628</v>
      </c>
      <c r="AQ884" s="27">
        <v>0.91281352003866711</v>
      </c>
      <c r="AR884" s="27">
        <v>0.91851004381298085</v>
      </c>
      <c r="AS884" s="27">
        <v>0.90782331814570061</v>
      </c>
      <c r="AT884" s="27">
        <v>0.84421934717903535</v>
      </c>
      <c r="AU884" s="27">
        <v>0.74206700761311628</v>
      </c>
      <c r="AW884" s="1">
        <v>13.468336454438203</v>
      </c>
      <c r="AX884" s="1">
        <v>15.371839879181186</v>
      </c>
      <c r="AY884" s="2">
        <v>1748747.6740469807</v>
      </c>
      <c r="AZ884" s="1">
        <v>15.329254414819765</v>
      </c>
      <c r="BA884" s="1">
        <v>17.225133821650502</v>
      </c>
      <c r="BB884" s="2">
        <v>1351453.8063453468</v>
      </c>
      <c r="BC884" s="2">
        <f t="shared" si="98"/>
        <v>-397293.86770163383</v>
      </c>
      <c r="BD884" s="292">
        <f t="shared" si="99"/>
        <v>1.8609179603815615</v>
      </c>
      <c r="BF884" s="170">
        <f t="shared" si="94"/>
        <v>406186.15866313176</v>
      </c>
      <c r="BG884" s="2">
        <f t="shared" si="95"/>
        <v>1101226.9000258157</v>
      </c>
      <c r="BI884">
        <f t="shared" si="96"/>
        <v>0</v>
      </c>
      <c r="BJ884" s="95">
        <f t="shared" si="97"/>
        <v>1</v>
      </c>
      <c r="BP884" s="217">
        <f t="shared" si="100"/>
        <v>1101226.9000258157</v>
      </c>
    </row>
    <row r="885" spans="1:68">
      <c r="A885" s="11">
        <v>879</v>
      </c>
      <c r="C885" s="27">
        <v>0.92452657508014802</v>
      </c>
      <c r="D885" s="27">
        <v>7.5473424919851942E-2</v>
      </c>
      <c r="E885" s="27">
        <v>0</v>
      </c>
      <c r="F885" s="27">
        <v>0.86254985867400713</v>
      </c>
      <c r="G885" s="27">
        <v>0.13745014132599287</v>
      </c>
      <c r="H885" s="27">
        <v>0</v>
      </c>
      <c r="I885" s="27">
        <v>0.74719595608918099</v>
      </c>
      <c r="J885" s="27">
        <v>0.25280404391081901</v>
      </c>
      <c r="K885" s="27">
        <v>0</v>
      </c>
      <c r="L885" s="27">
        <v>5.9431158387855287E-2</v>
      </c>
      <c r="M885" s="27">
        <v>0.52168471270299555</v>
      </c>
      <c r="N885" s="27">
        <v>0.41888412890914917</v>
      </c>
      <c r="O885" s="27">
        <v>-11.747172011771083</v>
      </c>
      <c r="P885" s="27">
        <v>3.8387261913873975E-2</v>
      </c>
      <c r="Q885" s="27">
        <v>3.9670329740380438E-5</v>
      </c>
      <c r="R885" s="27">
        <v>1.1190829966383191</v>
      </c>
      <c r="S885" s="154"/>
      <c r="T885">
        <v>0.97942301407258858</v>
      </c>
      <c r="U885">
        <v>2.249393120573707</v>
      </c>
      <c r="V885">
        <v>3.0993294396124131</v>
      </c>
      <c r="W885">
        <v>1</v>
      </c>
      <c r="Y885" s="2">
        <v>2034.4540286889539</v>
      </c>
      <c r="Z885" s="2">
        <v>918.99594419645337</v>
      </c>
      <c r="AA885" s="2">
        <v>1560.5113186670128</v>
      </c>
      <c r="AB885" s="2">
        <v>5736.8117747888482</v>
      </c>
      <c r="AC885" s="2">
        <v>432.98047364302937</v>
      </c>
      <c r="AD885" s="2">
        <v>1287.1586506132303</v>
      </c>
      <c r="AE885" s="2">
        <v>594.65821178340491</v>
      </c>
      <c r="AF885" s="2">
        <v>1297.7680730914544</v>
      </c>
      <c r="AG885" s="2">
        <v>146.20413702848748</v>
      </c>
      <c r="AH885" s="2">
        <v>395.75231212752573</v>
      </c>
      <c r="AI885" s="2">
        <v>587107.85148921935</v>
      </c>
      <c r="AJ885" s="2">
        <v>549753.85322132881</v>
      </c>
      <c r="AL885" s="27">
        <v>0.91695909161867817</v>
      </c>
      <c r="AM885" s="27">
        <v>0.91726959264204677</v>
      </c>
      <c r="AN885" s="27">
        <v>0.91384268873331498</v>
      </c>
      <c r="AO885" s="27">
        <v>0.89243799601737628</v>
      </c>
      <c r="AP885" s="27">
        <v>0.6618633042386286</v>
      </c>
      <c r="AQ885" s="27">
        <v>0.91695909161867817</v>
      </c>
      <c r="AR885" s="27">
        <v>0.91726959264204677</v>
      </c>
      <c r="AS885" s="27">
        <v>0.91384268873331498</v>
      </c>
      <c r="AT885" s="27">
        <v>0.89243799601737628</v>
      </c>
      <c r="AU885" s="27">
        <v>0.6618633042386286</v>
      </c>
      <c r="AW885" s="1">
        <v>13.479990958727967</v>
      </c>
      <c r="AX885" s="1">
        <v>15.565480226221377</v>
      </c>
      <c r="AY885" s="2">
        <v>2107920.1660755309</v>
      </c>
      <c r="AZ885" s="1">
        <v>15.33077531292037</v>
      </c>
      <c r="BA885" s="1">
        <v>17.335787301132598</v>
      </c>
      <c r="BB885" s="2">
        <v>1610618.6361031637</v>
      </c>
      <c r="BC885" s="2">
        <f t="shared" si="98"/>
        <v>-497301.52997236722</v>
      </c>
      <c r="BD885" s="292">
        <f t="shared" si="99"/>
        <v>1.8507843541924025</v>
      </c>
      <c r="BF885" s="170">
        <f t="shared" si="94"/>
        <v>48878.387320943642</v>
      </c>
      <c r="BG885" s="2">
        <f t="shared" si="95"/>
        <v>842305.41396409529</v>
      </c>
      <c r="BI885">
        <f t="shared" si="96"/>
        <v>0</v>
      </c>
      <c r="BJ885" s="95">
        <f t="shared" si="97"/>
        <v>1</v>
      </c>
      <c r="BP885" s="217">
        <f t="shared" si="100"/>
        <v>842305.41396409529</v>
      </c>
    </row>
    <row r="886" spans="1:68">
      <c r="A886" s="11">
        <v>880</v>
      </c>
      <c r="C886" s="27">
        <v>0.9178347837679488</v>
      </c>
      <c r="D886" s="27">
        <v>8.2165216232051197E-2</v>
      </c>
      <c r="E886" s="27">
        <v>0</v>
      </c>
      <c r="F886" s="27">
        <v>0.85837596854997322</v>
      </c>
      <c r="G886" s="27">
        <v>0.1416240314500268</v>
      </c>
      <c r="H886" s="27">
        <v>0</v>
      </c>
      <c r="I886" s="27">
        <v>0.75127869820159832</v>
      </c>
      <c r="J886" s="27">
        <v>0.24872130179840166</v>
      </c>
      <c r="K886" s="27">
        <v>0</v>
      </c>
      <c r="L886" s="27">
        <v>0.15278047483506962</v>
      </c>
      <c r="M886" s="27">
        <v>0.49785750746383217</v>
      </c>
      <c r="N886" s="27">
        <v>0.3493620177010982</v>
      </c>
      <c r="O886" s="27">
        <v>-10.842268254927042</v>
      </c>
      <c r="P886" s="27">
        <v>2.9113720015961433E-2</v>
      </c>
      <c r="Q886" s="27">
        <v>6.6421350183476678E-5</v>
      </c>
      <c r="R886" s="27">
        <v>1.0685179212177305</v>
      </c>
      <c r="S886" s="154"/>
      <c r="T886">
        <v>1.2120556988455164</v>
      </c>
      <c r="U886">
        <v>2.2482584710129907</v>
      </c>
      <c r="V886">
        <v>3.159835114285622</v>
      </c>
      <c r="W886">
        <v>1</v>
      </c>
      <c r="Y886" s="2">
        <v>155.72369741154986</v>
      </c>
      <c r="Z886" s="2">
        <v>96.486736982966434</v>
      </c>
      <c r="AA886" s="2">
        <v>1780.6796058012915</v>
      </c>
      <c r="AB886" s="2">
        <v>7667.3385990050729</v>
      </c>
      <c r="AC886" s="2">
        <v>1583.3375318457317</v>
      </c>
      <c r="AD886" s="2">
        <v>884.00011341036202</v>
      </c>
      <c r="AE886" s="2">
        <v>586.92614553198348</v>
      </c>
      <c r="AF886" s="2">
        <v>969.42543458852538</v>
      </c>
      <c r="AG886" s="2">
        <v>103.02499289579572</v>
      </c>
      <c r="AH886" s="2">
        <v>464.22504884589154</v>
      </c>
      <c r="AI886" s="2">
        <v>468506.5950546884</v>
      </c>
      <c r="AJ886" s="2">
        <v>436863.02254140656</v>
      </c>
      <c r="AL886" s="27">
        <v>0.91679332326221008</v>
      </c>
      <c r="AM886" s="27">
        <v>0.90942270047288942</v>
      </c>
      <c r="AN886" s="27">
        <v>0.91396161032738488</v>
      </c>
      <c r="AO886" s="27">
        <v>0.8406643710042655</v>
      </c>
      <c r="AP886" s="27">
        <v>0.65965939594514822</v>
      </c>
      <c r="AQ886" s="27">
        <v>0.91679332326221008</v>
      </c>
      <c r="AR886" s="27">
        <v>0.90942270047288942</v>
      </c>
      <c r="AS886" s="27">
        <v>0.91396161032738488</v>
      </c>
      <c r="AT886" s="27">
        <v>0.8406643710042655</v>
      </c>
      <c r="AU886" s="27">
        <v>0.65965939594514822</v>
      </c>
      <c r="AW886" s="1">
        <v>12.644952922065578</v>
      </c>
      <c r="AX886" s="1">
        <v>14.894424271596085</v>
      </c>
      <c r="AY886" s="2">
        <v>1984270.4368401661</v>
      </c>
      <c r="AZ886" s="1">
        <v>15.164841995057268</v>
      </c>
      <c r="BA886" s="1">
        <v>17.285973913771478</v>
      </c>
      <c r="BB886" s="2">
        <v>1449667.2449555025</v>
      </c>
      <c r="BC886" s="2">
        <f t="shared" si="98"/>
        <v>-534603.19188466365</v>
      </c>
      <c r="BD886" s="292">
        <f t="shared" si="99"/>
        <v>2.5198890729916901</v>
      </c>
      <c r="BF886" s="170">
        <f t="shared" si="94"/>
        <v>38922.030690326355</v>
      </c>
      <c r="BG886" s="2">
        <f t="shared" si="95"/>
        <v>976707.47425366053</v>
      </c>
      <c r="BI886">
        <f t="shared" si="96"/>
        <v>0</v>
      </c>
      <c r="BJ886" s="95">
        <f t="shared" si="97"/>
        <v>1</v>
      </c>
      <c r="BP886" s="217">
        <f t="shared" si="100"/>
        <v>976707.47425366053</v>
      </c>
    </row>
    <row r="887" spans="1:68">
      <c r="A887" s="11">
        <v>881</v>
      </c>
      <c r="C887" s="27">
        <v>0.9208929842213629</v>
      </c>
      <c r="D887" s="27">
        <v>7.9107015778637102E-2</v>
      </c>
      <c r="E887" s="27">
        <v>0</v>
      </c>
      <c r="F887" s="27">
        <v>0.85969483669314317</v>
      </c>
      <c r="G887" s="27">
        <v>0.14030516330685688</v>
      </c>
      <c r="H887" s="27">
        <v>0</v>
      </c>
      <c r="I887" s="27">
        <v>0.7467082730283181</v>
      </c>
      <c r="J887" s="27">
        <v>0.2532917269716819</v>
      </c>
      <c r="K887" s="27">
        <v>0</v>
      </c>
      <c r="L887" s="27">
        <v>6.6574798796118273E-2</v>
      </c>
      <c r="M887" s="27">
        <v>0.53566733973735603</v>
      </c>
      <c r="N887" s="27">
        <v>0.3977578614665257</v>
      </c>
      <c r="O887" s="27">
        <v>-10.89452118927397</v>
      </c>
      <c r="P887" s="27">
        <v>3.4001693231541716E-2</v>
      </c>
      <c r="Q887" s="27">
        <v>7.7405704885852929E-5</v>
      </c>
      <c r="R887" s="27">
        <v>1.0413782170907104</v>
      </c>
      <c r="S887" s="154"/>
      <c r="T887">
        <v>1.0218965111507123</v>
      </c>
      <c r="U887">
        <v>2.2998631520426112</v>
      </c>
      <c r="V887">
        <v>3.1300521594261048</v>
      </c>
      <c r="W887">
        <v>1</v>
      </c>
      <c r="Y887" s="2">
        <v>223.08656019518415</v>
      </c>
      <c r="Z887" s="2">
        <v>3700.369578647686</v>
      </c>
      <c r="AA887" s="2">
        <v>1505.4240800193911</v>
      </c>
      <c r="AB887" s="2">
        <v>6900.9386130730181</v>
      </c>
      <c r="AC887" s="2">
        <v>1717.5550639402863</v>
      </c>
      <c r="AD887" s="2">
        <v>1006.1835824666185</v>
      </c>
      <c r="AE887" s="2">
        <v>671.52153630917735</v>
      </c>
      <c r="AF887" s="2">
        <v>793.08480531856821</v>
      </c>
      <c r="AG887" s="2">
        <v>69.587547306761962</v>
      </c>
      <c r="AH887" s="2">
        <v>629.76265419487663</v>
      </c>
      <c r="AI887" s="2">
        <v>389434.25490264356</v>
      </c>
      <c r="AJ887" s="2">
        <v>357249.65435518249</v>
      </c>
      <c r="AL887" s="27">
        <v>0.91304080526958276</v>
      </c>
      <c r="AM887" s="27">
        <v>0.91453357131610191</v>
      </c>
      <c r="AN887" s="27">
        <v>0.90948613350874785</v>
      </c>
      <c r="AO887" s="27">
        <v>0.87189845099608676</v>
      </c>
      <c r="AP887" s="27">
        <v>0.7190792225361653</v>
      </c>
      <c r="AQ887" s="27">
        <v>0.91304080526958276</v>
      </c>
      <c r="AR887" s="27">
        <v>0.91453357131610191</v>
      </c>
      <c r="AS887" s="27">
        <v>0.90948613350874785</v>
      </c>
      <c r="AT887" s="27">
        <v>0.87189845099608676</v>
      </c>
      <c r="AU887" s="27">
        <v>0.7190792225361653</v>
      </c>
      <c r="AW887" s="1">
        <v>13.436959572362648</v>
      </c>
      <c r="AX887" s="1">
        <v>15.469145557707256</v>
      </c>
      <c r="AY887" s="2">
        <v>1585158.1406377517</v>
      </c>
      <c r="AZ887" s="1">
        <v>15.370442619992385</v>
      </c>
      <c r="BA887" s="1">
        <v>17.360771998333938</v>
      </c>
      <c r="BB887" s="2">
        <v>1213690.0869090168</v>
      </c>
      <c r="BC887" s="2">
        <f t="shared" si="98"/>
        <v>-371468.05372873484</v>
      </c>
      <c r="BD887" s="292">
        <f t="shared" si="99"/>
        <v>1.9334830476297373</v>
      </c>
      <c r="BF887" s="170">
        <f t="shared" si="94"/>
        <v>564755.39094027178</v>
      </c>
      <c r="BG887" s="2">
        <f t="shared" si="95"/>
        <v>1245580.7322897648</v>
      </c>
      <c r="BI887">
        <f t="shared" si="96"/>
        <v>0</v>
      </c>
      <c r="BJ887" s="95">
        <f t="shared" si="97"/>
        <v>1</v>
      </c>
      <c r="BP887" s="217">
        <f t="shared" si="100"/>
        <v>1245580.7322897648</v>
      </c>
    </row>
    <row r="888" spans="1:68">
      <c r="A888" s="11">
        <v>882</v>
      </c>
      <c r="C888" s="27">
        <v>0.92671962221821391</v>
      </c>
      <c r="D888" s="27">
        <v>7.3280377781786088E-2</v>
      </c>
      <c r="E888" s="27">
        <v>0</v>
      </c>
      <c r="F888" s="27">
        <v>0.85941391765504138</v>
      </c>
      <c r="G888" s="27">
        <v>0.14058608234495865</v>
      </c>
      <c r="H888" s="27">
        <v>0</v>
      </c>
      <c r="I888" s="27">
        <v>0.75182883188637828</v>
      </c>
      <c r="J888" s="27">
        <v>0.24817116811362169</v>
      </c>
      <c r="K888" s="27">
        <v>0</v>
      </c>
      <c r="L888" s="27">
        <v>9.8815968463480619E-2</v>
      </c>
      <c r="M888" s="27">
        <v>0.47742487676295442</v>
      </c>
      <c r="N888" s="27">
        <v>0.42375915477356496</v>
      </c>
      <c r="O888" s="27">
        <v>-11.093836382621699</v>
      </c>
      <c r="P888" s="27">
        <v>3.6048775459672736E-2</v>
      </c>
      <c r="Q888" s="27">
        <v>6.9111610734131571E-5</v>
      </c>
      <c r="R888" s="27">
        <v>1.0557604506079683</v>
      </c>
      <c r="S888" s="154"/>
      <c r="T888">
        <v>1.0627104740418181</v>
      </c>
      <c r="U888">
        <v>2.2837657313055115</v>
      </c>
      <c r="V888">
        <v>2.8282789084951943</v>
      </c>
      <c r="W888">
        <v>1</v>
      </c>
      <c r="Y888" s="2">
        <v>424.29732315790477</v>
      </c>
      <c r="Z888" s="2">
        <v>966.13500584500514</v>
      </c>
      <c r="AA888" s="2">
        <v>155.18721790890169</v>
      </c>
      <c r="AB888" s="2">
        <v>2888.9619327467876</v>
      </c>
      <c r="AC888" s="2">
        <v>1693.5118374076026</v>
      </c>
      <c r="AD888" s="2">
        <v>1849.179135751669</v>
      </c>
      <c r="AE888" s="2">
        <v>544.07287446037265</v>
      </c>
      <c r="AF888" s="2">
        <v>1030.1299989841575</v>
      </c>
      <c r="AG888" s="2">
        <v>231.77705546737801</v>
      </c>
      <c r="AH888" s="2">
        <v>367.92821232601329</v>
      </c>
      <c r="AI888" s="2">
        <v>485630.82892678032</v>
      </c>
      <c r="AJ888" s="2">
        <v>453545.87339257705</v>
      </c>
      <c r="AL888" s="27">
        <v>0.91613848263868114</v>
      </c>
      <c r="AM888" s="27">
        <v>0.91988027165150243</v>
      </c>
      <c r="AN888" s="27">
        <v>0.90761362972115622</v>
      </c>
      <c r="AO888" s="27">
        <v>0.88178306806485152</v>
      </c>
      <c r="AP888" s="27">
        <v>0.63225351754293746</v>
      </c>
      <c r="AQ888" s="27">
        <v>0.91613848263868114</v>
      </c>
      <c r="AR888" s="27">
        <v>0.91988027165150243</v>
      </c>
      <c r="AS888" s="27">
        <v>0.90761362972115622</v>
      </c>
      <c r="AT888" s="27">
        <v>0.88178306806485152</v>
      </c>
      <c r="AU888" s="27">
        <v>0.63225351754293746</v>
      </c>
      <c r="AW888" s="1">
        <v>13.197284451586368</v>
      </c>
      <c r="AX888" s="1">
        <v>15.367976188438426</v>
      </c>
      <c r="AY888" s="2">
        <v>1741102.6348120733</v>
      </c>
      <c r="AZ888" s="1">
        <v>15.282236783122103</v>
      </c>
      <c r="BA888" s="1">
        <v>17.34301991081783</v>
      </c>
      <c r="BB888" s="2">
        <v>1250865.3257172739</v>
      </c>
      <c r="BC888" s="2">
        <f t="shared" si="98"/>
        <v>-490237.30909479945</v>
      </c>
      <c r="BD888" s="292">
        <f t="shared" si="99"/>
        <v>2.0849523315357352</v>
      </c>
      <c r="BF888" s="170">
        <f t="shared" si="94"/>
        <v>370462.87744174572</v>
      </c>
      <c r="BG888" s="2">
        <f t="shared" si="95"/>
        <v>1194292.5595822625</v>
      </c>
      <c r="BI888">
        <f t="shared" si="96"/>
        <v>0</v>
      </c>
      <c r="BJ888" s="95">
        <f t="shared" si="97"/>
        <v>1</v>
      </c>
      <c r="BP888" s="217">
        <f t="shared" si="100"/>
        <v>1194292.5595822625</v>
      </c>
    </row>
    <row r="889" spans="1:68">
      <c r="A889" s="11">
        <v>883</v>
      </c>
      <c r="C889" s="27">
        <v>0.92352153072386745</v>
      </c>
      <c r="D889" s="27">
        <v>7.6478469276132527E-2</v>
      </c>
      <c r="E889" s="27">
        <v>0</v>
      </c>
      <c r="F889" s="27">
        <v>0.85602191631418489</v>
      </c>
      <c r="G889" s="27">
        <v>0.14397808368581511</v>
      </c>
      <c r="H889" s="27">
        <v>0</v>
      </c>
      <c r="I889" s="27">
        <v>0.74813998421139449</v>
      </c>
      <c r="J889" s="27">
        <v>0.25186001578860551</v>
      </c>
      <c r="K889" s="27">
        <v>0</v>
      </c>
      <c r="L889" s="27">
        <v>7.7480502335585455E-2</v>
      </c>
      <c r="M889" s="27">
        <v>0.51819592696052674</v>
      </c>
      <c r="N889" s="27">
        <v>0.4043235707038878</v>
      </c>
      <c r="O889" s="27">
        <v>-11.413409551325399</v>
      </c>
      <c r="P889" s="27">
        <v>3.8356597775351879E-2</v>
      </c>
      <c r="Q889" s="27">
        <v>5.5316880394404254E-5</v>
      </c>
      <c r="R889" s="27">
        <v>1.0792133049368999</v>
      </c>
      <c r="S889" s="154"/>
      <c r="T889">
        <v>0.93918895384218515</v>
      </c>
      <c r="U889">
        <v>2.2559575525482902</v>
      </c>
      <c r="V889">
        <v>2.9453209089078105</v>
      </c>
      <c r="W889">
        <v>1</v>
      </c>
      <c r="Y889" s="2">
        <v>60.019363460604666</v>
      </c>
      <c r="Z889" s="2">
        <v>721.5659966738591</v>
      </c>
      <c r="AA889" s="2">
        <v>3002.9979497774216</v>
      </c>
      <c r="AB889" s="2">
        <v>1330.1911278441321</v>
      </c>
      <c r="AC889" s="2">
        <v>87.476097178934964</v>
      </c>
      <c r="AD889" s="2">
        <v>1171.917882281582</v>
      </c>
      <c r="AE889" s="2">
        <v>569.29000750389719</v>
      </c>
      <c r="AF889" s="2">
        <v>1019.9508092613065</v>
      </c>
      <c r="AG889" s="2">
        <v>133.98969913350041</v>
      </c>
      <c r="AH889" s="2">
        <v>291.83645707093331</v>
      </c>
      <c r="AI889" s="2">
        <v>709432.44322863175</v>
      </c>
      <c r="AJ889" s="2">
        <v>671533.28297858732</v>
      </c>
      <c r="AL889" s="27">
        <v>0.91597600747348262</v>
      </c>
      <c r="AM889" s="27">
        <v>0.9134911771114318</v>
      </c>
      <c r="AN889" s="27">
        <v>0.90486593219786748</v>
      </c>
      <c r="AO889" s="27">
        <v>0.88094358307220666</v>
      </c>
      <c r="AP889" s="27">
        <v>0.74656559382023879</v>
      </c>
      <c r="AQ889" s="27">
        <v>0.91597600747348262</v>
      </c>
      <c r="AR889" s="27">
        <v>0.9134911771114318</v>
      </c>
      <c r="AS889" s="27">
        <v>0.90486593219786748</v>
      </c>
      <c r="AT889" s="27">
        <v>0.88094358307220666</v>
      </c>
      <c r="AU889" s="27">
        <v>0.74656559382023879</v>
      </c>
      <c r="AW889" s="1">
        <v>13.845371735540612</v>
      </c>
      <c r="AX889" s="1">
        <v>15.727170525432864</v>
      </c>
      <c r="AY889" s="2">
        <v>2582212.4135746513</v>
      </c>
      <c r="AZ889" s="1">
        <v>15.436751042209782</v>
      </c>
      <c r="BA889" s="1">
        <v>17.323383266181331</v>
      </c>
      <c r="BB889" s="2">
        <v>1971113.8257610311</v>
      </c>
      <c r="BC889" s="2">
        <f t="shared" si="98"/>
        <v>-611098.58781362022</v>
      </c>
      <c r="BD889" s="292">
        <f t="shared" si="99"/>
        <v>1.5913793066691699</v>
      </c>
      <c r="BF889" s="170">
        <f t="shared" si="94"/>
        <v>-366952.9358881535</v>
      </c>
      <c r="BG889" s="2">
        <f t="shared" si="95"/>
        <v>498766.34099253383</v>
      </c>
      <c r="BI889">
        <f t="shared" si="96"/>
        <v>0</v>
      </c>
      <c r="BJ889" s="95">
        <f t="shared" si="97"/>
        <v>1</v>
      </c>
      <c r="BP889" s="217">
        <f t="shared" si="100"/>
        <v>498766.34099253383</v>
      </c>
    </row>
    <row r="890" spans="1:68">
      <c r="A890" s="11">
        <v>884</v>
      </c>
      <c r="C890" s="27">
        <v>0.92445281891284004</v>
      </c>
      <c r="D890" s="27">
        <v>7.5547181087159923E-2</v>
      </c>
      <c r="E890" s="27">
        <v>0</v>
      </c>
      <c r="F890" s="27">
        <v>0.86317384168327804</v>
      </c>
      <c r="G890" s="27">
        <v>0.13682615831672199</v>
      </c>
      <c r="H890" s="27">
        <v>0</v>
      </c>
      <c r="I890" s="27">
        <v>0.74515237812905566</v>
      </c>
      <c r="J890" s="27">
        <v>0.25484762187094434</v>
      </c>
      <c r="K890" s="27">
        <v>0</v>
      </c>
      <c r="L890" s="27">
        <v>0.16696708380625847</v>
      </c>
      <c r="M890" s="27">
        <v>0.45262384545700679</v>
      </c>
      <c r="N890" s="27">
        <v>0.38040907073673469</v>
      </c>
      <c r="O890" s="27">
        <v>-11.277276567812937</v>
      </c>
      <c r="P890" s="27">
        <v>3.6687487959296286E-2</v>
      </c>
      <c r="Q890" s="27">
        <v>5.9092764240739075E-5</v>
      </c>
      <c r="R890" s="27">
        <v>1.073665074829683</v>
      </c>
      <c r="S890" s="154"/>
      <c r="T890">
        <v>0.96083835868785639</v>
      </c>
      <c r="U890">
        <v>2.2390057740254909</v>
      </c>
      <c r="V890">
        <v>2.973957807536753</v>
      </c>
      <c r="W890">
        <v>1</v>
      </c>
      <c r="Y890" s="2">
        <v>778.88192552704049</v>
      </c>
      <c r="Z890" s="2">
        <v>8134.2605107015634</v>
      </c>
      <c r="AA890" s="2">
        <v>1665.9328394850083</v>
      </c>
      <c r="AB890" s="2">
        <v>1502.9392260380089</v>
      </c>
      <c r="AC890" s="2">
        <v>654.37334056825114</v>
      </c>
      <c r="AD890" s="2">
        <v>476.1119340889428</v>
      </c>
      <c r="AE890" s="2">
        <v>553.63851680103312</v>
      </c>
      <c r="AF890" s="2">
        <v>990.92292018821604</v>
      </c>
      <c r="AG890" s="2">
        <v>67.404151278465974</v>
      </c>
      <c r="AH890" s="2">
        <v>316.71859321115443</v>
      </c>
      <c r="AI890" s="2">
        <v>620099.41862702696</v>
      </c>
      <c r="AJ890" s="2">
        <v>585724.38756425178</v>
      </c>
      <c r="AL890" s="27">
        <v>0.91853379690961912</v>
      </c>
      <c r="AM890" s="27">
        <v>0.91166676887500109</v>
      </c>
      <c r="AN890" s="27">
        <v>0.90730197826220071</v>
      </c>
      <c r="AO890" s="27">
        <v>0.88206694226817284</v>
      </c>
      <c r="AP890" s="27">
        <v>0.6121580942361311</v>
      </c>
      <c r="AQ890" s="27">
        <v>0.91853379690961912</v>
      </c>
      <c r="AR890" s="27">
        <v>0.91166676887500109</v>
      </c>
      <c r="AS890" s="27">
        <v>0.90730197826220071</v>
      </c>
      <c r="AT890" s="27">
        <v>0.88206694226817284</v>
      </c>
      <c r="AU890" s="27">
        <v>0.6121580942361311</v>
      </c>
      <c r="AW890" s="1">
        <v>13.442322901757606</v>
      </c>
      <c r="AX890" s="1">
        <v>15.673396096268389</v>
      </c>
      <c r="AY890" s="2">
        <v>2272233.5723533826</v>
      </c>
      <c r="AZ890" s="1">
        <v>15.228414737820652</v>
      </c>
      <c r="BA890" s="1">
        <v>17.359497494176193</v>
      </c>
      <c r="BB890" s="2">
        <v>1598561.5139562874</v>
      </c>
      <c r="BC890" s="2">
        <f t="shared" si="98"/>
        <v>-673672.05839709518</v>
      </c>
      <c r="BD890" s="292">
        <f t="shared" si="99"/>
        <v>1.7860918360630453</v>
      </c>
      <c r="BF890" s="170">
        <f t="shared" si="94"/>
        <v>-121461.90807216568</v>
      </c>
      <c r="BG890" s="2">
        <f t="shared" si="95"/>
        <v>837984.84409501683</v>
      </c>
      <c r="BI890">
        <f t="shared" si="96"/>
        <v>0</v>
      </c>
      <c r="BJ890" s="95">
        <f t="shared" si="97"/>
        <v>1</v>
      </c>
      <c r="BP890" s="217">
        <f t="shared" si="100"/>
        <v>837984.84409501683</v>
      </c>
    </row>
    <row r="891" spans="1:68">
      <c r="A891" s="11">
        <v>885</v>
      </c>
      <c r="C891" s="27">
        <v>0.92247755108417417</v>
      </c>
      <c r="D891" s="27">
        <v>7.7522448915825826E-2</v>
      </c>
      <c r="E891" s="27">
        <v>0</v>
      </c>
      <c r="F891" s="27">
        <v>0.86019226903936663</v>
      </c>
      <c r="G891" s="27">
        <v>0.1398077309606334</v>
      </c>
      <c r="H891" s="27">
        <v>0</v>
      </c>
      <c r="I891" s="27">
        <v>0.74432232318182012</v>
      </c>
      <c r="J891" s="27">
        <v>0.25567767681817988</v>
      </c>
      <c r="K891" s="27">
        <v>0</v>
      </c>
      <c r="L891" s="27">
        <v>0.12001559195305644</v>
      </c>
      <c r="M891" s="27">
        <v>0.46065292078393455</v>
      </c>
      <c r="N891" s="27">
        <v>0.41933148726300906</v>
      </c>
      <c r="O891" s="27">
        <v>-11.346365366111653</v>
      </c>
      <c r="P891" s="27">
        <v>3.5478216695536254E-2</v>
      </c>
      <c r="Q891" s="27">
        <v>5.2416964716684935E-5</v>
      </c>
      <c r="R891" s="27">
        <v>1.0957601725664494</v>
      </c>
      <c r="S891" s="154"/>
      <c r="T891">
        <v>1.0989126031406744</v>
      </c>
      <c r="U891">
        <v>2.26491202548383</v>
      </c>
      <c r="V891">
        <v>2.9698623591953339</v>
      </c>
      <c r="W891">
        <v>1</v>
      </c>
      <c r="Y891" s="2">
        <v>195.16136483738464</v>
      </c>
      <c r="Z891" s="2">
        <v>5297.4657685713573</v>
      </c>
      <c r="AA891" s="2">
        <v>452.69745734790826</v>
      </c>
      <c r="AB891" s="2">
        <v>2794.6888110255945</v>
      </c>
      <c r="AC891" s="2">
        <v>714.75019596136212</v>
      </c>
      <c r="AD891" s="2">
        <v>450.50208123669131</v>
      </c>
      <c r="AE891" s="2">
        <v>643.95881564251977</v>
      </c>
      <c r="AF891" s="2">
        <v>989.05755808578442</v>
      </c>
      <c r="AG891" s="2">
        <v>162.9750862470494</v>
      </c>
      <c r="AH891" s="2">
        <v>392.22962767776698</v>
      </c>
      <c r="AI891" s="2">
        <v>520003.13565688441</v>
      </c>
      <c r="AJ891" s="2">
        <v>485189.36104279343</v>
      </c>
      <c r="AL891" s="27">
        <v>0.91445666597705044</v>
      </c>
      <c r="AM891" s="27">
        <v>0.91315863066315139</v>
      </c>
      <c r="AN891" s="27">
        <v>0.90890822291727569</v>
      </c>
      <c r="AO891" s="27">
        <v>0.88454246041762385</v>
      </c>
      <c r="AP891" s="27">
        <v>0.62245407766989891</v>
      </c>
      <c r="AQ891" s="27">
        <v>0.91445666597705044</v>
      </c>
      <c r="AR891" s="27">
        <v>0.91315863066315139</v>
      </c>
      <c r="AS891" s="27">
        <v>0.90890822291727569</v>
      </c>
      <c r="AT891" s="27">
        <v>0.88454246041762385</v>
      </c>
      <c r="AU891" s="27">
        <v>0.62245407766989891</v>
      </c>
      <c r="AW891" s="1">
        <v>12.748710743159796</v>
      </c>
      <c r="AX891" s="1">
        <v>14.930333354731493</v>
      </c>
      <c r="AY891" s="2">
        <v>1876788.4820068926</v>
      </c>
      <c r="AZ891" s="1">
        <v>15.019972958328124</v>
      </c>
      <c r="BA891" s="1">
        <v>17.107575233775997</v>
      </c>
      <c r="BB891" s="2">
        <v>1281672.5921583511</v>
      </c>
      <c r="BC891" s="2">
        <f t="shared" si="98"/>
        <v>-595115.88984854147</v>
      </c>
      <c r="BD891" s="292">
        <f t="shared" si="99"/>
        <v>2.2712622151683277</v>
      </c>
      <c r="BF891" s="170">
        <f t="shared" si="94"/>
        <v>163005.23689867486</v>
      </c>
      <c r="BG891" s="2">
        <f t="shared" si="95"/>
        <v>1121523.0811741487</v>
      </c>
      <c r="BI891">
        <f t="shared" si="96"/>
        <v>0</v>
      </c>
      <c r="BJ891" s="95">
        <f t="shared" si="97"/>
        <v>1</v>
      </c>
      <c r="BP891" s="217">
        <f t="shared" si="100"/>
        <v>1121523.0811741487</v>
      </c>
    </row>
    <row r="892" spans="1:68">
      <c r="A892" s="11">
        <v>886</v>
      </c>
      <c r="C892" s="27">
        <v>0.92411413891751115</v>
      </c>
      <c r="D892" s="27">
        <v>7.5885861082488806E-2</v>
      </c>
      <c r="E892" s="27">
        <v>0</v>
      </c>
      <c r="F892" s="27">
        <v>0.85530424104613267</v>
      </c>
      <c r="G892" s="27">
        <v>0.14469575895386733</v>
      </c>
      <c r="H892" s="27">
        <v>0</v>
      </c>
      <c r="I892" s="27">
        <v>0.75686037494793945</v>
      </c>
      <c r="J892" s="27">
        <v>0.24313962505206052</v>
      </c>
      <c r="K892" s="27">
        <v>0</v>
      </c>
      <c r="L892" s="27">
        <v>0.11440705143197594</v>
      </c>
      <c r="M892" s="27">
        <v>0.42305124003230993</v>
      </c>
      <c r="N892" s="27">
        <v>0.46254170853571419</v>
      </c>
      <c r="O892" s="27">
        <v>-11.350963444508832</v>
      </c>
      <c r="P892" s="27">
        <v>3.7058880420899012E-2</v>
      </c>
      <c r="Q892" s="27">
        <v>5.575795502170915E-5</v>
      </c>
      <c r="R892" s="27">
        <v>1.0762891416880318</v>
      </c>
      <c r="S892" s="154"/>
      <c r="T892">
        <v>1.0060895864166239</v>
      </c>
      <c r="U892">
        <v>2.3042403288424103</v>
      </c>
      <c r="V892">
        <v>2.885414459805939</v>
      </c>
      <c r="W892">
        <v>1</v>
      </c>
      <c r="Y892" s="2">
        <v>479.43648005069491</v>
      </c>
      <c r="Z892" s="2">
        <v>648.11395846598953</v>
      </c>
      <c r="AA892" s="2">
        <v>681.34883788503203</v>
      </c>
      <c r="AB892" s="2">
        <v>9579.9252299687541</v>
      </c>
      <c r="AC892" s="2">
        <v>20.025478691756884</v>
      </c>
      <c r="AD892" s="2">
        <v>247.62692733984906</v>
      </c>
      <c r="AE892" s="2">
        <v>568.15118175299312</v>
      </c>
      <c r="AF892" s="2">
        <v>1020.205051542963</v>
      </c>
      <c r="AG892" s="2">
        <v>107.59279488846491</v>
      </c>
      <c r="AH892" s="2">
        <v>500.35031093194704</v>
      </c>
      <c r="AI892" s="2">
        <v>425571.27741834795</v>
      </c>
      <c r="AJ892" s="2">
        <v>385522.963999303</v>
      </c>
      <c r="AL892" s="27">
        <v>0.91747346719673262</v>
      </c>
      <c r="AM892" s="27">
        <v>0.9145949752303818</v>
      </c>
      <c r="AN892" s="27">
        <v>0.91236479266136095</v>
      </c>
      <c r="AO892" s="27">
        <v>0.85432378143508458</v>
      </c>
      <c r="AP892" s="27">
        <v>0.69250429465926389</v>
      </c>
      <c r="AQ892" s="27">
        <v>0.91747346719673262</v>
      </c>
      <c r="AR892" s="27">
        <v>0.9145949752303818</v>
      </c>
      <c r="AS892" s="27">
        <v>0.91236479266136095</v>
      </c>
      <c r="AT892" s="27">
        <v>0.85432378143508458</v>
      </c>
      <c r="AU892" s="27">
        <v>0.69250429465926389</v>
      </c>
      <c r="AW892" s="1">
        <v>13.200445617939708</v>
      </c>
      <c r="AX892" s="1">
        <v>15.112560747442462</v>
      </c>
      <c r="AY892" s="2">
        <v>1322121.9071775666</v>
      </c>
      <c r="AZ892" s="1">
        <v>15.163813530020077</v>
      </c>
      <c r="BA892" s="1">
        <v>17.054276676003393</v>
      </c>
      <c r="BB892" s="2">
        <v>1103414.4327245555</v>
      </c>
      <c r="BC892" s="2">
        <f t="shared" si="98"/>
        <v>-218707.47445301106</v>
      </c>
      <c r="BD892" s="292">
        <f t="shared" si="99"/>
        <v>1.9633679120803684</v>
      </c>
      <c r="BF892" s="170">
        <f t="shared" si="94"/>
        <v>789949.39169278694</v>
      </c>
      <c r="BG892" s="2">
        <f t="shared" si="95"/>
        <v>1322795.732078657</v>
      </c>
      <c r="BI892">
        <f t="shared" si="96"/>
        <v>0</v>
      </c>
      <c r="BJ892" s="95">
        <f t="shared" si="97"/>
        <v>1</v>
      </c>
      <c r="BP892" s="217">
        <f t="shared" si="100"/>
        <v>1322795.732078657</v>
      </c>
    </row>
    <row r="893" spans="1:68">
      <c r="A893" s="11">
        <v>887</v>
      </c>
      <c r="C893" s="27">
        <v>0.92449897440598638</v>
      </c>
      <c r="D893" s="27">
        <v>7.5501025594013574E-2</v>
      </c>
      <c r="E893" s="27">
        <v>0</v>
      </c>
      <c r="F893" s="27">
        <v>0.86085179857105798</v>
      </c>
      <c r="G893" s="27">
        <v>0.13914820142894202</v>
      </c>
      <c r="H893" s="27">
        <v>0</v>
      </c>
      <c r="I893" s="27">
        <v>0.75102716046892803</v>
      </c>
      <c r="J893" s="27">
        <v>0.24897283953107194</v>
      </c>
      <c r="K893" s="27">
        <v>0</v>
      </c>
      <c r="L893" s="27">
        <v>0.16633866887247944</v>
      </c>
      <c r="M893" s="27">
        <v>0.53446623857604514</v>
      </c>
      <c r="N893" s="27">
        <v>0.29919509255147542</v>
      </c>
      <c r="O893" s="27">
        <v>-11.332380606769361</v>
      </c>
      <c r="P893" s="27">
        <v>3.7937399236399862E-2</v>
      </c>
      <c r="Q893" s="27">
        <v>5.8938864933456248E-5</v>
      </c>
      <c r="R893" s="27">
        <v>1.0720536488952177</v>
      </c>
      <c r="S893" s="154"/>
      <c r="T893">
        <v>0.99133029792874949</v>
      </c>
      <c r="U893">
        <v>2.1761225348243478</v>
      </c>
      <c r="V893">
        <v>2.8635948381881637</v>
      </c>
      <c r="W893">
        <v>1</v>
      </c>
      <c r="Y893" s="2">
        <v>215.5543808119163</v>
      </c>
      <c r="Z893" s="2">
        <v>3976.0012247705481</v>
      </c>
      <c r="AA893" s="2">
        <v>872.09427899915931</v>
      </c>
      <c r="AB893" s="2">
        <v>2922.4180730116368</v>
      </c>
      <c r="AC893" s="2">
        <v>137.55121330059646</v>
      </c>
      <c r="AD893" s="2">
        <v>70.159067413657425</v>
      </c>
      <c r="AE893" s="2">
        <v>561.04821255505044</v>
      </c>
      <c r="AF893" s="2">
        <v>930.16211958299141</v>
      </c>
      <c r="AG893" s="2">
        <v>108.71323929119136</v>
      </c>
      <c r="AH893" s="2">
        <v>595.07626524240231</v>
      </c>
      <c r="AI893" s="2">
        <v>636176.49914352922</v>
      </c>
      <c r="AJ893" s="2">
        <v>608671.40078158712</v>
      </c>
      <c r="AL893" s="27">
        <v>0.91307030186408611</v>
      </c>
      <c r="AM893" s="27">
        <v>0.91368058719473599</v>
      </c>
      <c r="AN893" s="27">
        <v>0.90234409709232122</v>
      </c>
      <c r="AO893" s="27">
        <v>0.92026590672663156</v>
      </c>
      <c r="AP893" s="27">
        <v>0.68437244546866705</v>
      </c>
      <c r="AQ893" s="27">
        <v>0.91307030186408611</v>
      </c>
      <c r="AR893" s="27">
        <v>0.91368058719473599</v>
      </c>
      <c r="AS893" s="27">
        <v>0.90234409709232122</v>
      </c>
      <c r="AT893" s="27">
        <v>0.92026590672663156</v>
      </c>
      <c r="AU893" s="27">
        <v>0.68437244546866705</v>
      </c>
      <c r="AW893" s="1">
        <v>13.965752884220779</v>
      </c>
      <c r="AX893" s="1">
        <v>16.188065858367775</v>
      </c>
      <c r="AY893" s="2">
        <v>2721503.8939535054</v>
      </c>
      <c r="AZ893" s="1">
        <v>15.62114877869797</v>
      </c>
      <c r="BA893" s="1">
        <v>17.756175358907807</v>
      </c>
      <c r="BB893" s="2">
        <v>1961369.3264848993</v>
      </c>
      <c r="BC893" s="2">
        <f t="shared" si="98"/>
        <v>-760134.56746860617</v>
      </c>
      <c r="BD893" s="292">
        <f t="shared" si="99"/>
        <v>1.6553958944771914</v>
      </c>
      <c r="BF893" s="170">
        <f t="shared" si="94"/>
        <v>-486983.43247818109</v>
      </c>
      <c r="BG893" s="2">
        <f t="shared" si="95"/>
        <v>538014.47810677602</v>
      </c>
      <c r="BI893">
        <f t="shared" si="96"/>
        <v>0</v>
      </c>
      <c r="BJ893" s="95">
        <f t="shared" si="97"/>
        <v>1</v>
      </c>
      <c r="BP893" s="217">
        <f t="shared" si="100"/>
        <v>538014.47810677602</v>
      </c>
    </row>
    <row r="894" spans="1:68">
      <c r="A894" s="11">
        <v>888</v>
      </c>
      <c r="C894" s="27">
        <v>0.92129960753223972</v>
      </c>
      <c r="D894" s="27">
        <v>7.8700392467760283E-2</v>
      </c>
      <c r="E894" s="27">
        <v>0</v>
      </c>
      <c r="F894" s="27">
        <v>0.85763209767307358</v>
      </c>
      <c r="G894" s="27">
        <v>0.14236790232692639</v>
      </c>
      <c r="H894" s="27">
        <v>0</v>
      </c>
      <c r="I894" s="27">
        <v>0.76214833557185169</v>
      </c>
      <c r="J894" s="27">
        <v>0.23785166442814831</v>
      </c>
      <c r="K894" s="27">
        <v>0</v>
      </c>
      <c r="L894" s="27">
        <v>0.16411627053860156</v>
      </c>
      <c r="M894" s="27">
        <v>0.53227194971757052</v>
      </c>
      <c r="N894" s="27">
        <v>0.30361177974382791</v>
      </c>
      <c r="O894" s="27">
        <v>-10.984268714429096</v>
      </c>
      <c r="P894" s="27">
        <v>3.4561977536004061E-2</v>
      </c>
      <c r="Q894" s="27">
        <v>7.244624945336491E-5</v>
      </c>
      <c r="R894" s="27">
        <v>1.0509651922951522</v>
      </c>
      <c r="S894" s="154"/>
      <c r="T894">
        <v>0.94461458159985523</v>
      </c>
      <c r="U894">
        <v>2.2415920511191438</v>
      </c>
      <c r="V894">
        <v>2.8338936524098854</v>
      </c>
      <c r="W894">
        <v>1</v>
      </c>
      <c r="Y894" s="2">
        <v>728.89606817156857</v>
      </c>
      <c r="Z894" s="2">
        <v>12952.07751654437</v>
      </c>
      <c r="AA894" s="2">
        <v>2127.58794957082</v>
      </c>
      <c r="AB894" s="2">
        <v>2887.1826145791565</v>
      </c>
      <c r="AC894" s="2">
        <v>172.74327666141573</v>
      </c>
      <c r="AD894" s="2">
        <v>5207.9484162910503</v>
      </c>
      <c r="AE894" s="2">
        <v>619.77863755879264</v>
      </c>
      <c r="AF894" s="2">
        <v>960.18999483795108</v>
      </c>
      <c r="AG894" s="2">
        <v>122.41444608261742</v>
      </c>
      <c r="AH894" s="2">
        <v>617.45816948022912</v>
      </c>
      <c r="AI894" s="2">
        <v>382376.74003040791</v>
      </c>
      <c r="AJ894" s="2">
        <v>348812.66730073438</v>
      </c>
      <c r="AL894" s="27">
        <v>0.92556160855839176</v>
      </c>
      <c r="AM894" s="27">
        <v>0.91742498975772269</v>
      </c>
      <c r="AN894" s="27">
        <v>0.90039638735168448</v>
      </c>
      <c r="AO894" s="27">
        <v>0.84287093813751723</v>
      </c>
      <c r="AP894" s="27">
        <v>0.7826685927607705</v>
      </c>
      <c r="AQ894" s="27">
        <v>0.92556160855839176</v>
      </c>
      <c r="AR894" s="27">
        <v>0.91742498975772269</v>
      </c>
      <c r="AS894" s="27">
        <v>0.90039638735168448</v>
      </c>
      <c r="AT894" s="27">
        <v>0.84287093813751723</v>
      </c>
      <c r="AU894" s="27">
        <v>0.7826685927607705</v>
      </c>
      <c r="AW894" s="1">
        <v>14.356305215702694</v>
      </c>
      <c r="AX894" s="1">
        <v>16.154385958645406</v>
      </c>
      <c r="AY894" s="2">
        <v>1715378.184717379</v>
      </c>
      <c r="AZ894" s="1">
        <v>15.871003273813365</v>
      </c>
      <c r="BA894" s="1">
        <v>17.674302122767994</v>
      </c>
      <c r="BB894" s="2">
        <v>1284442.9563831699</v>
      </c>
      <c r="BC894" s="2">
        <f t="shared" si="98"/>
        <v>-430935.22833420918</v>
      </c>
      <c r="BD894" s="292">
        <f t="shared" si="99"/>
        <v>1.514698058110671</v>
      </c>
      <c r="BF894" s="170">
        <f t="shared" si="94"/>
        <v>581630.64979505213</v>
      </c>
      <c r="BG894" s="2">
        <f t="shared" si="95"/>
        <v>1254917.5674269686</v>
      </c>
      <c r="BI894">
        <f t="shared" si="96"/>
        <v>0</v>
      </c>
      <c r="BJ894" s="95">
        <f t="shared" si="97"/>
        <v>1</v>
      </c>
      <c r="BP894" s="217">
        <f t="shared" si="100"/>
        <v>1254917.5674269686</v>
      </c>
    </row>
    <row r="895" spans="1:68">
      <c r="A895" s="11">
        <v>889</v>
      </c>
      <c r="C895" s="27">
        <v>0.92132309325199413</v>
      </c>
      <c r="D895" s="27">
        <v>7.867690674800587E-2</v>
      </c>
      <c r="E895" s="27">
        <v>0</v>
      </c>
      <c r="F895" s="27">
        <v>0.85076083943149117</v>
      </c>
      <c r="G895" s="27">
        <v>0.14923916056850883</v>
      </c>
      <c r="H895" s="27">
        <v>0</v>
      </c>
      <c r="I895" s="27">
        <v>0.75868443168816768</v>
      </c>
      <c r="J895" s="27">
        <v>0.24131556831183232</v>
      </c>
      <c r="K895" s="27">
        <v>0</v>
      </c>
      <c r="L895" s="27">
        <v>0.11047550744673174</v>
      </c>
      <c r="M895" s="27">
        <v>0.45147871045641308</v>
      </c>
      <c r="N895" s="27">
        <v>0.43804578209685519</v>
      </c>
      <c r="O895" s="27">
        <v>-11.325559087645464</v>
      </c>
      <c r="P895" s="27">
        <v>3.4776468017589338E-2</v>
      </c>
      <c r="Q895" s="27">
        <v>5.1964621281352657E-5</v>
      </c>
      <c r="R895" s="27">
        <v>1.0884861364554788</v>
      </c>
      <c r="S895" s="154"/>
      <c r="T895">
        <v>0.90906395554558506</v>
      </c>
      <c r="U895">
        <v>2.2467425447785914</v>
      </c>
      <c r="V895">
        <v>2.8065850609683496</v>
      </c>
      <c r="W895">
        <v>1</v>
      </c>
      <c r="Y895" s="2">
        <v>2028.6403307158544</v>
      </c>
      <c r="Z895" s="2">
        <v>8179.4937281445082</v>
      </c>
      <c r="AA895" s="2">
        <v>2403.0081239722631</v>
      </c>
      <c r="AB895" s="2">
        <v>10432.719318065532</v>
      </c>
      <c r="AC895" s="2">
        <v>1739.5794108559721</v>
      </c>
      <c r="AD895" s="2">
        <v>1691.7096444373756</v>
      </c>
      <c r="AE895" s="2">
        <v>642.45267167302347</v>
      </c>
      <c r="AF895" s="2">
        <v>946.9998747744263</v>
      </c>
      <c r="AG895" s="2">
        <v>143.93934866994499</v>
      </c>
      <c r="AH895" s="2">
        <v>426.67324846371594</v>
      </c>
      <c r="AI895" s="2">
        <v>569025.74177148275</v>
      </c>
      <c r="AJ895" s="2">
        <v>536323.96650660119</v>
      </c>
      <c r="AL895" s="27">
        <v>0.9155227686922579</v>
      </c>
      <c r="AM895" s="27">
        <v>0.91217932013067948</v>
      </c>
      <c r="AN895" s="27">
        <v>0.90979387509682219</v>
      </c>
      <c r="AO895" s="27">
        <v>0.86728213026007406</v>
      </c>
      <c r="AP895" s="27">
        <v>0.59591236227474986</v>
      </c>
      <c r="AQ895" s="27">
        <v>0.9155227686922579</v>
      </c>
      <c r="AR895" s="27">
        <v>0.91217932013067948</v>
      </c>
      <c r="AS895" s="27">
        <v>0.90979387509682219</v>
      </c>
      <c r="AT895" s="27">
        <v>0.86728213026007406</v>
      </c>
      <c r="AU895" s="27">
        <v>0.59591236227474986</v>
      </c>
      <c r="AW895" s="1">
        <v>13.214185311665018</v>
      </c>
      <c r="AX895" s="1">
        <v>15.442114007577452</v>
      </c>
      <c r="AY895" s="2">
        <v>1994078.1434745258</v>
      </c>
      <c r="AZ895" s="1">
        <v>14.880151482221139</v>
      </c>
      <c r="BA895" s="1">
        <v>17.025674441213511</v>
      </c>
      <c r="BB895" s="2">
        <v>1608891.8461522528</v>
      </c>
      <c r="BC895" s="2">
        <f t="shared" si="98"/>
        <v>-385186.29732227302</v>
      </c>
      <c r="BD895" s="292">
        <f t="shared" si="99"/>
        <v>1.6659661705561213</v>
      </c>
      <c r="BF895" s="170">
        <f t="shared" si="94"/>
        <v>120191.50639187731</v>
      </c>
      <c r="BG895" s="2">
        <f t="shared" si="95"/>
        <v>771932.39100312931</v>
      </c>
      <c r="BI895">
        <f t="shared" si="96"/>
        <v>0</v>
      </c>
      <c r="BJ895" s="95">
        <f t="shared" si="97"/>
        <v>1</v>
      </c>
      <c r="BP895" s="217">
        <f t="shared" si="100"/>
        <v>771932.39100312931</v>
      </c>
    </row>
    <row r="896" spans="1:68">
      <c r="A896" s="11">
        <v>890</v>
      </c>
      <c r="C896" s="27">
        <v>0.92513071578644568</v>
      </c>
      <c r="D896" s="27">
        <v>7.4869284213554377E-2</v>
      </c>
      <c r="E896" s="27">
        <v>0</v>
      </c>
      <c r="F896" s="27">
        <v>0.84997796211893606</v>
      </c>
      <c r="G896" s="27">
        <v>0.15002203788106394</v>
      </c>
      <c r="H896" s="27">
        <v>0</v>
      </c>
      <c r="I896" s="27">
        <v>0.74269099610387201</v>
      </c>
      <c r="J896" s="27">
        <v>0.25730900389612799</v>
      </c>
      <c r="K896" s="27">
        <v>0</v>
      </c>
      <c r="L896" s="27">
        <v>0.14671987542207143</v>
      </c>
      <c r="M896" s="27">
        <v>0.51986739082611511</v>
      </c>
      <c r="N896" s="27">
        <v>0.33341273375181346</v>
      </c>
      <c r="O896" s="27">
        <v>-11.531436036329977</v>
      </c>
      <c r="P896" s="27">
        <v>3.8116386970651034E-2</v>
      </c>
      <c r="Q896" s="27">
        <v>4.8665130837156582E-5</v>
      </c>
      <c r="R896" s="27">
        <v>1.1038685522971401</v>
      </c>
      <c r="S896" s="154"/>
      <c r="T896">
        <v>1.059698510593641</v>
      </c>
      <c r="U896">
        <v>2.2161743483396683</v>
      </c>
      <c r="V896">
        <v>3.2471509949065247</v>
      </c>
      <c r="W896">
        <v>1</v>
      </c>
      <c r="Y896" s="2">
        <v>281.73911199728792</v>
      </c>
      <c r="Z896" s="2">
        <v>2259.2107663873221</v>
      </c>
      <c r="AA896" s="2">
        <v>2065.2310758169228</v>
      </c>
      <c r="AB896" s="2">
        <v>305.34917000346519</v>
      </c>
      <c r="AC896" s="2">
        <v>591.94324723535681</v>
      </c>
      <c r="AD896" s="2">
        <v>1071.7126207810734</v>
      </c>
      <c r="AE896" s="2">
        <v>629.12435238867738</v>
      </c>
      <c r="AF896" s="2">
        <v>1334.4165379785129</v>
      </c>
      <c r="AG896" s="2">
        <v>41.505564994911332</v>
      </c>
      <c r="AH896" s="2">
        <v>359.23652974807027</v>
      </c>
      <c r="AI896" s="2">
        <v>514855.76621486945</v>
      </c>
      <c r="AJ896" s="2">
        <v>489788.43680038338</v>
      </c>
      <c r="AL896" s="27">
        <v>0.91440261452299321</v>
      </c>
      <c r="AM896" s="27">
        <v>0.9143931710475659</v>
      </c>
      <c r="AN896" s="27">
        <v>0.90677135957986077</v>
      </c>
      <c r="AO896" s="27">
        <v>0.84773392533351166</v>
      </c>
      <c r="AP896" s="27">
        <v>0.70260023740019928</v>
      </c>
      <c r="AQ896" s="27">
        <v>0.91440261452299321</v>
      </c>
      <c r="AR896" s="27">
        <v>0.9143931710475659</v>
      </c>
      <c r="AS896" s="27">
        <v>0.90677135957986077</v>
      </c>
      <c r="AT896" s="27">
        <v>0.84773392533351166</v>
      </c>
      <c r="AU896" s="27">
        <v>0.70260023740019928</v>
      </c>
      <c r="AW896" s="1">
        <v>13.429928059774179</v>
      </c>
      <c r="AX896" s="1">
        <v>15.534549585605566</v>
      </c>
      <c r="AY896" s="2">
        <v>2099971.1371811652</v>
      </c>
      <c r="AZ896" s="1">
        <v>15.371170559242856</v>
      </c>
      <c r="BA896" s="1">
        <v>17.412935086649171</v>
      </c>
      <c r="BB896" s="2">
        <v>1496017.1556634111</v>
      </c>
      <c r="BC896" s="2">
        <f t="shared" si="98"/>
        <v>-603953.98151775403</v>
      </c>
      <c r="BD896" s="292">
        <f t="shared" si="99"/>
        <v>1.941242499468677</v>
      </c>
      <c r="BF896" s="170">
        <f t="shared" si="94"/>
        <v>48817.352382703219</v>
      </c>
      <c r="BG896" s="2">
        <f t="shared" si="95"/>
        <v>963370.13381544594</v>
      </c>
      <c r="BI896">
        <f t="shared" si="96"/>
        <v>0</v>
      </c>
      <c r="BJ896" s="95">
        <f t="shared" si="97"/>
        <v>1</v>
      </c>
      <c r="BP896" s="217">
        <f t="shared" si="100"/>
        <v>963370.13381544594</v>
      </c>
    </row>
    <row r="897" spans="1:68">
      <c r="A897" s="11">
        <v>891</v>
      </c>
      <c r="C897" s="27">
        <v>0.92069359330677436</v>
      </c>
      <c r="D897" s="27">
        <v>7.930640669322564E-2</v>
      </c>
      <c r="E897" s="27">
        <v>0</v>
      </c>
      <c r="F897" s="27">
        <v>0.85494931038221933</v>
      </c>
      <c r="G897" s="27">
        <v>0.14505068961778067</v>
      </c>
      <c r="H897" s="27">
        <v>0</v>
      </c>
      <c r="I897" s="27">
        <v>0.75607850742147964</v>
      </c>
      <c r="J897" s="27">
        <v>0.24392149257852039</v>
      </c>
      <c r="K897" s="27">
        <v>0</v>
      </c>
      <c r="L897" s="27">
        <v>8.7080852509473505E-3</v>
      </c>
      <c r="M897" s="27">
        <v>0.60123101429077408</v>
      </c>
      <c r="N897" s="27">
        <v>0.39006090045827857</v>
      </c>
      <c r="O897" s="27">
        <v>-11.174595677658077</v>
      </c>
      <c r="P897" s="27">
        <v>3.4037364209814507E-2</v>
      </c>
      <c r="Q897" s="27">
        <v>5.8585321398091255E-5</v>
      </c>
      <c r="R897" s="27">
        <v>1.0824005650420907</v>
      </c>
      <c r="S897" s="154"/>
      <c r="T897">
        <v>1.0668837828420623</v>
      </c>
      <c r="U897">
        <v>2.2100412316367022</v>
      </c>
      <c r="V897">
        <v>3.2005160825521926</v>
      </c>
      <c r="W897">
        <v>1</v>
      </c>
      <c r="Y897" s="2">
        <v>122.70758296542162</v>
      </c>
      <c r="Z897" s="2">
        <v>1944.3870608417174</v>
      </c>
      <c r="AA897" s="2">
        <v>1939.8533871173154</v>
      </c>
      <c r="AB897" s="2">
        <v>3802.4707032925221</v>
      </c>
      <c r="AC897" s="2">
        <v>93.656600197225259</v>
      </c>
      <c r="AD897" s="2">
        <v>434.97002449206832</v>
      </c>
      <c r="AE897" s="2">
        <v>582.60184356917114</v>
      </c>
      <c r="AF897" s="2">
        <v>1181.7859928902774</v>
      </c>
      <c r="AG897" s="2">
        <v>139.87224171979204</v>
      </c>
      <c r="AH897" s="2">
        <v>361.0109256089338</v>
      </c>
      <c r="AI897" s="2">
        <v>576667.55449648318</v>
      </c>
      <c r="AJ897" s="2">
        <v>536127.35709547775</v>
      </c>
      <c r="AL897" s="27">
        <v>0.9127641384860179</v>
      </c>
      <c r="AM897" s="27">
        <v>0.91599581890931026</v>
      </c>
      <c r="AN897" s="27">
        <v>0.9070123074988754</v>
      </c>
      <c r="AO897" s="27">
        <v>0.86701756277405151</v>
      </c>
      <c r="AP897" s="27">
        <v>0.76974278521994521</v>
      </c>
      <c r="AQ897" s="27">
        <v>0.9127641384860179</v>
      </c>
      <c r="AR897" s="27">
        <v>0.91599581890931026</v>
      </c>
      <c r="AS897" s="27">
        <v>0.9070123074988754</v>
      </c>
      <c r="AT897" s="27">
        <v>0.86701756277405151</v>
      </c>
      <c r="AU897" s="27">
        <v>0.76974278521994521</v>
      </c>
      <c r="AW897" s="1">
        <v>13.504551570347793</v>
      </c>
      <c r="AX897" s="1">
        <v>15.376189977590521</v>
      </c>
      <c r="AY897" s="2">
        <v>2358150.2258614525</v>
      </c>
      <c r="AZ897" s="1">
        <v>15.479883449149632</v>
      </c>
      <c r="BA897" s="1">
        <v>17.360669762379004</v>
      </c>
      <c r="BB897" s="2">
        <v>1706811.9669625799</v>
      </c>
      <c r="BC897" s="2">
        <f t="shared" si="98"/>
        <v>-651338.25889887265</v>
      </c>
      <c r="BD897" s="292">
        <f t="shared" si="99"/>
        <v>1.975331878801839</v>
      </c>
      <c r="BF897" s="170">
        <f t="shared" si="94"/>
        <v>-197421.97460580571</v>
      </c>
      <c r="BG897" s="2">
        <f t="shared" si="95"/>
        <v>769969.38490136131</v>
      </c>
      <c r="BI897">
        <f t="shared" si="96"/>
        <v>0</v>
      </c>
      <c r="BJ897" s="95">
        <f t="shared" si="97"/>
        <v>1</v>
      </c>
      <c r="BP897" s="217">
        <f t="shared" si="100"/>
        <v>769969.38490136131</v>
      </c>
    </row>
    <row r="898" spans="1:68">
      <c r="A898" s="11">
        <v>892</v>
      </c>
      <c r="C898" s="27">
        <v>0.92086775344658744</v>
      </c>
      <c r="D898" s="27">
        <v>7.9132246553412555E-2</v>
      </c>
      <c r="E898" s="27">
        <v>0</v>
      </c>
      <c r="F898" s="27">
        <v>0.85707018852667449</v>
      </c>
      <c r="G898" s="27">
        <v>0.14292981147332551</v>
      </c>
      <c r="H898" s="27">
        <v>0</v>
      </c>
      <c r="I898" s="27">
        <v>0.74638583130588976</v>
      </c>
      <c r="J898" s="27">
        <v>0.25361416869411024</v>
      </c>
      <c r="K898" s="27">
        <v>0</v>
      </c>
      <c r="L898" s="27">
        <v>0.1566549836663732</v>
      </c>
      <c r="M898" s="27">
        <v>0.51743193369232687</v>
      </c>
      <c r="N898" s="27">
        <v>0.32591308264129992</v>
      </c>
      <c r="O898" s="27">
        <v>-10.916312064857003</v>
      </c>
      <c r="P898" s="27">
        <v>3.47260358652796E-2</v>
      </c>
      <c r="Q898" s="27">
        <v>7.8076725186110993E-5</v>
      </c>
      <c r="R898" s="27">
        <v>1.0344263175536386</v>
      </c>
      <c r="S898" s="154"/>
      <c r="T898">
        <v>1.0477064773887175</v>
      </c>
      <c r="U898">
        <v>2.2371077839884372</v>
      </c>
      <c r="V898">
        <v>2.6293462328286523</v>
      </c>
      <c r="W898">
        <v>1</v>
      </c>
      <c r="Y898" s="2">
        <v>678.52559380261971</v>
      </c>
      <c r="Z898" s="2">
        <v>12476.06354537004</v>
      </c>
      <c r="AA898" s="2">
        <v>1624.2781856326637</v>
      </c>
      <c r="AB898" s="2">
        <v>1926.1039187997167</v>
      </c>
      <c r="AC898" s="2">
        <v>1004.6260391311851</v>
      </c>
      <c r="AD898" s="2">
        <v>3077.0134948539244</v>
      </c>
      <c r="AE898" s="2">
        <v>536.60872344246809</v>
      </c>
      <c r="AF898" s="2">
        <v>1003.7724014175443</v>
      </c>
      <c r="AG898" s="2">
        <v>121.82531175951695</v>
      </c>
      <c r="AH898" s="2">
        <v>640.67622530681456</v>
      </c>
      <c r="AI898" s="2">
        <v>556952.90639891499</v>
      </c>
      <c r="AJ898" s="2">
        <v>513134.78695833479</v>
      </c>
      <c r="AL898" s="27">
        <v>0.91954024282943436</v>
      </c>
      <c r="AM898" s="27">
        <v>0.9133487031762072</v>
      </c>
      <c r="AN898" s="27">
        <v>0.90395979688538142</v>
      </c>
      <c r="AO898" s="27">
        <v>0.86495748928698357</v>
      </c>
      <c r="AP898" s="27">
        <v>0.60112295233689739</v>
      </c>
      <c r="AQ898" s="27">
        <v>0.91954024282943436</v>
      </c>
      <c r="AR898" s="27">
        <v>0.9133487031762072</v>
      </c>
      <c r="AS898" s="27">
        <v>0.90395979688538142</v>
      </c>
      <c r="AT898" s="27">
        <v>0.86495748928698357</v>
      </c>
      <c r="AU898" s="27">
        <v>0.60112295233689739</v>
      </c>
      <c r="AW898" s="1">
        <v>13.329642029945672</v>
      </c>
      <c r="AX898" s="1">
        <v>15.842289049283755</v>
      </c>
      <c r="AY898" s="2">
        <v>2531750.9712015544</v>
      </c>
      <c r="AZ898" s="1">
        <v>15.257489385234383</v>
      </c>
      <c r="BA898" s="1">
        <v>17.575339889074346</v>
      </c>
      <c r="BB898" s="2">
        <v>1758326.2837479163</v>
      </c>
      <c r="BC898" s="2">
        <f t="shared" si="98"/>
        <v>-773424.68745363806</v>
      </c>
      <c r="BD898" s="292">
        <f t="shared" si="99"/>
        <v>1.9278473552887103</v>
      </c>
      <c r="BF898" s="170">
        <f t="shared" si="94"/>
        <v>-399008.24641024694</v>
      </c>
      <c r="BG898" s="2">
        <f t="shared" si="95"/>
        <v>682872.01788958511</v>
      </c>
      <c r="BI898">
        <f t="shared" si="96"/>
        <v>0</v>
      </c>
      <c r="BJ898" s="95">
        <f t="shared" si="97"/>
        <v>1</v>
      </c>
      <c r="BP898" s="217">
        <f t="shared" si="100"/>
        <v>682872.01788958511</v>
      </c>
    </row>
    <row r="899" spans="1:68">
      <c r="A899" s="11">
        <v>893</v>
      </c>
      <c r="C899" s="27">
        <v>0.92502988384713891</v>
      </c>
      <c r="D899" s="27">
        <v>7.4970116152861033E-2</v>
      </c>
      <c r="E899" s="27">
        <v>0</v>
      </c>
      <c r="F899" s="27">
        <v>0.85474713463592755</v>
      </c>
      <c r="G899" s="27">
        <v>0.14525286536407245</v>
      </c>
      <c r="H899" s="27">
        <v>0</v>
      </c>
      <c r="I899" s="27">
        <v>0.74211735034211912</v>
      </c>
      <c r="J899" s="27">
        <v>0.25788264965788088</v>
      </c>
      <c r="K899" s="27">
        <v>0</v>
      </c>
      <c r="L899" s="27">
        <v>0.20050531444159886</v>
      </c>
      <c r="M899" s="27">
        <v>0.45188436191574488</v>
      </c>
      <c r="N899" s="27">
        <v>0.34761032364265626</v>
      </c>
      <c r="O899" s="27">
        <v>-10.862336791306745</v>
      </c>
      <c r="P899" s="27">
        <v>3.2845936416963997E-2</v>
      </c>
      <c r="Q899" s="27">
        <v>7.6149848981666373E-5</v>
      </c>
      <c r="R899" s="27">
        <v>1.0453827923518584</v>
      </c>
      <c r="S899" s="154"/>
      <c r="T899">
        <v>1.0392711371995917</v>
      </c>
      <c r="U899">
        <v>2.2374354630349984</v>
      </c>
      <c r="V899">
        <v>3.2090967969491677</v>
      </c>
      <c r="W899">
        <v>1</v>
      </c>
      <c r="Y899" s="2">
        <v>199.20138986816576</v>
      </c>
      <c r="Z899" s="2">
        <v>3510.5897836763797</v>
      </c>
      <c r="AA899" s="2">
        <v>2051.3132496530015</v>
      </c>
      <c r="AB899" s="2">
        <v>2202.1309449785722</v>
      </c>
      <c r="AC899" s="2">
        <v>266.5897451978642</v>
      </c>
      <c r="AD899" s="2">
        <v>991.9157930444984</v>
      </c>
      <c r="AE899" s="2">
        <v>539.65048161796153</v>
      </c>
      <c r="AF899" s="2">
        <v>763.34875087977582</v>
      </c>
      <c r="AG899" s="2">
        <v>207.70991355124625</v>
      </c>
      <c r="AH899" s="2">
        <v>976.98628642339474</v>
      </c>
      <c r="AI899" s="2">
        <v>504760.63876833231</v>
      </c>
      <c r="AJ899" s="2">
        <v>460638.34774214734</v>
      </c>
      <c r="AL899" s="27">
        <v>0.91401371140423637</v>
      </c>
      <c r="AM899" s="27">
        <v>0.91707480120023943</v>
      </c>
      <c r="AN899" s="27">
        <v>0.90523200359799838</v>
      </c>
      <c r="AO899" s="27">
        <v>0.8994426600305212</v>
      </c>
      <c r="AP899" s="27">
        <v>0.58941041483887791</v>
      </c>
      <c r="AQ899" s="27">
        <v>0.91401371140423637</v>
      </c>
      <c r="AR899" s="27">
        <v>0.91707480120023943</v>
      </c>
      <c r="AS899" s="27">
        <v>0.90523200359799838</v>
      </c>
      <c r="AT899" s="27">
        <v>0.8994426600305212</v>
      </c>
      <c r="AU899" s="27">
        <v>0.58941041483887791</v>
      </c>
      <c r="AW899" s="1">
        <v>13.130320686956795</v>
      </c>
      <c r="AX899" s="1">
        <v>15.534578653698041</v>
      </c>
      <c r="AY899" s="2">
        <v>1909279.0846614554</v>
      </c>
      <c r="AZ899" s="1">
        <v>15.15333815291411</v>
      </c>
      <c r="BA899" s="1">
        <v>17.398105160308543</v>
      </c>
      <c r="BB899" s="2">
        <v>1390127.9955368964</v>
      </c>
      <c r="BC899" s="2">
        <f t="shared" si="98"/>
        <v>-519151.08912455896</v>
      </c>
      <c r="BD899" s="292">
        <f t="shared" si="99"/>
        <v>2.0230174659573148</v>
      </c>
      <c r="BF899" s="170">
        <f t="shared" si="94"/>
        <v>191572.22525163181</v>
      </c>
      <c r="BG899" s="2">
        <f t="shared" si="95"/>
        <v>1034406.1089293612</v>
      </c>
      <c r="BI899">
        <f t="shared" si="96"/>
        <v>0</v>
      </c>
      <c r="BJ899" s="95">
        <f t="shared" si="97"/>
        <v>1</v>
      </c>
      <c r="BP899" s="217">
        <f t="shared" si="100"/>
        <v>1034406.1089293612</v>
      </c>
    </row>
    <row r="900" spans="1:68">
      <c r="A900" s="11">
        <v>894</v>
      </c>
      <c r="C900" s="27">
        <v>0.92158646320852988</v>
      </c>
      <c r="D900" s="27">
        <v>7.8413536791470118E-2</v>
      </c>
      <c r="E900" s="27">
        <v>0</v>
      </c>
      <c r="F900" s="27">
        <v>0.85731264042956246</v>
      </c>
      <c r="G900" s="27">
        <v>0.14268735957043752</v>
      </c>
      <c r="H900" s="27">
        <v>0</v>
      </c>
      <c r="I900" s="27">
        <v>0.74923469451715841</v>
      </c>
      <c r="J900" s="27">
        <v>0.25076530548284159</v>
      </c>
      <c r="K900" s="27">
        <v>0</v>
      </c>
      <c r="L900" s="27">
        <v>0.16249911667285977</v>
      </c>
      <c r="M900" s="27">
        <v>0.43426750297118755</v>
      </c>
      <c r="N900" s="27">
        <v>0.40323338035595269</v>
      </c>
      <c r="O900" s="27">
        <v>-10.974062329156485</v>
      </c>
      <c r="P900" s="27">
        <v>3.6107266350154141E-2</v>
      </c>
      <c r="Q900" s="27">
        <v>7.8097138364446875E-5</v>
      </c>
      <c r="R900" s="27">
        <v>1.035804164615538</v>
      </c>
      <c r="S900" s="154"/>
      <c r="T900">
        <v>1.0246122890296003</v>
      </c>
      <c r="U900">
        <v>2.2977397253763732</v>
      </c>
      <c r="V900">
        <v>2.9604180299919518</v>
      </c>
      <c r="W900">
        <v>1</v>
      </c>
      <c r="Y900" s="2">
        <v>440.7203943188199</v>
      </c>
      <c r="Z900" s="2">
        <v>1737.3323741595095</v>
      </c>
      <c r="AA900" s="2">
        <v>1246.6111687697064</v>
      </c>
      <c r="AB900" s="2">
        <v>3186.7791206994293</v>
      </c>
      <c r="AC900" s="2">
        <v>1277.6286744843349</v>
      </c>
      <c r="AD900" s="2">
        <v>1522.808766738616</v>
      </c>
      <c r="AE900" s="2">
        <v>642.75060673243013</v>
      </c>
      <c r="AF900" s="2">
        <v>1070.9741533809085</v>
      </c>
      <c r="AG900" s="2">
        <v>99.928425845562586</v>
      </c>
      <c r="AH900" s="2">
        <v>396.00731927028221</v>
      </c>
      <c r="AI900" s="2">
        <v>396524.20591630868</v>
      </c>
      <c r="AJ900" s="2">
        <v>360768.78546972934</v>
      </c>
      <c r="AL900" s="27">
        <v>0.91531217275508125</v>
      </c>
      <c r="AM900" s="27">
        <v>0.91566677751989523</v>
      </c>
      <c r="AN900" s="27">
        <v>0.89764567768579784</v>
      </c>
      <c r="AO900" s="27">
        <v>0.87526117798218128</v>
      </c>
      <c r="AP900" s="27">
        <v>0.77421736379834738</v>
      </c>
      <c r="AQ900" s="27">
        <v>0.91531217275508125</v>
      </c>
      <c r="AR900" s="27">
        <v>0.91566677751989523</v>
      </c>
      <c r="AS900" s="27">
        <v>0.89764567768579784</v>
      </c>
      <c r="AT900" s="27">
        <v>0.87526117798218128</v>
      </c>
      <c r="AU900" s="27">
        <v>0.77421736379834738</v>
      </c>
      <c r="AW900" s="1">
        <v>13.496880219025627</v>
      </c>
      <c r="AX900" s="1">
        <v>15.26728458928333</v>
      </c>
      <c r="AY900" s="2">
        <v>1432587.7719393994</v>
      </c>
      <c r="AZ900" s="1">
        <v>15.387010409821476</v>
      </c>
      <c r="BA900" s="1">
        <v>17.199968493277609</v>
      </c>
      <c r="BB900" s="2">
        <v>1074377.2218457442</v>
      </c>
      <c r="BC900" s="2">
        <f t="shared" si="98"/>
        <v>-358210.55009365524</v>
      </c>
      <c r="BD900" s="292">
        <f t="shared" si="99"/>
        <v>1.8901301907958494</v>
      </c>
      <c r="BF900" s="170">
        <f t="shared" si="94"/>
        <v>726913.063104701</v>
      </c>
      <c r="BG900" s="2">
        <f t="shared" si="95"/>
        <v>1387544.4437256921</v>
      </c>
      <c r="BI900">
        <f t="shared" si="96"/>
        <v>0</v>
      </c>
      <c r="BJ900" s="95">
        <f t="shared" si="97"/>
        <v>1</v>
      </c>
      <c r="BP900" s="217">
        <f t="shared" si="100"/>
        <v>1387544.4437256921</v>
      </c>
    </row>
    <row r="901" spans="1:68">
      <c r="A901" s="11">
        <v>895</v>
      </c>
      <c r="C901" s="27">
        <v>0.92366213803692965</v>
      </c>
      <c r="D901" s="27">
        <v>7.6337861963070366E-2</v>
      </c>
      <c r="E901" s="27">
        <v>0</v>
      </c>
      <c r="F901" s="27">
        <v>0.85914640838806267</v>
      </c>
      <c r="G901" s="27">
        <v>0.14085359161193728</v>
      </c>
      <c r="H901" s="27">
        <v>0</v>
      </c>
      <c r="I901" s="27">
        <v>0.75773738079781361</v>
      </c>
      <c r="J901" s="27">
        <v>0.24226261920218639</v>
      </c>
      <c r="K901" s="27">
        <v>0</v>
      </c>
      <c r="L901" s="27">
        <v>0.1977000987369143</v>
      </c>
      <c r="M901" s="27">
        <v>0.46616215579025094</v>
      </c>
      <c r="N901" s="27">
        <v>0.33613774547283481</v>
      </c>
      <c r="O901" s="27">
        <v>-11.167466410901316</v>
      </c>
      <c r="P901" s="27">
        <v>3.5049222853220874E-2</v>
      </c>
      <c r="Q901" s="27">
        <v>6.1566106927312666E-5</v>
      </c>
      <c r="R901" s="27">
        <v>1.0719949665900788</v>
      </c>
      <c r="S901" s="154"/>
      <c r="T901">
        <v>0.9966646591289513</v>
      </c>
      <c r="U901">
        <v>2.2236812237651158</v>
      </c>
      <c r="V901">
        <v>2.8052301058880822</v>
      </c>
      <c r="W901">
        <v>1</v>
      </c>
      <c r="Y901" s="2">
        <v>99.720907861802118</v>
      </c>
      <c r="Z901" s="2">
        <v>9050.8793625169164</v>
      </c>
      <c r="AA901" s="2">
        <v>1254.5214446292268</v>
      </c>
      <c r="AB901" s="2">
        <v>112.05435553630502</v>
      </c>
      <c r="AC901" s="2">
        <v>2127.3795303293846</v>
      </c>
      <c r="AD901" s="2">
        <v>2736.9828902760992</v>
      </c>
      <c r="AE901" s="2">
        <v>529.26254205532825</v>
      </c>
      <c r="AF901" s="2">
        <v>1088.7237903252033</v>
      </c>
      <c r="AG901" s="2">
        <v>144.52837799867723</v>
      </c>
      <c r="AH901" s="2">
        <v>783.48730739875464</v>
      </c>
      <c r="AI901" s="2">
        <v>368588.48130344332</v>
      </c>
      <c r="AJ901" s="2">
        <v>315346.97586966527</v>
      </c>
      <c r="AL901" s="27">
        <v>0.91891413488642537</v>
      </c>
      <c r="AM901" s="27">
        <v>0.91887438191402748</v>
      </c>
      <c r="AN901" s="27">
        <v>0.91121689908311354</v>
      </c>
      <c r="AO901" s="27">
        <v>0.85824108832275581</v>
      </c>
      <c r="AP901" s="27">
        <v>0.68593911870594826</v>
      </c>
      <c r="AQ901" s="27">
        <v>0.91891413488642537</v>
      </c>
      <c r="AR901" s="27">
        <v>0.91887438191402748</v>
      </c>
      <c r="AS901" s="27">
        <v>0.91121689908311354</v>
      </c>
      <c r="AT901" s="27">
        <v>0.85824108832275581</v>
      </c>
      <c r="AU901" s="27">
        <v>0.68593911870594826</v>
      </c>
      <c r="AW901" s="1">
        <v>13.695672839793698</v>
      </c>
      <c r="AX901" s="1">
        <v>15.766511706165911</v>
      </c>
      <c r="AY901" s="2">
        <v>1403296.0774750935</v>
      </c>
      <c r="AZ901" s="1">
        <v>15.494988589824318</v>
      </c>
      <c r="BA901" s="1">
        <v>17.486235489312605</v>
      </c>
      <c r="BB901" s="2">
        <v>968779.06117105857</v>
      </c>
      <c r="BC901" s="2">
        <f t="shared" si="98"/>
        <v>-434517.01630403497</v>
      </c>
      <c r="BD901" s="292">
        <f t="shared" si="99"/>
        <v>1.7993157500306207</v>
      </c>
      <c r="BF901" s="170">
        <f t="shared" si="94"/>
        <v>788011.57689189794</v>
      </c>
      <c r="BG901" s="2">
        <f t="shared" si="95"/>
        <v>1510419.1132008326</v>
      </c>
      <c r="BI901">
        <f t="shared" si="96"/>
        <v>0</v>
      </c>
      <c r="BJ901" s="95">
        <f t="shared" si="97"/>
        <v>1</v>
      </c>
      <c r="BP901" s="217">
        <f t="shared" si="100"/>
        <v>1510419.1132008326</v>
      </c>
    </row>
    <row r="902" spans="1:68">
      <c r="A902" s="11">
        <v>896</v>
      </c>
      <c r="C902" s="27">
        <v>0.92240206212075593</v>
      </c>
      <c r="D902" s="27">
        <v>7.7597937879244072E-2</v>
      </c>
      <c r="E902" s="27">
        <v>0</v>
      </c>
      <c r="F902" s="27">
        <v>0.8523284589961525</v>
      </c>
      <c r="G902" s="27">
        <v>0.1476715410038475</v>
      </c>
      <c r="H902" s="27">
        <v>0</v>
      </c>
      <c r="I902" s="27">
        <v>0.74097822169975391</v>
      </c>
      <c r="J902" s="27">
        <v>0.25902177830024609</v>
      </c>
      <c r="K902" s="27">
        <v>0</v>
      </c>
      <c r="L902" s="27">
        <v>0.20305513295174066</v>
      </c>
      <c r="M902" s="27">
        <v>0.4431372619578911</v>
      </c>
      <c r="N902" s="27">
        <v>0.35380760509036829</v>
      </c>
      <c r="O902" s="27">
        <v>-11.425990266032034</v>
      </c>
      <c r="P902" s="27">
        <v>3.5948365480980515E-2</v>
      </c>
      <c r="Q902" s="27">
        <v>4.9370429020383106E-5</v>
      </c>
      <c r="R902" s="27">
        <v>1.0946909744141844</v>
      </c>
      <c r="S902" s="154"/>
      <c r="T902">
        <v>0.99792412183558954</v>
      </c>
      <c r="U902">
        <v>2.2512198998695068</v>
      </c>
      <c r="V902">
        <v>3.368698607055483</v>
      </c>
      <c r="W902">
        <v>1</v>
      </c>
      <c r="Y902" s="2">
        <v>1553.8562698164149</v>
      </c>
      <c r="Z902" s="2">
        <v>5726.3228889238162</v>
      </c>
      <c r="AA902" s="2">
        <v>2656.9631626751152</v>
      </c>
      <c r="AB902" s="2">
        <v>8347.8608060150091</v>
      </c>
      <c r="AC902" s="2">
        <v>502.89552283183468</v>
      </c>
      <c r="AD902" s="2">
        <v>1076.5602976805233</v>
      </c>
      <c r="AE902" s="2">
        <v>529.61660699400045</v>
      </c>
      <c r="AF902" s="2">
        <v>985.73247124243801</v>
      </c>
      <c r="AG902" s="2">
        <v>112.52718499586625</v>
      </c>
      <c r="AH902" s="2">
        <v>379.59558530657603</v>
      </c>
      <c r="AI902" s="2">
        <v>449872.58219597128</v>
      </c>
      <c r="AJ902" s="2">
        <v>425655.10343334096</v>
      </c>
      <c r="AL902" s="27">
        <v>0.91294737691937133</v>
      </c>
      <c r="AM902" s="27">
        <v>0.91727559503319467</v>
      </c>
      <c r="AN902" s="27">
        <v>0.90530978495389924</v>
      </c>
      <c r="AO902" s="27">
        <v>0.8680637166415659</v>
      </c>
      <c r="AP902" s="27">
        <v>0.78801219716821369</v>
      </c>
      <c r="AQ902" s="27">
        <v>0.91294737691937133</v>
      </c>
      <c r="AR902" s="27">
        <v>0.91727559503319467</v>
      </c>
      <c r="AS902" s="27">
        <v>0.90530978495389924</v>
      </c>
      <c r="AT902" s="27">
        <v>0.8680637166415659</v>
      </c>
      <c r="AU902" s="27">
        <v>0.78801219716821369</v>
      </c>
      <c r="AW902" s="1">
        <v>13.639281752291225</v>
      </c>
      <c r="AX902" s="1">
        <v>15.405080172658581</v>
      </c>
      <c r="AY902" s="2">
        <v>1767011.6668208204</v>
      </c>
      <c r="AZ902" s="1">
        <v>15.424065358115259</v>
      </c>
      <c r="BA902" s="1">
        <v>17.227133463612343</v>
      </c>
      <c r="BB902" s="2">
        <v>1385142.7610367662</v>
      </c>
      <c r="BC902" s="2">
        <f t="shared" si="98"/>
        <v>-381868.90578405419</v>
      </c>
      <c r="BD902" s="292">
        <f t="shared" si="99"/>
        <v>1.7847836058240336</v>
      </c>
      <c r="BF902" s="170">
        <f t="shared" si="94"/>
        <v>415273.41354577569</v>
      </c>
      <c r="BG902" s="2">
        <f t="shared" si="95"/>
        <v>1082707.6962616751</v>
      </c>
      <c r="BI902">
        <f t="shared" si="96"/>
        <v>0</v>
      </c>
      <c r="BJ902" s="95">
        <f t="shared" si="97"/>
        <v>1</v>
      </c>
      <c r="BP902" s="217">
        <f t="shared" si="100"/>
        <v>1082707.6962616751</v>
      </c>
    </row>
    <row r="903" spans="1:68">
      <c r="A903" s="11">
        <v>897</v>
      </c>
      <c r="C903" s="27">
        <v>0.92498519483849506</v>
      </c>
      <c r="D903" s="27">
        <v>7.5014805161504952E-2</v>
      </c>
      <c r="E903" s="27">
        <v>0</v>
      </c>
      <c r="F903" s="27">
        <v>0.85679632898281632</v>
      </c>
      <c r="G903" s="27">
        <v>0.14320367101718368</v>
      </c>
      <c r="H903" s="27">
        <v>0</v>
      </c>
      <c r="I903" s="27">
        <v>0.75156241907006882</v>
      </c>
      <c r="J903" s="27">
        <v>0.24843758092993118</v>
      </c>
      <c r="K903" s="27">
        <v>0</v>
      </c>
      <c r="L903" s="27">
        <v>8.8444357041961075E-2</v>
      </c>
      <c r="M903" s="27">
        <v>0.50522396578466444</v>
      </c>
      <c r="N903" s="27">
        <v>0.40633167717337448</v>
      </c>
      <c r="O903" s="27">
        <v>-11.356204336469526</v>
      </c>
      <c r="P903" s="27">
        <v>3.5689895418444653E-2</v>
      </c>
      <c r="Q903" s="27">
        <v>5.2367272682164163E-5</v>
      </c>
      <c r="R903" s="27">
        <v>1.0992401082615748</v>
      </c>
      <c r="S903" s="154"/>
      <c r="T903">
        <v>0.91441337186345262</v>
      </c>
      <c r="U903">
        <v>2.2117976602365865</v>
      </c>
      <c r="V903">
        <v>3.1969532368246987</v>
      </c>
      <c r="W903">
        <v>1</v>
      </c>
      <c r="Y903" s="2">
        <v>611.83809847814155</v>
      </c>
      <c r="Z903" s="2">
        <v>3191.8091100263582</v>
      </c>
      <c r="AA903" s="2">
        <v>2155.9358832919334</v>
      </c>
      <c r="AB903" s="2">
        <v>1360.8778280963493</v>
      </c>
      <c r="AC903" s="2">
        <v>661.21895992623752</v>
      </c>
      <c r="AD903" s="2">
        <v>2039.7760516598316</v>
      </c>
      <c r="AE903" s="2">
        <v>552.59638405634701</v>
      </c>
      <c r="AF903" s="2">
        <v>912.49059911518395</v>
      </c>
      <c r="AG903" s="2">
        <v>105.99761007214163</v>
      </c>
      <c r="AH903" s="2">
        <v>524.04169268534781</v>
      </c>
      <c r="AI903" s="2">
        <v>503646.88013153162</v>
      </c>
      <c r="AJ903" s="2">
        <v>467931.26146861928</v>
      </c>
      <c r="AL903" s="27">
        <v>0.92895330106056107</v>
      </c>
      <c r="AM903" s="27">
        <v>0.91117520107819028</v>
      </c>
      <c r="AN903" s="27">
        <v>0.91375928487259062</v>
      </c>
      <c r="AO903" s="27">
        <v>0.88239562957213113</v>
      </c>
      <c r="AP903" s="27">
        <v>0.66824686172252445</v>
      </c>
      <c r="AQ903" s="27">
        <v>0.92895330106056107</v>
      </c>
      <c r="AR903" s="27">
        <v>0.91117520107819028</v>
      </c>
      <c r="AS903" s="27">
        <v>0.91375928487259062</v>
      </c>
      <c r="AT903" s="27">
        <v>0.88239562957213113</v>
      </c>
      <c r="AU903" s="27">
        <v>0.66824686172252445</v>
      </c>
      <c r="AW903" s="1">
        <v>13.741284968747864</v>
      </c>
      <c r="AX903" s="1">
        <v>15.667601975657604</v>
      </c>
      <c r="AY903" s="2">
        <v>1697836.0365332367</v>
      </c>
      <c r="AZ903" s="1">
        <v>15.362118440045403</v>
      </c>
      <c r="BA903" s="1">
        <v>17.251699557606173</v>
      </c>
      <c r="BB903" s="2">
        <v>1308165.3323348293</v>
      </c>
      <c r="BC903" s="2">
        <f t="shared" si="98"/>
        <v>-389670.70419840747</v>
      </c>
      <c r="BD903" s="292">
        <f t="shared" si="99"/>
        <v>1.620833471297539</v>
      </c>
      <c r="BF903" s="170">
        <f t="shared" ref="BF903:BF966" si="101">AW903*Threshold-AY903</f>
        <v>500769.55846642167</v>
      </c>
      <c r="BG903" s="2">
        <f t="shared" ref="BG903:BG966" si="102">AZ903*Threshold-BB903</f>
        <v>1149773.6180724355</v>
      </c>
      <c r="BI903">
        <f t="shared" ref="BI903:BI966" si="103">IF(MAX($BF903:$BG903)=$BF903,1,0)</f>
        <v>0</v>
      </c>
      <c r="BJ903" s="95">
        <f t="shared" ref="BJ903:BJ966" si="104">IF(MAX($BF903:$BG903)=$BF903,0,1)</f>
        <v>1</v>
      </c>
      <c r="BP903" s="217">
        <f t="shared" si="100"/>
        <v>1149773.6180724355</v>
      </c>
    </row>
    <row r="904" spans="1:68">
      <c r="A904" s="11">
        <v>898</v>
      </c>
      <c r="C904" s="27">
        <v>0.926031647613341</v>
      </c>
      <c r="D904" s="27">
        <v>7.3968352386659053E-2</v>
      </c>
      <c r="E904" s="27">
        <v>0</v>
      </c>
      <c r="F904" s="27">
        <v>0.86401432157729452</v>
      </c>
      <c r="G904" s="27">
        <v>0.13598567842270551</v>
      </c>
      <c r="H904" s="27">
        <v>0</v>
      </c>
      <c r="I904" s="27">
        <v>0.74878258100209638</v>
      </c>
      <c r="J904" s="27">
        <v>0.25121741899790362</v>
      </c>
      <c r="K904" s="27">
        <v>0</v>
      </c>
      <c r="L904" s="27">
        <v>7.513788444555225E-2</v>
      </c>
      <c r="M904" s="27">
        <v>0.51439024727067029</v>
      </c>
      <c r="N904" s="27">
        <v>0.41047186828377746</v>
      </c>
      <c r="O904" s="27">
        <v>-10.890609233857193</v>
      </c>
      <c r="P904" s="27">
        <v>3.4181727662353611E-2</v>
      </c>
      <c r="Q904" s="27">
        <v>7.8298925960720752E-5</v>
      </c>
      <c r="R904" s="27">
        <v>1.0400848281125918</v>
      </c>
      <c r="S904" s="154"/>
      <c r="T904">
        <v>0.9150978109627097</v>
      </c>
      <c r="U904">
        <v>2.2270353784930417</v>
      </c>
      <c r="V904">
        <v>2.8391545947906001</v>
      </c>
      <c r="W904">
        <v>1</v>
      </c>
      <c r="Y904" s="2">
        <v>296.56676776768342</v>
      </c>
      <c r="Z904" s="2">
        <v>16218.186081625012</v>
      </c>
      <c r="AA904" s="2">
        <v>1058.054742630047</v>
      </c>
      <c r="AB904" s="2">
        <v>1304.6666919976847</v>
      </c>
      <c r="AC904" s="2">
        <v>24.786951987306942</v>
      </c>
      <c r="AD904" s="2">
        <v>33.237593773363891</v>
      </c>
      <c r="AE904" s="2">
        <v>555.52971518073718</v>
      </c>
      <c r="AF904" s="2">
        <v>1163.2919564909478</v>
      </c>
      <c r="AG904" s="2">
        <v>68.115564544503044</v>
      </c>
      <c r="AH904" s="2">
        <v>402.72494495177631</v>
      </c>
      <c r="AI904" s="2">
        <v>333917.28580174432</v>
      </c>
      <c r="AJ904" s="2">
        <v>300243.64797657699</v>
      </c>
      <c r="AL904" s="27">
        <v>0.91576880069006306</v>
      </c>
      <c r="AM904" s="27">
        <v>0.91349512622298767</v>
      </c>
      <c r="AN904" s="27">
        <v>0.90814099998305176</v>
      </c>
      <c r="AO904" s="27">
        <v>0.88036792647730089</v>
      </c>
      <c r="AP904" s="27">
        <v>0.69914878197177166</v>
      </c>
      <c r="AQ904" s="27">
        <v>0.91576880069006306</v>
      </c>
      <c r="AR904" s="27">
        <v>0.91349512622298767</v>
      </c>
      <c r="AS904" s="27">
        <v>0.90814099998305176</v>
      </c>
      <c r="AT904" s="27">
        <v>0.88036792647730089</v>
      </c>
      <c r="AU904" s="27">
        <v>0.69914878197177166</v>
      </c>
      <c r="AW904" s="1">
        <v>13.964324390911866</v>
      </c>
      <c r="AX904" s="1">
        <v>15.985703946781456</v>
      </c>
      <c r="AY904" s="2">
        <v>1343900.479521944</v>
      </c>
      <c r="AZ904" s="1">
        <v>15.490970560572279</v>
      </c>
      <c r="BA904" s="1">
        <v>17.476438786396418</v>
      </c>
      <c r="BB904" s="2">
        <v>869849.765982782</v>
      </c>
      <c r="BC904" s="2">
        <f t="shared" ref="BC904:BC967" si="105">BB904-AY904</f>
        <v>-474050.71353916195</v>
      </c>
      <c r="BD904" s="292">
        <f t="shared" ref="BD904:BD967" si="106">AZ904-AW904</f>
        <v>1.5266461696604132</v>
      </c>
      <c r="BF904" s="170">
        <f t="shared" si="101"/>
        <v>890391.42302395473</v>
      </c>
      <c r="BG904" s="2">
        <f t="shared" si="102"/>
        <v>1608705.5237087826</v>
      </c>
      <c r="BI904">
        <f t="shared" si="103"/>
        <v>0</v>
      </c>
      <c r="BJ904" s="95">
        <f t="shared" si="104"/>
        <v>1</v>
      </c>
      <c r="BP904" s="217">
        <f t="shared" ref="BP904:BP967" si="107">MAX(BF904,BG904)</f>
        <v>1608705.5237087826</v>
      </c>
    </row>
    <row r="905" spans="1:68">
      <c r="A905" s="11">
        <v>899</v>
      </c>
      <c r="C905" s="27">
        <v>0.92215626766081804</v>
      </c>
      <c r="D905" s="27">
        <v>7.7843732339181959E-2</v>
      </c>
      <c r="E905" s="27">
        <v>0</v>
      </c>
      <c r="F905" s="27">
        <v>0.85202619406102342</v>
      </c>
      <c r="G905" s="27">
        <v>0.14797380593897658</v>
      </c>
      <c r="H905" s="27">
        <v>0</v>
      </c>
      <c r="I905" s="27">
        <v>0.75380009827208039</v>
      </c>
      <c r="J905" s="27">
        <v>0.24619990172791964</v>
      </c>
      <c r="K905" s="27">
        <v>0</v>
      </c>
      <c r="L905" s="27">
        <v>0.13139790621546499</v>
      </c>
      <c r="M905" s="27">
        <v>0.44757520087187908</v>
      </c>
      <c r="N905" s="27">
        <v>0.42102689291265594</v>
      </c>
      <c r="O905" s="27">
        <v>-11.081904268492405</v>
      </c>
      <c r="P905" s="27">
        <v>3.2540934965573712E-2</v>
      </c>
      <c r="Q905" s="27">
        <v>6.0359935060299436E-5</v>
      </c>
      <c r="R905" s="27">
        <v>1.0730598897793662</v>
      </c>
      <c r="S905" s="154"/>
      <c r="T905">
        <v>1.0095740449479949</v>
      </c>
      <c r="U905">
        <v>2.2420816278326114</v>
      </c>
      <c r="V905">
        <v>2.8628945482201069</v>
      </c>
      <c r="W905">
        <v>1</v>
      </c>
      <c r="Y905" s="2">
        <v>652.4349081898032</v>
      </c>
      <c r="Z905" s="2">
        <v>1737.7399844867593</v>
      </c>
      <c r="AA905" s="2">
        <v>446.80177086875995</v>
      </c>
      <c r="AB905" s="2">
        <v>4883.1453420554099</v>
      </c>
      <c r="AC905" s="2">
        <v>128.84324331860165</v>
      </c>
      <c r="AD905" s="2">
        <v>2682.366760930815</v>
      </c>
      <c r="AE905" s="2">
        <v>592.28616703821888</v>
      </c>
      <c r="AF905" s="2">
        <v>1047.5789003556135</v>
      </c>
      <c r="AG905" s="2">
        <v>143.57290708651334</v>
      </c>
      <c r="AH905" s="2">
        <v>378.91880669427508</v>
      </c>
      <c r="AI905" s="2">
        <v>423137.15306938236</v>
      </c>
      <c r="AJ905" s="2">
        <v>385163.97013797116</v>
      </c>
      <c r="AL905" s="27">
        <v>0.9180587983088333</v>
      </c>
      <c r="AM905" s="27">
        <v>0.91438016628759056</v>
      </c>
      <c r="AN905" s="27">
        <v>0.91026100242885399</v>
      </c>
      <c r="AO905" s="27">
        <v>0.8508807421894069</v>
      </c>
      <c r="AP905" s="27">
        <v>0.72943923526678034</v>
      </c>
      <c r="AQ905" s="27">
        <v>0.9180587983088333</v>
      </c>
      <c r="AR905" s="27">
        <v>0.91438016628759056</v>
      </c>
      <c r="AS905" s="27">
        <v>0.91026100242885399</v>
      </c>
      <c r="AT905" s="27">
        <v>0.8508807421894069</v>
      </c>
      <c r="AU905" s="27">
        <v>0.72943923526678034</v>
      </c>
      <c r="AW905" s="1">
        <v>13.346135612158854</v>
      </c>
      <c r="AX905" s="1">
        <v>15.203046226106217</v>
      </c>
      <c r="AY905" s="2">
        <v>1433007.4098556477</v>
      </c>
      <c r="AZ905" s="1">
        <v>15.22576162253451</v>
      </c>
      <c r="BA905" s="1">
        <v>17.080943654526461</v>
      </c>
      <c r="BB905" s="2">
        <v>1134190.610183147</v>
      </c>
      <c r="BC905" s="2">
        <f t="shared" si="105"/>
        <v>-298816.7996725007</v>
      </c>
      <c r="BD905" s="292">
        <f t="shared" si="106"/>
        <v>1.8796260103756559</v>
      </c>
      <c r="BF905" s="170">
        <f t="shared" si="101"/>
        <v>702374.28808976873</v>
      </c>
      <c r="BG905" s="2">
        <f t="shared" si="102"/>
        <v>1301931.2494223744</v>
      </c>
      <c r="BI905">
        <f t="shared" si="103"/>
        <v>0</v>
      </c>
      <c r="BJ905" s="95">
        <f t="shared" si="104"/>
        <v>1</v>
      </c>
      <c r="BP905" s="217">
        <f t="shared" si="107"/>
        <v>1301931.2494223744</v>
      </c>
    </row>
    <row r="906" spans="1:68">
      <c r="A906" s="11">
        <v>900</v>
      </c>
      <c r="C906" s="27">
        <v>0.92282258210703361</v>
      </c>
      <c r="D906" s="27">
        <v>7.7177417892966393E-2</v>
      </c>
      <c r="E906" s="27">
        <v>0</v>
      </c>
      <c r="F906" s="27">
        <v>0.85758093458365692</v>
      </c>
      <c r="G906" s="27">
        <v>0.14241906541634311</v>
      </c>
      <c r="H906" s="27">
        <v>0</v>
      </c>
      <c r="I906" s="27">
        <v>0.75121407140198015</v>
      </c>
      <c r="J906" s="27">
        <v>0.24878592859801982</v>
      </c>
      <c r="K906" s="27">
        <v>0</v>
      </c>
      <c r="L906" s="27">
        <v>7.4356742077231308E-2</v>
      </c>
      <c r="M906" s="27">
        <v>0.52103751770263174</v>
      </c>
      <c r="N906" s="27">
        <v>0.40460574022013696</v>
      </c>
      <c r="O906" s="27">
        <v>-10.875544151229793</v>
      </c>
      <c r="P906" s="27">
        <v>3.3579732422544022E-2</v>
      </c>
      <c r="Q906" s="27">
        <v>7.7502885543174397E-5</v>
      </c>
      <c r="R906" s="27">
        <v>1.0403614393213401</v>
      </c>
      <c r="S906" s="154"/>
      <c r="T906">
        <v>1.1607446353483919</v>
      </c>
      <c r="U906">
        <v>2.2552313118071048</v>
      </c>
      <c r="V906">
        <v>3.1914747784258393</v>
      </c>
      <c r="W906">
        <v>1</v>
      </c>
      <c r="Y906" s="2">
        <v>2235.9972310973994</v>
      </c>
      <c r="Z906" s="2">
        <v>5642.2005939258897</v>
      </c>
      <c r="AA906" s="2">
        <v>2755.6292410361471</v>
      </c>
      <c r="AB906" s="2">
        <v>1485.948958238705</v>
      </c>
      <c r="AC906" s="2">
        <v>28.004628188569828</v>
      </c>
      <c r="AD906" s="2">
        <v>2057.3116498768109</v>
      </c>
      <c r="AE906" s="2">
        <v>612.36937950879849</v>
      </c>
      <c r="AF906" s="2">
        <v>1073.5609099960343</v>
      </c>
      <c r="AG906" s="2">
        <v>93.057912359814466</v>
      </c>
      <c r="AH906" s="2">
        <v>514.41807338520573</v>
      </c>
      <c r="AI906" s="2">
        <v>353181.04897601454</v>
      </c>
      <c r="AJ906" s="2">
        <v>334969.91702602676</v>
      </c>
      <c r="AL906" s="27">
        <v>0.91333869451053895</v>
      </c>
      <c r="AM906" s="27">
        <v>0.91177933460391491</v>
      </c>
      <c r="AN906" s="27">
        <v>0.91418441251829141</v>
      </c>
      <c r="AO906" s="27">
        <v>0.82903356853502419</v>
      </c>
      <c r="AP906" s="27">
        <v>0.71227781347487296</v>
      </c>
      <c r="AQ906" s="27">
        <v>0.91333869451053895</v>
      </c>
      <c r="AR906" s="27">
        <v>0.91177933460391491</v>
      </c>
      <c r="AS906" s="27">
        <v>0.91418441251829141</v>
      </c>
      <c r="AT906" s="27">
        <v>0.82903356853502419</v>
      </c>
      <c r="AU906" s="27">
        <v>0.71227781347487296</v>
      </c>
      <c r="AW906" s="1">
        <v>13.0583670835837</v>
      </c>
      <c r="AX906" s="1">
        <v>15.132662198729856</v>
      </c>
      <c r="AY906" s="2">
        <v>1558044.9495469143</v>
      </c>
      <c r="AZ906" s="1">
        <v>15.355639450135261</v>
      </c>
      <c r="BA906" s="1">
        <v>17.368729595381769</v>
      </c>
      <c r="BB906" s="2">
        <v>1073015.050990175</v>
      </c>
      <c r="BC906" s="2">
        <f t="shared" si="105"/>
        <v>-485029.89855673932</v>
      </c>
      <c r="BD906" s="292">
        <f t="shared" si="106"/>
        <v>2.2972723665515602</v>
      </c>
      <c r="BF906" s="170">
        <f t="shared" si="101"/>
        <v>531293.78382647783</v>
      </c>
      <c r="BG906" s="2">
        <f t="shared" si="102"/>
        <v>1383887.2610314665</v>
      </c>
      <c r="BI906">
        <f t="shared" si="103"/>
        <v>0</v>
      </c>
      <c r="BJ906" s="95">
        <f t="shared" si="104"/>
        <v>1</v>
      </c>
      <c r="BP906" s="217">
        <f t="shared" si="107"/>
        <v>1383887.2610314665</v>
      </c>
    </row>
    <row r="907" spans="1:68">
      <c r="A907" s="11">
        <v>901</v>
      </c>
      <c r="C907" s="27">
        <v>0.921547647614534</v>
      </c>
      <c r="D907" s="27">
        <v>7.8452352385465995E-2</v>
      </c>
      <c r="E907" s="27">
        <v>0</v>
      </c>
      <c r="F907" s="27">
        <v>0.86528160172607593</v>
      </c>
      <c r="G907" s="27">
        <v>0.13471839827392404</v>
      </c>
      <c r="H907" s="27">
        <v>0</v>
      </c>
      <c r="I907" s="27">
        <v>0.7423259687778182</v>
      </c>
      <c r="J907" s="27">
        <v>0.2576740312221818</v>
      </c>
      <c r="K907" s="27">
        <v>0</v>
      </c>
      <c r="L907" s="27">
        <v>0.16590372706166528</v>
      </c>
      <c r="M907" s="27">
        <v>0.49185368145138164</v>
      </c>
      <c r="N907" s="27">
        <v>0.34224259148695307</v>
      </c>
      <c r="O907" s="27">
        <v>-11.201049170019658</v>
      </c>
      <c r="P907" s="27">
        <v>3.4985841495051025E-2</v>
      </c>
      <c r="Q907" s="27">
        <v>5.9374612186445035E-5</v>
      </c>
      <c r="R907" s="27">
        <v>1.0819011641944498</v>
      </c>
      <c r="S907" s="154"/>
      <c r="T907">
        <v>0.93013668648732561</v>
      </c>
      <c r="U907">
        <v>2.2821657828707824</v>
      </c>
      <c r="V907">
        <v>3.1252802073333124</v>
      </c>
      <c r="W907">
        <v>1</v>
      </c>
      <c r="Y907" s="2">
        <v>825.61041787098986</v>
      </c>
      <c r="Z907" s="2">
        <v>5440.9053567459359</v>
      </c>
      <c r="AA907" s="2">
        <v>3926.4792742562154</v>
      </c>
      <c r="AB907" s="2">
        <v>358.78494766956914</v>
      </c>
      <c r="AC907" s="2">
        <v>412.24778370240131</v>
      </c>
      <c r="AD907" s="2">
        <v>1156.7561227462813</v>
      </c>
      <c r="AE907" s="2">
        <v>568.11015233446381</v>
      </c>
      <c r="AF907" s="2">
        <v>999.6678972886026</v>
      </c>
      <c r="AG907" s="2">
        <v>146.63223961916015</v>
      </c>
      <c r="AH907" s="2">
        <v>558.13490739560154</v>
      </c>
      <c r="AI907" s="2">
        <v>412575.90440631425</v>
      </c>
      <c r="AJ907" s="2">
        <v>370502.64418361417</v>
      </c>
      <c r="AL907" s="27">
        <v>0.90855167411726823</v>
      </c>
      <c r="AM907" s="27">
        <v>0.91636775974557994</v>
      </c>
      <c r="AN907" s="27">
        <v>0.91273965194242068</v>
      </c>
      <c r="AO907" s="27">
        <v>0.89941798168082521</v>
      </c>
      <c r="AP907" s="27">
        <v>0.59642602169771008</v>
      </c>
      <c r="AQ907" s="27">
        <v>0.90855167411726823</v>
      </c>
      <c r="AR907" s="27">
        <v>0.91636775974557994</v>
      </c>
      <c r="AS907" s="27">
        <v>0.91273965194242068</v>
      </c>
      <c r="AT907" s="27">
        <v>0.89941798168082521</v>
      </c>
      <c r="AU907" s="27">
        <v>0.59642602169771008</v>
      </c>
      <c r="AW907" s="1">
        <v>13.370649401652587</v>
      </c>
      <c r="AX907" s="1">
        <v>15.783239166688576</v>
      </c>
      <c r="AY907" s="2">
        <v>1529178.649027155</v>
      </c>
      <c r="AZ907" s="1">
        <v>15.142421977351814</v>
      </c>
      <c r="BA907" s="1">
        <v>17.413427858939933</v>
      </c>
      <c r="BB907" s="2">
        <v>1142540.4418026845</v>
      </c>
      <c r="BC907" s="2">
        <f t="shared" si="105"/>
        <v>-386638.20722447056</v>
      </c>
      <c r="BD907" s="292">
        <f t="shared" si="106"/>
        <v>1.7717725756992273</v>
      </c>
      <c r="BF907" s="170">
        <f t="shared" si="101"/>
        <v>610125.25523725874</v>
      </c>
      <c r="BG907" s="2">
        <f t="shared" si="102"/>
        <v>1280247.074573606</v>
      </c>
      <c r="BI907">
        <f t="shared" si="103"/>
        <v>0</v>
      </c>
      <c r="BJ907" s="95">
        <f t="shared" si="104"/>
        <v>1</v>
      </c>
      <c r="BP907" s="217">
        <f t="shared" si="107"/>
        <v>1280247.074573606</v>
      </c>
    </row>
    <row r="908" spans="1:68">
      <c r="A908" s="11">
        <v>902</v>
      </c>
      <c r="C908" s="27">
        <v>0.92139614640806144</v>
      </c>
      <c r="D908" s="27">
        <v>7.8603853591938555E-2</v>
      </c>
      <c r="E908" s="27">
        <v>0</v>
      </c>
      <c r="F908" s="27">
        <v>0.86036220232774818</v>
      </c>
      <c r="G908" s="27">
        <v>0.13963779767225187</v>
      </c>
      <c r="H908" s="27">
        <v>0</v>
      </c>
      <c r="I908" s="27">
        <v>0.75105765903496913</v>
      </c>
      <c r="J908" s="27">
        <v>0.24894234096503084</v>
      </c>
      <c r="K908" s="27">
        <v>0</v>
      </c>
      <c r="L908" s="27">
        <v>0.16026867703058167</v>
      </c>
      <c r="M908" s="27">
        <v>0.43406213432496477</v>
      </c>
      <c r="N908" s="27">
        <v>0.40566918864445356</v>
      </c>
      <c r="O908" s="27">
        <v>-11.304922543291047</v>
      </c>
      <c r="P908" s="27">
        <v>3.4985807991517952E-2</v>
      </c>
      <c r="Q908" s="27">
        <v>5.3516603434063399E-5</v>
      </c>
      <c r="R908" s="27">
        <v>1.0846421969254021</v>
      </c>
      <c r="S908" s="154"/>
      <c r="T908">
        <v>0.91175958009098534</v>
      </c>
      <c r="U908">
        <v>2.2241698525213147</v>
      </c>
      <c r="V908">
        <v>2.8975436790942561</v>
      </c>
      <c r="W908">
        <v>1</v>
      </c>
      <c r="Y908" s="2">
        <v>425.67639565752819</v>
      </c>
      <c r="Z908" s="2">
        <v>981.11730375734419</v>
      </c>
      <c r="AA908" s="2">
        <v>3609.6718654733472</v>
      </c>
      <c r="AB908" s="2">
        <v>362.97049803672599</v>
      </c>
      <c r="AC908" s="2">
        <v>494.51626187339912</v>
      </c>
      <c r="AD908" s="2">
        <v>953.23310333092434</v>
      </c>
      <c r="AE908" s="2">
        <v>604.2633742740652</v>
      </c>
      <c r="AF908" s="2">
        <v>1072.9570517125171</v>
      </c>
      <c r="AG908" s="2">
        <v>91.956285140707493</v>
      </c>
      <c r="AH908" s="2">
        <v>262.413904722415</v>
      </c>
      <c r="AI908" s="2">
        <v>731210.96809252177</v>
      </c>
      <c r="AJ908" s="2">
        <v>695042.65113764873</v>
      </c>
      <c r="AL908" s="27">
        <v>0.9170667824310752</v>
      </c>
      <c r="AM908" s="27">
        <v>0.92060010756662847</v>
      </c>
      <c r="AN908" s="27">
        <v>0.90212137703024442</v>
      </c>
      <c r="AO908" s="27">
        <v>0.86194973876675141</v>
      </c>
      <c r="AP908" s="27">
        <v>0.72746600410690321</v>
      </c>
      <c r="AQ908" s="27">
        <v>0.9170667824310752</v>
      </c>
      <c r="AR908" s="27">
        <v>0.92060010756662847</v>
      </c>
      <c r="AS908" s="27">
        <v>0.90212137703024442</v>
      </c>
      <c r="AT908" s="27">
        <v>0.86194973876675141</v>
      </c>
      <c r="AU908" s="27">
        <v>0.72746600410690321</v>
      </c>
      <c r="AW908" s="1">
        <v>13.704361414359697</v>
      </c>
      <c r="AX908" s="1">
        <v>15.56523816664304</v>
      </c>
      <c r="AY908" s="2">
        <v>2415753.4266351829</v>
      </c>
      <c r="AZ908" s="1">
        <v>15.300513475112735</v>
      </c>
      <c r="BA908" s="1">
        <v>17.157359812100282</v>
      </c>
      <c r="BB908" s="2">
        <v>1849714.5853316858</v>
      </c>
      <c r="BC908" s="2">
        <f t="shared" si="105"/>
        <v>-566038.84130349709</v>
      </c>
      <c r="BD908" s="292">
        <f t="shared" si="106"/>
        <v>1.5961520607530382</v>
      </c>
      <c r="BF908" s="170">
        <f t="shared" si="101"/>
        <v>-223055.60033763153</v>
      </c>
      <c r="BG908" s="2">
        <f t="shared" si="102"/>
        <v>598367.57068635197</v>
      </c>
      <c r="BI908">
        <f t="shared" si="103"/>
        <v>0</v>
      </c>
      <c r="BJ908" s="95">
        <f t="shared" si="104"/>
        <v>1</v>
      </c>
      <c r="BP908" s="217">
        <f t="shared" si="107"/>
        <v>598367.57068635197</v>
      </c>
    </row>
    <row r="909" spans="1:68">
      <c r="A909" s="11">
        <v>903</v>
      </c>
      <c r="C909" s="27">
        <v>0.92390574449958818</v>
      </c>
      <c r="D909" s="27">
        <v>7.6094255500411809E-2</v>
      </c>
      <c r="E909" s="27">
        <v>0</v>
      </c>
      <c r="F909" s="27">
        <v>0.85779436039918289</v>
      </c>
      <c r="G909" s="27">
        <v>0.14220563960081711</v>
      </c>
      <c r="H909" s="27">
        <v>0</v>
      </c>
      <c r="I909" s="27">
        <v>0.7492759925386816</v>
      </c>
      <c r="J909" s="27">
        <v>0.2507240074613184</v>
      </c>
      <c r="K909" s="27">
        <v>0</v>
      </c>
      <c r="L909" s="27">
        <v>0.11547286421310576</v>
      </c>
      <c r="M909" s="27">
        <v>0.48844445383360002</v>
      </c>
      <c r="N909" s="27">
        <v>0.39608268195329421</v>
      </c>
      <c r="O909" s="27">
        <v>-11.755612199290811</v>
      </c>
      <c r="P909" s="27">
        <v>3.9446616399785209E-2</v>
      </c>
      <c r="Q909" s="27">
        <v>4.1126646611296142E-5</v>
      </c>
      <c r="R909" s="27">
        <v>1.1152222688737132</v>
      </c>
      <c r="S909" s="154"/>
      <c r="T909">
        <v>0.96981518683536538</v>
      </c>
      <c r="U909">
        <v>2.293769903834225</v>
      </c>
      <c r="V909">
        <v>2.7933656301894874</v>
      </c>
      <c r="W909">
        <v>1</v>
      </c>
      <c r="Y909" s="2">
        <v>161.92818089962549</v>
      </c>
      <c r="Z909" s="2">
        <v>529.36398218000454</v>
      </c>
      <c r="AA909" s="2">
        <v>1223.8063423286646</v>
      </c>
      <c r="AB909" s="2">
        <v>1180.2286996481735</v>
      </c>
      <c r="AC909" s="2">
        <v>1508.0858535528439</v>
      </c>
      <c r="AD909" s="2">
        <v>2832.8795703660321</v>
      </c>
      <c r="AE909" s="2">
        <v>607.92202302048133</v>
      </c>
      <c r="AF909" s="2">
        <v>854.27315704314299</v>
      </c>
      <c r="AG909" s="2">
        <v>94.658693220075349</v>
      </c>
      <c r="AH909" s="2">
        <v>209.98407003739712</v>
      </c>
      <c r="AI909" s="2">
        <v>401292.16245097027</v>
      </c>
      <c r="AJ909" s="2">
        <v>356124.41943842091</v>
      </c>
      <c r="AL909" s="27">
        <v>0.92683378784327153</v>
      </c>
      <c r="AM909" s="27">
        <v>0.91919103332064811</v>
      </c>
      <c r="AN909" s="27">
        <v>0.91334315170230973</v>
      </c>
      <c r="AO909" s="27">
        <v>0.86108880738307059</v>
      </c>
      <c r="AP909" s="27">
        <v>0.7687595870226015</v>
      </c>
      <c r="AQ909" s="27">
        <v>0.92683378784327153</v>
      </c>
      <c r="AR909" s="27">
        <v>0.91919103332064811</v>
      </c>
      <c r="AS909" s="27">
        <v>0.91334315170230973</v>
      </c>
      <c r="AT909" s="27">
        <v>0.86108880738307059</v>
      </c>
      <c r="AU909" s="27">
        <v>0.7687595870226015</v>
      </c>
      <c r="AW909" s="1">
        <v>13.897116129283814</v>
      </c>
      <c r="AX909" s="1">
        <v>15.580804119608056</v>
      </c>
      <c r="AY909" s="2">
        <v>1360057.9834552323</v>
      </c>
      <c r="AZ909" s="1">
        <v>15.595162013744794</v>
      </c>
      <c r="BA909" s="1">
        <v>17.288058449237329</v>
      </c>
      <c r="BB909" s="2">
        <v>1044791.9895423797</v>
      </c>
      <c r="BC909" s="2">
        <f t="shared" si="105"/>
        <v>-315265.9939128526</v>
      </c>
      <c r="BD909" s="292">
        <f t="shared" si="106"/>
        <v>1.6980458844609796</v>
      </c>
      <c r="BF909" s="170">
        <f t="shared" si="101"/>
        <v>863480.59723017784</v>
      </c>
      <c r="BG909" s="2">
        <f t="shared" si="102"/>
        <v>1450433.9326567871</v>
      </c>
      <c r="BI909">
        <f t="shared" si="103"/>
        <v>0</v>
      </c>
      <c r="BJ909" s="95">
        <f t="shared" si="104"/>
        <v>1</v>
      </c>
      <c r="BP909" s="217">
        <f t="shared" si="107"/>
        <v>1450433.9326567871</v>
      </c>
    </row>
    <row r="910" spans="1:68">
      <c r="A910" s="11">
        <v>904</v>
      </c>
      <c r="C910" s="27">
        <v>0.92105549879424342</v>
      </c>
      <c r="D910" s="27">
        <v>7.8944501205756579E-2</v>
      </c>
      <c r="E910" s="27">
        <v>0</v>
      </c>
      <c r="F910" s="27">
        <v>0.86039242273785521</v>
      </c>
      <c r="G910" s="27">
        <v>0.13960757726214482</v>
      </c>
      <c r="H910" s="27">
        <v>0</v>
      </c>
      <c r="I910" s="27">
        <v>0.74930959040120926</v>
      </c>
      <c r="J910" s="27">
        <v>0.25069040959879074</v>
      </c>
      <c r="K910" s="27">
        <v>0</v>
      </c>
      <c r="L910" s="27">
        <v>9.3816659649386458E-2</v>
      </c>
      <c r="M910" s="27">
        <v>0.57431173988852513</v>
      </c>
      <c r="N910" s="27">
        <v>0.33187160046208841</v>
      </c>
      <c r="O910" s="27">
        <v>-11.090566754983485</v>
      </c>
      <c r="P910" s="27">
        <v>3.4955750301865304E-2</v>
      </c>
      <c r="Q910" s="27">
        <v>6.62268066758221E-5</v>
      </c>
      <c r="R910" s="27">
        <v>1.05965031997862</v>
      </c>
      <c r="S910" s="154"/>
      <c r="T910">
        <v>0.93646003869137928</v>
      </c>
      <c r="U910">
        <v>2.2709732510725238</v>
      </c>
      <c r="V910">
        <v>2.8449742391107602</v>
      </c>
      <c r="W910">
        <v>1</v>
      </c>
      <c r="Y910" s="2">
        <v>415.72542248853841</v>
      </c>
      <c r="Z910" s="2">
        <v>2573.315268343059</v>
      </c>
      <c r="AA910" s="2">
        <v>1456.9759809433885</v>
      </c>
      <c r="AB910" s="2">
        <v>1854.0935199781491</v>
      </c>
      <c r="AC910" s="2">
        <v>720.60544251321903</v>
      </c>
      <c r="AD910" s="2">
        <v>3947.912142823734</v>
      </c>
      <c r="AE910" s="2">
        <v>552.68890983187453</v>
      </c>
      <c r="AF910" s="2">
        <v>1186.4091359332526</v>
      </c>
      <c r="AG910" s="2">
        <v>175.78890703683945</v>
      </c>
      <c r="AH910" s="2">
        <v>341.7412699964807</v>
      </c>
      <c r="AI910" s="2">
        <v>418251.72927431203</v>
      </c>
      <c r="AJ910" s="2">
        <v>384397.55914484442</v>
      </c>
      <c r="AL910" s="27">
        <v>0.9232507420510061</v>
      </c>
      <c r="AM910" s="27">
        <v>0.91688483907880036</v>
      </c>
      <c r="AN910" s="27">
        <v>0.91055203578477673</v>
      </c>
      <c r="AO910" s="27">
        <v>0.87716485509657272</v>
      </c>
      <c r="AP910" s="27">
        <v>0.74019400188070006</v>
      </c>
      <c r="AQ910" s="27">
        <v>0.9232507420510061</v>
      </c>
      <c r="AR910" s="27">
        <v>0.91688483907880036</v>
      </c>
      <c r="AS910" s="27">
        <v>0.91055203578477673</v>
      </c>
      <c r="AT910" s="27">
        <v>0.87716485509657272</v>
      </c>
      <c r="AU910" s="27">
        <v>0.74019400188070006</v>
      </c>
      <c r="AW910" s="1">
        <v>14.173450342973419</v>
      </c>
      <c r="AX910" s="1">
        <v>16.108236609027632</v>
      </c>
      <c r="AY910" s="2">
        <v>1733344.7561707092</v>
      </c>
      <c r="AZ910" s="1">
        <v>15.721151689522369</v>
      </c>
      <c r="BA910" s="1">
        <v>17.616144678256905</v>
      </c>
      <c r="BB910" s="2">
        <v>1355831.7904486849</v>
      </c>
      <c r="BC910" s="2">
        <f t="shared" si="105"/>
        <v>-377512.96572202421</v>
      </c>
      <c r="BD910" s="292">
        <f t="shared" si="106"/>
        <v>1.5477013465489495</v>
      </c>
      <c r="BF910" s="170">
        <f t="shared" si="101"/>
        <v>534407.29870503815</v>
      </c>
      <c r="BG910" s="2">
        <f t="shared" si="102"/>
        <v>1159552.4798748943</v>
      </c>
      <c r="BI910">
        <f t="shared" si="103"/>
        <v>0</v>
      </c>
      <c r="BJ910" s="95">
        <f t="shared" si="104"/>
        <v>1</v>
      </c>
      <c r="BP910" s="217">
        <f t="shared" si="107"/>
        <v>1159552.4798748943</v>
      </c>
    </row>
    <row r="911" spans="1:68">
      <c r="A911" s="11">
        <v>905</v>
      </c>
      <c r="C911" s="27">
        <v>0.92374970088851016</v>
      </c>
      <c r="D911" s="27">
        <v>7.625029911148988E-2</v>
      </c>
      <c r="E911" s="27">
        <v>0</v>
      </c>
      <c r="F911" s="27">
        <v>0.85865116417566378</v>
      </c>
      <c r="G911" s="27">
        <v>0.14134883582433627</v>
      </c>
      <c r="H911" s="27">
        <v>0</v>
      </c>
      <c r="I911" s="27">
        <v>0.74661419409786223</v>
      </c>
      <c r="J911" s="27">
        <v>0.25338580590213777</v>
      </c>
      <c r="K911" s="27">
        <v>0</v>
      </c>
      <c r="L911" s="27">
        <v>0.21832446427082308</v>
      </c>
      <c r="M911" s="27">
        <v>0.47458474210099671</v>
      </c>
      <c r="N911" s="27">
        <v>0.30709079362818015</v>
      </c>
      <c r="O911" s="27">
        <v>-11.062917875591733</v>
      </c>
      <c r="P911" s="27">
        <v>3.4798304472909353E-2</v>
      </c>
      <c r="Q911" s="27">
        <v>6.7634720647301961E-5</v>
      </c>
      <c r="R911" s="27">
        <v>1.055292541492497</v>
      </c>
      <c r="S911" s="154"/>
      <c r="T911">
        <v>0.93657791539500046</v>
      </c>
      <c r="U911">
        <v>2.1923679331090948</v>
      </c>
      <c r="V911">
        <v>2.9568125113198658</v>
      </c>
      <c r="W911">
        <v>1</v>
      </c>
      <c r="Y911" s="2">
        <v>547.64435138755937</v>
      </c>
      <c r="Z911" s="2">
        <v>2069.3862202861269</v>
      </c>
      <c r="AA911" s="2">
        <v>3791.1894986907951</v>
      </c>
      <c r="AB911" s="2">
        <v>1026.1713315694344</v>
      </c>
      <c r="AC911" s="2">
        <v>858.7466900614686</v>
      </c>
      <c r="AD911" s="2">
        <v>991.7215892522961</v>
      </c>
      <c r="AE911" s="2">
        <v>534.47989918324492</v>
      </c>
      <c r="AF911" s="2">
        <v>1244.6641325104188</v>
      </c>
      <c r="AG911" s="2">
        <v>67.289384120914818</v>
      </c>
      <c r="AH911" s="2">
        <v>454.67776310153425</v>
      </c>
      <c r="AI911" s="2">
        <v>471487.02637653687</v>
      </c>
      <c r="AJ911" s="2">
        <v>430152.83288341865</v>
      </c>
      <c r="AL911" s="27">
        <v>0.91541021242408027</v>
      </c>
      <c r="AM911" s="27">
        <v>0.91640819531526851</v>
      </c>
      <c r="AN911" s="27">
        <v>0.9067630811249825</v>
      </c>
      <c r="AO911" s="27">
        <v>0.85430397137945291</v>
      </c>
      <c r="AP911" s="27">
        <v>0.69605434031460889</v>
      </c>
      <c r="AQ911" s="27">
        <v>0.91541021242408027</v>
      </c>
      <c r="AR911" s="27">
        <v>0.91640819531526851</v>
      </c>
      <c r="AS911" s="27">
        <v>0.9067630811249825</v>
      </c>
      <c r="AT911" s="27">
        <v>0.85430397137945291</v>
      </c>
      <c r="AU911" s="27">
        <v>0.69605434031460889</v>
      </c>
      <c r="AW911" s="1">
        <v>13.99389488169226</v>
      </c>
      <c r="AX911" s="1">
        <v>16.134841178516705</v>
      </c>
      <c r="AY911" s="2">
        <v>1815579.3519620236</v>
      </c>
      <c r="AZ911" s="1">
        <v>15.539258176048712</v>
      </c>
      <c r="BA911" s="1">
        <v>17.608839118111842</v>
      </c>
      <c r="BB911" s="2">
        <v>1404223.1982871031</v>
      </c>
      <c r="BC911" s="2">
        <f t="shared" si="105"/>
        <v>-411356.15367492056</v>
      </c>
      <c r="BD911" s="292">
        <f t="shared" si="106"/>
        <v>1.5453632943564521</v>
      </c>
      <c r="BF911" s="170">
        <f t="shared" si="101"/>
        <v>423443.82910873811</v>
      </c>
      <c r="BG911" s="2">
        <f t="shared" si="102"/>
        <v>1082058.1098806907</v>
      </c>
      <c r="BI911">
        <f t="shared" si="103"/>
        <v>0</v>
      </c>
      <c r="BJ911" s="95">
        <f t="shared" si="104"/>
        <v>1</v>
      </c>
      <c r="BP911" s="217">
        <f t="shared" si="107"/>
        <v>1082058.1098806907</v>
      </c>
    </row>
    <row r="912" spans="1:68">
      <c r="A912" s="11">
        <v>906</v>
      </c>
      <c r="C912" s="27">
        <v>0.92523566191717621</v>
      </c>
      <c r="D912" s="27">
        <v>7.4764338082823761E-2</v>
      </c>
      <c r="E912" s="27">
        <v>0</v>
      </c>
      <c r="F912" s="27">
        <v>0.85931901007598932</v>
      </c>
      <c r="G912" s="27">
        <v>0.14068098992401074</v>
      </c>
      <c r="H912" s="27">
        <v>0</v>
      </c>
      <c r="I912" s="27">
        <v>0.75458242333191949</v>
      </c>
      <c r="J912" s="27">
        <v>0.24541757666808051</v>
      </c>
      <c r="K912" s="27">
        <v>0</v>
      </c>
      <c r="L912" s="27">
        <v>1.9571042144487683E-2</v>
      </c>
      <c r="M912" s="27">
        <v>0.53527151449917243</v>
      </c>
      <c r="N912" s="27">
        <v>0.44515744335633989</v>
      </c>
      <c r="O912" s="27">
        <v>-11.200060728090673</v>
      </c>
      <c r="P912" s="27">
        <v>3.6344222157950107E-2</v>
      </c>
      <c r="Q912" s="27">
        <v>6.2922710797805954E-5</v>
      </c>
      <c r="R912" s="27">
        <v>1.0653682927995418</v>
      </c>
      <c r="S912" s="154"/>
      <c r="T912">
        <v>0.98819044403221323</v>
      </c>
      <c r="U912">
        <v>2.2514558729259999</v>
      </c>
      <c r="V912">
        <v>3.0906539484169842</v>
      </c>
      <c r="W912">
        <v>1</v>
      </c>
      <c r="Y912" s="2">
        <v>317.60886171088276</v>
      </c>
      <c r="Z912" s="2">
        <v>383.02787673793745</v>
      </c>
      <c r="AA912" s="2">
        <v>873.71487570267379</v>
      </c>
      <c r="AB912" s="2">
        <v>5642.5496210196707</v>
      </c>
      <c r="AC912" s="2">
        <v>14.313089175933362</v>
      </c>
      <c r="AD912" s="2">
        <v>1044.7190099070467</v>
      </c>
      <c r="AE912" s="2">
        <v>561.5651455464382</v>
      </c>
      <c r="AF912" s="2">
        <v>1475.3621342576212</v>
      </c>
      <c r="AG912" s="2">
        <v>92.97945397553174</v>
      </c>
      <c r="AH912" s="2">
        <v>205.11054121159259</v>
      </c>
      <c r="AI912" s="2">
        <v>514710.12169426825</v>
      </c>
      <c r="AJ912" s="2">
        <v>479655.02032143826</v>
      </c>
      <c r="AL912" s="27">
        <v>0.92073981054101894</v>
      </c>
      <c r="AM912" s="27">
        <v>0.90884188470339233</v>
      </c>
      <c r="AN912" s="27">
        <v>0.91225572221088869</v>
      </c>
      <c r="AO912" s="27">
        <v>0.85754338845001732</v>
      </c>
      <c r="AP912" s="27">
        <v>0.68827270615026381</v>
      </c>
      <c r="AQ912" s="27">
        <v>0.92073981054101894</v>
      </c>
      <c r="AR912" s="27">
        <v>0.90884188470339233</v>
      </c>
      <c r="AS912" s="27">
        <v>0.91225572221088869</v>
      </c>
      <c r="AT912" s="27">
        <v>0.85754338845001732</v>
      </c>
      <c r="AU912" s="27">
        <v>0.68827270615026381</v>
      </c>
      <c r="AW912" s="1">
        <v>13.544271340571299</v>
      </c>
      <c r="AX912" s="1">
        <v>15.556328263500243</v>
      </c>
      <c r="AY912" s="2">
        <v>1828445.6976501259</v>
      </c>
      <c r="AZ912" s="1">
        <v>15.384079344149868</v>
      </c>
      <c r="BA912" s="1">
        <v>17.350796560834095</v>
      </c>
      <c r="BB912" s="2">
        <v>1420093.2939473556</v>
      </c>
      <c r="BC912" s="2">
        <f t="shared" si="105"/>
        <v>-408352.40370277036</v>
      </c>
      <c r="BD912" s="292">
        <f t="shared" si="106"/>
        <v>1.8398080035785682</v>
      </c>
      <c r="BF912" s="170">
        <f t="shared" si="101"/>
        <v>338637.71684128209</v>
      </c>
      <c r="BG912" s="2">
        <f t="shared" si="102"/>
        <v>1041359.4011166233</v>
      </c>
      <c r="BI912">
        <f t="shared" si="103"/>
        <v>0</v>
      </c>
      <c r="BJ912" s="95">
        <f t="shared" si="104"/>
        <v>1</v>
      </c>
      <c r="BP912" s="217">
        <f t="shared" si="107"/>
        <v>1041359.4011166233</v>
      </c>
    </row>
    <row r="913" spans="1:68">
      <c r="A913" s="11">
        <v>907</v>
      </c>
      <c r="C913" s="27">
        <v>0.92137647611482743</v>
      </c>
      <c r="D913" s="27">
        <v>7.8623523885172575E-2</v>
      </c>
      <c r="E913" s="27">
        <v>0</v>
      </c>
      <c r="F913" s="27">
        <v>0.85269123754200649</v>
      </c>
      <c r="G913" s="27">
        <v>0.14730876245799351</v>
      </c>
      <c r="H913" s="27">
        <v>0</v>
      </c>
      <c r="I913" s="27">
        <v>0.75323209215522147</v>
      </c>
      <c r="J913" s="27">
        <v>0.24676790784477851</v>
      </c>
      <c r="K913" s="27">
        <v>0</v>
      </c>
      <c r="L913" s="27">
        <v>7.7467843392953539E-2</v>
      </c>
      <c r="M913" s="27">
        <v>0.47933596608662271</v>
      </c>
      <c r="N913" s="27">
        <v>0.44319619052042369</v>
      </c>
      <c r="O913" s="27">
        <v>-11.065741709350741</v>
      </c>
      <c r="P913" s="27">
        <v>3.3346528396201211E-2</v>
      </c>
      <c r="Q913" s="27">
        <v>6.3454495407329505E-5</v>
      </c>
      <c r="R913" s="27">
        <v>1.0695446498043926</v>
      </c>
      <c r="S913" s="154"/>
      <c r="T913">
        <v>0.90017971965834531</v>
      </c>
      <c r="U913">
        <v>2.121320929500714</v>
      </c>
      <c r="V913">
        <v>2.9173708401656882</v>
      </c>
      <c r="W913">
        <v>1</v>
      </c>
      <c r="Y913" s="2">
        <v>746.98278429675781</v>
      </c>
      <c r="Z913" s="2">
        <v>4865.4015387303498</v>
      </c>
      <c r="AA913" s="2">
        <v>4152.4697179750474</v>
      </c>
      <c r="AB913" s="2">
        <v>9260.2627976365347</v>
      </c>
      <c r="AC913" s="2">
        <v>800.96372485083077</v>
      </c>
      <c r="AD913" s="2">
        <v>240.68793684808483</v>
      </c>
      <c r="AE913" s="2">
        <v>600.56157659676569</v>
      </c>
      <c r="AF913" s="2">
        <v>1231.7501033844133</v>
      </c>
      <c r="AG913" s="2">
        <v>93.969729818650563</v>
      </c>
      <c r="AH913" s="2">
        <v>388.87506851109617</v>
      </c>
      <c r="AI913" s="2">
        <v>823558.69329991029</v>
      </c>
      <c r="AJ913" s="2">
        <v>790887.02954239934</v>
      </c>
      <c r="AL913" s="27">
        <v>0.92264111609598454</v>
      </c>
      <c r="AM913" s="27">
        <v>0.91673111401434859</v>
      </c>
      <c r="AN913" s="27">
        <v>0.91310300583806203</v>
      </c>
      <c r="AO913" s="27">
        <v>0.90809185346282795</v>
      </c>
      <c r="AP913" s="27">
        <v>0.74499453330291421</v>
      </c>
      <c r="AQ913" s="27">
        <v>0.92264111609598454</v>
      </c>
      <c r="AR913" s="27">
        <v>0.91673111401434859</v>
      </c>
      <c r="AS913" s="27">
        <v>0.91310300583806203</v>
      </c>
      <c r="AT913" s="27">
        <v>0.90809185346282795</v>
      </c>
      <c r="AU913" s="27">
        <v>0.74499453330291421</v>
      </c>
      <c r="AW913" s="1">
        <v>13.823873739496161</v>
      </c>
      <c r="AX913" s="1">
        <v>15.548757218923338</v>
      </c>
      <c r="AY913" s="2">
        <v>2796207.3943102174</v>
      </c>
      <c r="AZ913" s="1">
        <v>15.310643389314968</v>
      </c>
      <c r="BA913" s="1">
        <v>17.051397269585991</v>
      </c>
      <c r="BB913" s="2">
        <v>2279187.1136987489</v>
      </c>
      <c r="BC913" s="2">
        <f t="shared" si="105"/>
        <v>-517020.28061146848</v>
      </c>
      <c r="BD913" s="292">
        <f t="shared" si="106"/>
        <v>1.4867696498188074</v>
      </c>
      <c r="BF913" s="170">
        <f t="shared" si="101"/>
        <v>-584387.5959908315</v>
      </c>
      <c r="BG913" s="2">
        <f t="shared" si="102"/>
        <v>170515.82859164616</v>
      </c>
      <c r="BI913">
        <f t="shared" si="103"/>
        <v>0</v>
      </c>
      <c r="BJ913" s="95">
        <f t="shared" si="104"/>
        <v>1</v>
      </c>
      <c r="BP913" s="217">
        <f t="shared" si="107"/>
        <v>170515.82859164616</v>
      </c>
    </row>
    <row r="914" spans="1:68">
      <c r="A914" s="11">
        <v>908</v>
      </c>
      <c r="C914" s="27">
        <v>0.92345288780444124</v>
      </c>
      <c r="D914" s="27">
        <v>7.6547112195558806E-2</v>
      </c>
      <c r="E914" s="27">
        <v>0</v>
      </c>
      <c r="F914" s="27">
        <v>0.85547702044279272</v>
      </c>
      <c r="G914" s="27">
        <v>0.14452297955720728</v>
      </c>
      <c r="H914" s="27">
        <v>0</v>
      </c>
      <c r="I914" s="27">
        <v>0.75448526500640711</v>
      </c>
      <c r="J914" s="27">
        <v>0.24551473499359286</v>
      </c>
      <c r="K914" s="27">
        <v>0</v>
      </c>
      <c r="L914" s="27">
        <v>7.4590445581957376E-2</v>
      </c>
      <c r="M914" s="27">
        <v>0.54479862811955937</v>
      </c>
      <c r="N914" s="27">
        <v>0.38061092629848325</v>
      </c>
      <c r="O914" s="27">
        <v>-11.049740382664384</v>
      </c>
      <c r="P914" s="27">
        <v>3.3580178752507919E-2</v>
      </c>
      <c r="Q914" s="27">
        <v>6.511387648198493E-5</v>
      </c>
      <c r="R914" s="27">
        <v>1.0554244919615881</v>
      </c>
      <c r="S914" s="154"/>
      <c r="T914">
        <v>0.80902880891303763</v>
      </c>
      <c r="U914">
        <v>2.24188800267601</v>
      </c>
      <c r="V914">
        <v>3.084992913103207</v>
      </c>
      <c r="W914">
        <v>1</v>
      </c>
      <c r="Y914" s="2">
        <v>1055.0390372528075</v>
      </c>
      <c r="Z914" s="2">
        <v>5487.265564257239</v>
      </c>
      <c r="AA914" s="2">
        <v>640.02551965488556</v>
      </c>
      <c r="AB914" s="2">
        <v>6067.7868370549004</v>
      </c>
      <c r="AC914" s="2">
        <v>281.56320166178762</v>
      </c>
      <c r="AD914" s="2">
        <v>111.57046428451397</v>
      </c>
      <c r="AE914" s="2">
        <v>578.84805186474387</v>
      </c>
      <c r="AF914" s="2">
        <v>753.0930418068823</v>
      </c>
      <c r="AG914" s="2">
        <v>128.93003061315895</v>
      </c>
      <c r="AH914" s="2">
        <v>327.56684587194502</v>
      </c>
      <c r="AI914" s="2">
        <v>387151.50747705874</v>
      </c>
      <c r="AJ914" s="2">
        <v>349225.37447772443</v>
      </c>
      <c r="AL914" s="27">
        <v>0.92098233073954239</v>
      </c>
      <c r="AM914" s="27">
        <v>0.91508022075448592</v>
      </c>
      <c r="AN914" s="27">
        <v>0.89985973709097111</v>
      </c>
      <c r="AO914" s="27">
        <v>0.84676017328791731</v>
      </c>
      <c r="AP914" s="27">
        <v>0.76508788747793788</v>
      </c>
      <c r="AQ914" s="27">
        <v>0.92098233073954239</v>
      </c>
      <c r="AR914" s="27">
        <v>0.91508022075448592</v>
      </c>
      <c r="AS914" s="27">
        <v>0.89985973709097111</v>
      </c>
      <c r="AT914" s="27">
        <v>0.84676017328791731</v>
      </c>
      <c r="AU914" s="27">
        <v>0.76508788747793788</v>
      </c>
      <c r="AW914" s="1">
        <v>14.509244557008181</v>
      </c>
      <c r="AX914" s="1">
        <v>16.348606503127911</v>
      </c>
      <c r="AY914" s="2">
        <v>1436370.3640179292</v>
      </c>
      <c r="AZ914" s="1">
        <v>15.644873577959435</v>
      </c>
      <c r="BA914" s="1">
        <v>17.502065577499721</v>
      </c>
      <c r="BB914" s="2">
        <v>1167013.8070678522</v>
      </c>
      <c r="BC914" s="2">
        <f t="shared" si="105"/>
        <v>-269356.55695007695</v>
      </c>
      <c r="BD914" s="292">
        <f t="shared" si="106"/>
        <v>1.1356290209512547</v>
      </c>
      <c r="BF914" s="170">
        <f t="shared" si="101"/>
        <v>885108.76510337996</v>
      </c>
      <c r="BG914" s="2">
        <f t="shared" si="102"/>
        <v>1336165.9654056577</v>
      </c>
      <c r="BI914">
        <f t="shared" si="103"/>
        <v>0</v>
      </c>
      <c r="BJ914" s="95">
        <f t="shared" si="104"/>
        <v>1</v>
      </c>
      <c r="BP914" s="217">
        <f t="shared" si="107"/>
        <v>1336165.9654056577</v>
      </c>
    </row>
    <row r="915" spans="1:68">
      <c r="A915" s="11">
        <v>909</v>
      </c>
      <c r="C915" s="27">
        <v>0.92185975259302111</v>
      </c>
      <c r="D915" s="27">
        <v>7.8140247406978891E-2</v>
      </c>
      <c r="E915" s="27">
        <v>0</v>
      </c>
      <c r="F915" s="27">
        <v>0.85880265259580024</v>
      </c>
      <c r="G915" s="27">
        <v>0.14119734740419979</v>
      </c>
      <c r="H915" s="27">
        <v>0</v>
      </c>
      <c r="I915" s="27">
        <v>0.75531222714244861</v>
      </c>
      <c r="J915" s="27">
        <v>0.24468777285755142</v>
      </c>
      <c r="K915" s="27">
        <v>0</v>
      </c>
      <c r="L915" s="27">
        <v>0.17997409812251369</v>
      </c>
      <c r="M915" s="27">
        <v>0.48993022949409049</v>
      </c>
      <c r="N915" s="27">
        <v>0.33009567238339582</v>
      </c>
      <c r="O915" s="27">
        <v>-11.319447281825289</v>
      </c>
      <c r="P915" s="27">
        <v>3.4406588839805061E-2</v>
      </c>
      <c r="Q915" s="27">
        <v>5.1477252312004293E-5</v>
      </c>
      <c r="R915" s="27">
        <v>1.098028507849212</v>
      </c>
      <c r="S915" s="154"/>
      <c r="T915">
        <v>1.1060128286939941</v>
      </c>
      <c r="U915">
        <v>2.1964103928526404</v>
      </c>
      <c r="V915">
        <v>3.0235527989509916</v>
      </c>
      <c r="W915">
        <v>1</v>
      </c>
      <c r="Y915" s="2">
        <v>308.25518435207306</v>
      </c>
      <c r="Z915" s="2">
        <v>5141.5183305353839</v>
      </c>
      <c r="AA915" s="2">
        <v>86.537820779092343</v>
      </c>
      <c r="AB915" s="2">
        <v>1768.6533465772679</v>
      </c>
      <c r="AC915" s="2">
        <v>2771.5940214376728</v>
      </c>
      <c r="AD915" s="2">
        <v>429.62308460342143</v>
      </c>
      <c r="AE915" s="2">
        <v>510.29639476775054</v>
      </c>
      <c r="AF915" s="2">
        <v>1109.50743331284</v>
      </c>
      <c r="AG915" s="2">
        <v>105.04032792584255</v>
      </c>
      <c r="AH915" s="2">
        <v>137.24790389351969</v>
      </c>
      <c r="AI915" s="2">
        <v>451552.41073712829</v>
      </c>
      <c r="AJ915" s="2">
        <v>431710.89699760475</v>
      </c>
      <c r="AL915" s="27">
        <v>0.91976421108923112</v>
      </c>
      <c r="AM915" s="27">
        <v>0.91327195236103698</v>
      </c>
      <c r="AN915" s="27">
        <v>0.90232922281781947</v>
      </c>
      <c r="AO915" s="27">
        <v>0.83873727099537732</v>
      </c>
      <c r="AP915" s="27">
        <v>0.78529141426996518</v>
      </c>
      <c r="AQ915" s="27">
        <v>0.91976421108923112</v>
      </c>
      <c r="AR915" s="27">
        <v>0.91327195236103698</v>
      </c>
      <c r="AS915" s="27">
        <v>0.90232922281781947</v>
      </c>
      <c r="AT915" s="27">
        <v>0.83873727099537732</v>
      </c>
      <c r="AU915" s="27">
        <v>0.78529141426996518</v>
      </c>
      <c r="AW915" s="1">
        <v>13.598236189073482</v>
      </c>
      <c r="AX915" s="1">
        <v>15.376221197194287</v>
      </c>
      <c r="AY915" s="2">
        <v>1918329.1991350919</v>
      </c>
      <c r="AZ915" s="1">
        <v>15.617343265767255</v>
      </c>
      <c r="BA915" s="1">
        <v>17.424890880281094</v>
      </c>
      <c r="BB915" s="2">
        <v>1262603.7030445784</v>
      </c>
      <c r="BC915" s="2">
        <f t="shared" si="105"/>
        <v>-655725.49609051342</v>
      </c>
      <c r="BD915" s="292">
        <f t="shared" si="106"/>
        <v>2.0191070766937731</v>
      </c>
      <c r="BF915" s="170">
        <f t="shared" si="101"/>
        <v>257388.59111666516</v>
      </c>
      <c r="BG915" s="2">
        <f t="shared" si="102"/>
        <v>1236171.2194781825</v>
      </c>
      <c r="BI915">
        <f t="shared" si="103"/>
        <v>0</v>
      </c>
      <c r="BJ915" s="95">
        <f t="shared" si="104"/>
        <v>1</v>
      </c>
      <c r="BP915" s="217">
        <f t="shared" si="107"/>
        <v>1236171.2194781825</v>
      </c>
    </row>
    <row r="916" spans="1:68">
      <c r="A916" s="11">
        <v>910</v>
      </c>
      <c r="C916" s="27">
        <v>0.9239948767380578</v>
      </c>
      <c r="D916" s="27">
        <v>7.6005123261942184E-2</v>
      </c>
      <c r="E916" s="27">
        <v>0</v>
      </c>
      <c r="F916" s="27">
        <v>0.85793050242540903</v>
      </c>
      <c r="G916" s="27">
        <v>0.14206949757459095</v>
      </c>
      <c r="H916" s="27">
        <v>0</v>
      </c>
      <c r="I916" s="27">
        <v>0.74710504432001756</v>
      </c>
      <c r="J916" s="27">
        <v>0.25289495567998244</v>
      </c>
      <c r="K916" s="27">
        <v>0</v>
      </c>
      <c r="L916" s="27">
        <v>0.17615350778741407</v>
      </c>
      <c r="M916" s="27">
        <v>0.51647128528698838</v>
      </c>
      <c r="N916" s="27">
        <v>0.30737520692559755</v>
      </c>
      <c r="O916" s="27">
        <v>-11.024910092041777</v>
      </c>
      <c r="P916" s="27">
        <v>3.4961616162242005E-2</v>
      </c>
      <c r="Q916" s="27">
        <v>7.0738384384712413E-5</v>
      </c>
      <c r="R916" s="27">
        <v>1.0417954842789787</v>
      </c>
      <c r="S916" s="154"/>
      <c r="T916">
        <v>0.94933235502936753</v>
      </c>
      <c r="U916">
        <v>2.2167857727123281</v>
      </c>
      <c r="V916">
        <v>2.7888765657270889</v>
      </c>
      <c r="W916">
        <v>1</v>
      </c>
      <c r="Y916" s="2">
        <v>528.97329916939032</v>
      </c>
      <c r="Z916" s="2">
        <v>2892.8205706887056</v>
      </c>
      <c r="AA916" s="2">
        <v>3287.3721267621386</v>
      </c>
      <c r="AB916" s="2">
        <v>7611.9500453061628</v>
      </c>
      <c r="AC916" s="2">
        <v>822.60529796397134</v>
      </c>
      <c r="AD916" s="2">
        <v>1604.198783785303</v>
      </c>
      <c r="AE916" s="2">
        <v>544.01550885262066</v>
      </c>
      <c r="AF916" s="2">
        <v>958.73699018844627</v>
      </c>
      <c r="AG916" s="2">
        <v>149.98070084345139</v>
      </c>
      <c r="AH916" s="2">
        <v>329.98689860871781</v>
      </c>
      <c r="AI916" s="2">
        <v>434906.74938539678</v>
      </c>
      <c r="AJ916" s="2">
        <v>400309.47156363813</v>
      </c>
      <c r="AL916" s="27">
        <v>0.91743091126674625</v>
      </c>
      <c r="AM916" s="27">
        <v>0.90979412404021787</v>
      </c>
      <c r="AN916" s="27">
        <v>0.90536786142896242</v>
      </c>
      <c r="AO916" s="27">
        <v>0.91045146657925857</v>
      </c>
      <c r="AP916" s="27">
        <v>0.62021003885153669</v>
      </c>
      <c r="AQ916" s="27">
        <v>0.91743091126674625</v>
      </c>
      <c r="AR916" s="27">
        <v>0.90979412404021787</v>
      </c>
      <c r="AS916" s="27">
        <v>0.90536786142896242</v>
      </c>
      <c r="AT916" s="27">
        <v>0.91045146657925857</v>
      </c>
      <c r="AU916" s="27">
        <v>0.62021003885153669</v>
      </c>
      <c r="AW916" s="1">
        <v>13.874148482511021</v>
      </c>
      <c r="AX916" s="1">
        <v>16.30694618052614</v>
      </c>
      <c r="AY916" s="2">
        <v>1824662.7530618648</v>
      </c>
      <c r="AZ916" s="1">
        <v>15.451518821266998</v>
      </c>
      <c r="BA916" s="1">
        <v>17.742168194416379</v>
      </c>
      <c r="BB916" s="2">
        <v>1500797.3260648798</v>
      </c>
      <c r="BC916" s="2">
        <f t="shared" si="105"/>
        <v>-323865.42699698498</v>
      </c>
      <c r="BD916" s="292">
        <f t="shared" si="106"/>
        <v>1.5773703387559763</v>
      </c>
      <c r="BF916" s="170">
        <f t="shared" si="101"/>
        <v>395201.00413989858</v>
      </c>
      <c r="BG916" s="2">
        <f t="shared" si="102"/>
        <v>971445.68533783988</v>
      </c>
      <c r="BI916">
        <f t="shared" si="103"/>
        <v>0</v>
      </c>
      <c r="BJ916" s="95">
        <f t="shared" si="104"/>
        <v>1</v>
      </c>
      <c r="BP916" s="217">
        <f t="shared" si="107"/>
        <v>971445.68533783988</v>
      </c>
    </row>
    <row r="917" spans="1:68">
      <c r="A917" s="11">
        <v>911</v>
      </c>
      <c r="C917" s="27">
        <v>0.92227266115570039</v>
      </c>
      <c r="D917" s="27">
        <v>7.7727338844299609E-2</v>
      </c>
      <c r="E917" s="27">
        <v>0</v>
      </c>
      <c r="F917" s="27">
        <v>0.86005811236259988</v>
      </c>
      <c r="G917" s="27">
        <v>0.13994188763740006</v>
      </c>
      <c r="H917" s="27">
        <v>0</v>
      </c>
      <c r="I917" s="27">
        <v>0.74600417815817122</v>
      </c>
      <c r="J917" s="27">
        <v>0.25399582184182878</v>
      </c>
      <c r="K917" s="27">
        <v>0</v>
      </c>
      <c r="L917" s="27">
        <v>0.19001816324979537</v>
      </c>
      <c r="M917" s="27">
        <v>0.49025144795536424</v>
      </c>
      <c r="N917" s="27">
        <v>0.31973038879484039</v>
      </c>
      <c r="O917" s="27">
        <v>-11.379097857884076</v>
      </c>
      <c r="P917" s="27">
        <v>3.7379899531789877E-2</v>
      </c>
      <c r="Q917" s="27">
        <v>5.4946966819854711E-5</v>
      </c>
      <c r="R917" s="27">
        <v>1.0774851782146073</v>
      </c>
      <c r="S917" s="154"/>
      <c r="T917">
        <v>1.0335966142181121</v>
      </c>
      <c r="U917">
        <v>2.2776765147496882</v>
      </c>
      <c r="V917">
        <v>3.0233434260087226</v>
      </c>
      <c r="W917">
        <v>1</v>
      </c>
      <c r="Y917" s="2">
        <v>767.50932566833569</v>
      </c>
      <c r="Z917" s="2">
        <v>2145.8646026567867</v>
      </c>
      <c r="AA917" s="2">
        <v>1340.3950298785485</v>
      </c>
      <c r="AB917" s="2">
        <v>1520.3313261521037</v>
      </c>
      <c r="AC917" s="2">
        <v>164.37330016099816</v>
      </c>
      <c r="AD917" s="2">
        <v>438.47531216272614</v>
      </c>
      <c r="AE917" s="2">
        <v>606.78779667875949</v>
      </c>
      <c r="AF917" s="2">
        <v>1232.9885937742954</v>
      </c>
      <c r="AG917" s="2">
        <v>183.90566264002763</v>
      </c>
      <c r="AH917" s="2">
        <v>360.69939205331491</v>
      </c>
      <c r="AI917" s="2">
        <v>369601.97085257032</v>
      </c>
      <c r="AJ917" s="2">
        <v>345478.97299221437</v>
      </c>
      <c r="AL917" s="27">
        <v>0.91704973736488504</v>
      </c>
      <c r="AM917" s="27">
        <v>0.91484319501353351</v>
      </c>
      <c r="AN917" s="27">
        <v>0.90826989145612225</v>
      </c>
      <c r="AO917" s="27">
        <v>0.8813816489763574</v>
      </c>
      <c r="AP917" s="27">
        <v>0.66034792560753708</v>
      </c>
      <c r="AQ917" s="27">
        <v>0.91704973736488504</v>
      </c>
      <c r="AR917" s="27">
        <v>0.91484319501353351</v>
      </c>
      <c r="AS917" s="27">
        <v>0.90826989145612225</v>
      </c>
      <c r="AT917" s="27">
        <v>0.8813816489763574</v>
      </c>
      <c r="AU917" s="27">
        <v>0.66034792560753708</v>
      </c>
      <c r="AW917" s="1">
        <v>13.49810897549197</v>
      </c>
      <c r="AX917" s="1">
        <v>15.747565798560375</v>
      </c>
      <c r="AY917" s="2">
        <v>1552577.9708038617</v>
      </c>
      <c r="AZ917" s="1">
        <v>15.429353854100093</v>
      </c>
      <c r="BA917" s="1">
        <v>17.556930940309158</v>
      </c>
      <c r="BB917" s="2">
        <v>1110833.6560969746</v>
      </c>
      <c r="BC917" s="2">
        <f t="shared" si="105"/>
        <v>-441744.31470688712</v>
      </c>
      <c r="BD917" s="292">
        <f t="shared" si="106"/>
        <v>1.9312448786081227</v>
      </c>
      <c r="BF917" s="170">
        <f t="shared" si="101"/>
        <v>607119.4652748534</v>
      </c>
      <c r="BG917" s="2">
        <f t="shared" si="102"/>
        <v>1357862.9605590401</v>
      </c>
      <c r="BI917">
        <f t="shared" si="103"/>
        <v>0</v>
      </c>
      <c r="BJ917" s="95">
        <f t="shared" si="104"/>
        <v>1</v>
      </c>
      <c r="BP917" s="217">
        <f t="shared" si="107"/>
        <v>1357862.9605590401</v>
      </c>
    </row>
    <row r="918" spans="1:68">
      <c r="A918" s="11">
        <v>912</v>
      </c>
      <c r="C918" s="27">
        <v>0.92706033453389269</v>
      </c>
      <c r="D918" s="27">
        <v>7.293966546610732E-2</v>
      </c>
      <c r="E918" s="27">
        <v>0</v>
      </c>
      <c r="F918" s="27">
        <v>0.86147051818858844</v>
      </c>
      <c r="G918" s="27">
        <v>0.1385294818114115</v>
      </c>
      <c r="H918" s="27">
        <v>0</v>
      </c>
      <c r="I918" s="27">
        <v>0.75535008606909015</v>
      </c>
      <c r="J918" s="27">
        <v>0.24464991393090985</v>
      </c>
      <c r="K918" s="27">
        <v>0</v>
      </c>
      <c r="L918" s="27">
        <v>0.19939113756361676</v>
      </c>
      <c r="M918" s="27">
        <v>0.4391661963290493</v>
      </c>
      <c r="N918" s="27">
        <v>0.36144266610733394</v>
      </c>
      <c r="O918" s="27">
        <v>-10.704280881361509</v>
      </c>
      <c r="P918" s="27">
        <v>3.1815099072768804E-2</v>
      </c>
      <c r="Q918" s="27">
        <v>8.5410055320160207E-5</v>
      </c>
      <c r="R918" s="27">
        <v>1.0321388496480419</v>
      </c>
      <c r="S918" s="154"/>
      <c r="T918">
        <v>0.96863518963083595</v>
      </c>
      <c r="U918">
        <v>2.2810840429019179</v>
      </c>
      <c r="V918">
        <v>3.0597869066721115</v>
      </c>
      <c r="W918">
        <v>1</v>
      </c>
      <c r="Y918" s="2">
        <v>681.36392368736472</v>
      </c>
      <c r="Z918" s="2">
        <v>3027.1906540229065</v>
      </c>
      <c r="AA918" s="2">
        <v>36.345667977583723</v>
      </c>
      <c r="AB918" s="2">
        <v>834.73656178218152</v>
      </c>
      <c r="AC918" s="2">
        <v>2118.6674309319396</v>
      </c>
      <c r="AD918" s="2">
        <v>222.63281905024562</v>
      </c>
      <c r="AE918" s="2">
        <v>556.94940260624549</v>
      </c>
      <c r="AF918" s="2">
        <v>1136.3154066713391</v>
      </c>
      <c r="AG918" s="2">
        <v>71.383814018195224</v>
      </c>
      <c r="AH918" s="2">
        <v>415.94120814653684</v>
      </c>
      <c r="AI918" s="2">
        <v>494313.85533825326</v>
      </c>
      <c r="AJ918" s="2">
        <v>464581.62270730938</v>
      </c>
      <c r="AL918" s="27">
        <v>0.91351405268939445</v>
      </c>
      <c r="AM918" s="27">
        <v>0.91501757982453347</v>
      </c>
      <c r="AN918" s="27">
        <v>0.90794091900639917</v>
      </c>
      <c r="AO918" s="27">
        <v>0.90888545303990109</v>
      </c>
      <c r="AP918" s="27">
        <v>0.76207021712308065</v>
      </c>
      <c r="AQ918" s="27">
        <v>0.91351405268939445</v>
      </c>
      <c r="AR918" s="27">
        <v>0.91501757982453347</v>
      </c>
      <c r="AS918" s="27">
        <v>0.90794091900639917</v>
      </c>
      <c r="AT918" s="27">
        <v>0.90888545303990109</v>
      </c>
      <c r="AU918" s="27">
        <v>0.76207021712308065</v>
      </c>
      <c r="AW918" s="1">
        <v>13.98111780876846</v>
      </c>
      <c r="AX918" s="1">
        <v>15.806051977039443</v>
      </c>
      <c r="AY918" s="2">
        <v>1798747.3754777107</v>
      </c>
      <c r="AZ918" s="1">
        <v>15.667869147584568</v>
      </c>
      <c r="BA918" s="1">
        <v>17.51016984402894</v>
      </c>
      <c r="BB918" s="2">
        <v>1243770.2979348954</v>
      </c>
      <c r="BC918" s="2">
        <f t="shared" si="105"/>
        <v>-554977.07754281536</v>
      </c>
      <c r="BD918" s="292">
        <f t="shared" si="106"/>
        <v>1.6867513388161086</v>
      </c>
      <c r="BF918" s="170">
        <f t="shared" si="101"/>
        <v>438231.47392524267</v>
      </c>
      <c r="BG918" s="2">
        <f t="shared" si="102"/>
        <v>1263088.7656786353</v>
      </c>
      <c r="BI918">
        <f t="shared" si="103"/>
        <v>0</v>
      </c>
      <c r="BJ918" s="95">
        <f t="shared" si="104"/>
        <v>1</v>
      </c>
      <c r="BP918" s="217">
        <f t="shared" si="107"/>
        <v>1263088.7656786353</v>
      </c>
    </row>
    <row r="919" spans="1:68">
      <c r="A919" s="11">
        <v>913</v>
      </c>
      <c r="C919" s="27">
        <v>0.92280458709262159</v>
      </c>
      <c r="D919" s="27">
        <v>7.7195412907378413E-2</v>
      </c>
      <c r="E919" s="27">
        <v>0</v>
      </c>
      <c r="F919" s="27">
        <v>0.86041619630310862</v>
      </c>
      <c r="G919" s="27">
        <v>0.13958380369689138</v>
      </c>
      <c r="H919" s="27">
        <v>0</v>
      </c>
      <c r="I919" s="27">
        <v>0.74521874721809345</v>
      </c>
      <c r="J919" s="27">
        <v>0.25478125278190655</v>
      </c>
      <c r="K919" s="27">
        <v>0</v>
      </c>
      <c r="L919" s="27">
        <v>0.1258575590326656</v>
      </c>
      <c r="M919" s="27">
        <v>0.51161415988341719</v>
      </c>
      <c r="N919" s="27">
        <v>0.36252828108391721</v>
      </c>
      <c r="O919" s="27">
        <v>-11.037601795591037</v>
      </c>
      <c r="P919" s="27">
        <v>3.0749550992948845E-2</v>
      </c>
      <c r="Q919" s="27">
        <v>5.8521248123490549E-5</v>
      </c>
      <c r="R919" s="27">
        <v>1.0809246704046982</v>
      </c>
      <c r="S919" s="154"/>
      <c r="T919">
        <v>1.0313609961764461</v>
      </c>
      <c r="U919">
        <v>2.2722021930423568</v>
      </c>
      <c r="V919">
        <v>3.1408034515515544</v>
      </c>
      <c r="W919">
        <v>1</v>
      </c>
      <c r="Y919" s="2">
        <v>1628.0087823770473</v>
      </c>
      <c r="Z919" s="2">
        <v>699.99466029681287</v>
      </c>
      <c r="AA919" s="2">
        <v>5342.9013033209449</v>
      </c>
      <c r="AB919" s="2">
        <v>3701.3207112153777</v>
      </c>
      <c r="AC919" s="2">
        <v>3117.9363246018415</v>
      </c>
      <c r="AD919" s="2">
        <v>884.92220895264575</v>
      </c>
      <c r="AE919" s="2">
        <v>547.45731876318848</v>
      </c>
      <c r="AF919" s="2">
        <v>840.09696127230461</v>
      </c>
      <c r="AG919" s="2">
        <v>150.13006464359881</v>
      </c>
      <c r="AH919" s="2">
        <v>328.13411179549161</v>
      </c>
      <c r="AI919" s="2">
        <v>575517.19140916248</v>
      </c>
      <c r="AJ919" s="2">
        <v>541611.09974110255</v>
      </c>
      <c r="AL919" s="27">
        <v>0.91548947946126547</v>
      </c>
      <c r="AM919" s="27">
        <v>0.91620072600569991</v>
      </c>
      <c r="AN919" s="27">
        <v>0.90894650927858245</v>
      </c>
      <c r="AO919" s="27">
        <v>0.85674511181872315</v>
      </c>
      <c r="AP919" s="27">
        <v>0.76456293791911212</v>
      </c>
      <c r="AQ919" s="27">
        <v>0.91548947946126547</v>
      </c>
      <c r="AR919" s="27">
        <v>0.91620072600569991</v>
      </c>
      <c r="AS919" s="27">
        <v>0.90894650927858245</v>
      </c>
      <c r="AT919" s="27">
        <v>0.85674511181872315</v>
      </c>
      <c r="AU919" s="27">
        <v>0.76456293791911212</v>
      </c>
      <c r="AW919" s="1">
        <v>13.643100469433797</v>
      </c>
      <c r="AX919" s="1">
        <v>15.493695160642803</v>
      </c>
      <c r="AY919" s="2">
        <v>2277823.380572998</v>
      </c>
      <c r="AZ919" s="1">
        <v>15.537806332255608</v>
      </c>
      <c r="BA919" s="1">
        <v>17.392016351320411</v>
      </c>
      <c r="BB919" s="2">
        <v>1693048.2214683359</v>
      </c>
      <c r="BC919" s="2">
        <f t="shared" si="105"/>
        <v>-584775.15910466202</v>
      </c>
      <c r="BD919" s="292">
        <f t="shared" si="106"/>
        <v>1.8947058628218105</v>
      </c>
      <c r="BF919" s="170">
        <f t="shared" si="101"/>
        <v>-94927.305463590194</v>
      </c>
      <c r="BG919" s="2">
        <f t="shared" si="102"/>
        <v>793000.79169256147</v>
      </c>
      <c r="BI919">
        <f t="shared" si="103"/>
        <v>0</v>
      </c>
      <c r="BJ919" s="95">
        <f t="shared" si="104"/>
        <v>1</v>
      </c>
      <c r="BP919" s="217">
        <f t="shared" si="107"/>
        <v>793000.79169256147</v>
      </c>
    </row>
    <row r="920" spans="1:68">
      <c r="A920" s="11">
        <v>914</v>
      </c>
      <c r="C920" s="27">
        <v>0.92446770957459312</v>
      </c>
      <c r="D920" s="27">
        <v>7.5532290425406892E-2</v>
      </c>
      <c r="E920" s="27">
        <v>0</v>
      </c>
      <c r="F920" s="27">
        <v>0.84739851727680771</v>
      </c>
      <c r="G920" s="27">
        <v>0.15260148272319229</v>
      </c>
      <c r="H920" s="27">
        <v>0</v>
      </c>
      <c r="I920" s="27">
        <v>0.74929831062320618</v>
      </c>
      <c r="J920" s="27">
        <v>0.25070168937679382</v>
      </c>
      <c r="K920" s="27">
        <v>0</v>
      </c>
      <c r="L920" s="27">
        <v>0.12663700629795516</v>
      </c>
      <c r="M920" s="27">
        <v>0.49325454485797476</v>
      </c>
      <c r="N920" s="27">
        <v>0.38010844884407002</v>
      </c>
      <c r="O920" s="27">
        <v>-11.301450690196562</v>
      </c>
      <c r="P920" s="27">
        <v>3.5646669884494844E-2</v>
      </c>
      <c r="Q920" s="27">
        <v>5.521419096357908E-5</v>
      </c>
      <c r="R920" s="27">
        <v>1.082117626824048</v>
      </c>
      <c r="S920" s="154"/>
      <c r="T920">
        <v>0.98167954508214805</v>
      </c>
      <c r="U920">
        <v>2.3015648911688764</v>
      </c>
      <c r="V920">
        <v>2.816132889787228</v>
      </c>
      <c r="W920">
        <v>1</v>
      </c>
      <c r="Y920" s="2">
        <v>276.82611820112101</v>
      </c>
      <c r="Z920" s="2">
        <v>2497.3753103439371</v>
      </c>
      <c r="AA920" s="2">
        <v>1188.968598748404</v>
      </c>
      <c r="AB920" s="2">
        <v>2784.4542813978069</v>
      </c>
      <c r="AC920" s="2">
        <v>1842.6319251164484</v>
      </c>
      <c r="AD920" s="2">
        <v>1368.0940430736287</v>
      </c>
      <c r="AE920" s="2">
        <v>501.37307665164406</v>
      </c>
      <c r="AF920" s="2">
        <v>966.0365794662805</v>
      </c>
      <c r="AG920" s="2">
        <v>71.299354551377505</v>
      </c>
      <c r="AH920" s="2">
        <v>398.23258705125636</v>
      </c>
      <c r="AI920" s="2">
        <v>408924.26247197553</v>
      </c>
      <c r="AJ920" s="2">
        <v>379039.25697829912</v>
      </c>
      <c r="AL920" s="27">
        <v>0.91775475155005104</v>
      </c>
      <c r="AM920" s="27">
        <v>0.91397841932580248</v>
      </c>
      <c r="AN920" s="27">
        <v>0.90989432971568163</v>
      </c>
      <c r="AO920" s="27">
        <v>0.85751235015202465</v>
      </c>
      <c r="AP920" s="27">
        <v>0.74601272046269418</v>
      </c>
      <c r="AQ920" s="27">
        <v>0.91775475155005104</v>
      </c>
      <c r="AR920" s="27">
        <v>0.91397841932580248</v>
      </c>
      <c r="AS920" s="27">
        <v>0.90989432971568163</v>
      </c>
      <c r="AT920" s="27">
        <v>0.85751235015202465</v>
      </c>
      <c r="AU920" s="27">
        <v>0.74601272046269418</v>
      </c>
      <c r="AW920" s="1">
        <v>13.717527878834042</v>
      </c>
      <c r="AX920" s="1">
        <v>15.594242140860773</v>
      </c>
      <c r="AY920" s="2">
        <v>1540797.3461306845</v>
      </c>
      <c r="AZ920" s="1">
        <v>15.409795198024167</v>
      </c>
      <c r="BA920" s="1">
        <v>17.281566843872977</v>
      </c>
      <c r="BB920" s="2">
        <v>1164725.2029512778</v>
      </c>
      <c r="BC920" s="2">
        <f t="shared" si="105"/>
        <v>-376072.14317940664</v>
      </c>
      <c r="BD920" s="292">
        <f t="shared" si="106"/>
        <v>1.6922673191901243</v>
      </c>
      <c r="BF920" s="170">
        <f t="shared" si="101"/>
        <v>654007.11448276229</v>
      </c>
      <c r="BG920" s="2">
        <f t="shared" si="102"/>
        <v>1300842.0287325887</v>
      </c>
      <c r="BI920">
        <f t="shared" si="103"/>
        <v>0</v>
      </c>
      <c r="BJ920" s="95">
        <f t="shared" si="104"/>
        <v>1</v>
      </c>
      <c r="BP920" s="217">
        <f t="shared" si="107"/>
        <v>1300842.0287325887</v>
      </c>
    </row>
    <row r="921" spans="1:68">
      <c r="A921" s="11">
        <v>915</v>
      </c>
      <c r="C921" s="27">
        <v>0.92316276661611751</v>
      </c>
      <c r="D921" s="27">
        <v>7.6837233383882528E-2</v>
      </c>
      <c r="E921" s="27">
        <v>0</v>
      </c>
      <c r="F921" s="27">
        <v>0.86022304024132423</v>
      </c>
      <c r="G921" s="27">
        <v>0.13977695975867574</v>
      </c>
      <c r="H921" s="27">
        <v>0</v>
      </c>
      <c r="I921" s="27">
        <v>0.76858989759346596</v>
      </c>
      <c r="J921" s="27">
        <v>0.23141010240653401</v>
      </c>
      <c r="K921" s="27">
        <v>0</v>
      </c>
      <c r="L921" s="27">
        <v>0.2358066270123696</v>
      </c>
      <c r="M921" s="27">
        <v>0.46722604357164288</v>
      </c>
      <c r="N921" s="27">
        <v>0.29696732941598752</v>
      </c>
      <c r="O921" s="27">
        <v>-11.37697585406897</v>
      </c>
      <c r="P921" s="27">
        <v>3.4354342519208096E-2</v>
      </c>
      <c r="Q921" s="27">
        <v>4.8492885172207128E-5</v>
      </c>
      <c r="R921" s="27">
        <v>1.1022139429112823</v>
      </c>
      <c r="S921" s="154"/>
      <c r="T921">
        <v>1.0651035540650671</v>
      </c>
      <c r="U921">
        <v>2.204988275257826</v>
      </c>
      <c r="V921">
        <v>3.0255129546197557</v>
      </c>
      <c r="W921">
        <v>1</v>
      </c>
      <c r="Y921" s="2">
        <v>557.83413602257906</v>
      </c>
      <c r="Z921" s="2">
        <v>1659.9686659312099</v>
      </c>
      <c r="AA921" s="2">
        <v>377.74755909593722</v>
      </c>
      <c r="AB921" s="2">
        <v>475.90629241102306</v>
      </c>
      <c r="AC921" s="2">
        <v>486.91603509555745</v>
      </c>
      <c r="AD921" s="2">
        <v>426.88325361276162</v>
      </c>
      <c r="AE921" s="2">
        <v>611.44028534469169</v>
      </c>
      <c r="AF921" s="2">
        <v>955.27624203734763</v>
      </c>
      <c r="AG921" s="2">
        <v>89.806688384300244</v>
      </c>
      <c r="AH921" s="2">
        <v>143.03001853086093</v>
      </c>
      <c r="AI921" s="2">
        <v>412148.2001604744</v>
      </c>
      <c r="AJ921" s="2">
        <v>368836.34928779106</v>
      </c>
      <c r="AL921" s="27">
        <v>0.91410659918821713</v>
      </c>
      <c r="AM921" s="27">
        <v>0.91104375929481374</v>
      </c>
      <c r="AN921" s="27">
        <v>0.90216645366279036</v>
      </c>
      <c r="AO921" s="27">
        <v>0.84463824317318859</v>
      </c>
      <c r="AP921" s="27">
        <v>0.63603566480298412</v>
      </c>
      <c r="AQ921" s="27">
        <v>0.91410659918821713</v>
      </c>
      <c r="AR921" s="27">
        <v>0.91104375929481374</v>
      </c>
      <c r="AS921" s="27">
        <v>0.90216645366279036</v>
      </c>
      <c r="AT921" s="27">
        <v>0.84463824317318859</v>
      </c>
      <c r="AU921" s="27">
        <v>0.63603566480298412</v>
      </c>
      <c r="AW921" s="1">
        <v>13.333112590537256</v>
      </c>
      <c r="AX921" s="1">
        <v>15.693972400291772</v>
      </c>
      <c r="AY921" s="2">
        <v>1581987.3679249813</v>
      </c>
      <c r="AZ921" s="1">
        <v>15.388174074367678</v>
      </c>
      <c r="BA921" s="1">
        <v>17.613636821331298</v>
      </c>
      <c r="BB921" s="2">
        <v>1069285.6118318629</v>
      </c>
      <c r="BC921" s="2">
        <f t="shared" si="105"/>
        <v>-512701.75609311834</v>
      </c>
      <c r="BD921" s="292">
        <f t="shared" si="106"/>
        <v>2.0550614838304213</v>
      </c>
      <c r="BF921" s="170">
        <f t="shared" si="101"/>
        <v>551310.64656097954</v>
      </c>
      <c r="BG921" s="2">
        <f t="shared" si="102"/>
        <v>1392822.2400669656</v>
      </c>
      <c r="BI921">
        <f t="shared" si="103"/>
        <v>0</v>
      </c>
      <c r="BJ921" s="95">
        <f t="shared" si="104"/>
        <v>1</v>
      </c>
      <c r="BP921" s="217">
        <f t="shared" si="107"/>
        <v>1392822.2400669656</v>
      </c>
    </row>
    <row r="922" spans="1:68">
      <c r="A922" s="11">
        <v>916</v>
      </c>
      <c r="C922" s="27">
        <v>0.92235376645047329</v>
      </c>
      <c r="D922" s="27">
        <v>7.7646233549526711E-2</v>
      </c>
      <c r="E922" s="27">
        <v>0</v>
      </c>
      <c r="F922" s="27">
        <v>0.8588051346476796</v>
      </c>
      <c r="G922" s="27">
        <v>0.14119486535232037</v>
      </c>
      <c r="H922" s="27">
        <v>0</v>
      </c>
      <c r="I922" s="27">
        <v>0.74760126128170745</v>
      </c>
      <c r="J922" s="27">
        <v>0.25239873871829255</v>
      </c>
      <c r="K922" s="27">
        <v>0</v>
      </c>
      <c r="L922" s="27">
        <v>0.1827580376493701</v>
      </c>
      <c r="M922" s="27">
        <v>0.44421867472976351</v>
      </c>
      <c r="N922" s="27">
        <v>0.3730232876208664</v>
      </c>
      <c r="O922" s="27">
        <v>-11.517861807123642</v>
      </c>
      <c r="P922" s="27">
        <v>3.6023065549048001E-2</v>
      </c>
      <c r="Q922" s="27">
        <v>4.5178328048387812E-5</v>
      </c>
      <c r="R922" s="27">
        <v>1.1106352509934958</v>
      </c>
      <c r="S922" s="154"/>
      <c r="T922">
        <v>0.99930065531704559</v>
      </c>
      <c r="U922">
        <v>2.3144704902267668</v>
      </c>
      <c r="V922">
        <v>3.1052313867704631</v>
      </c>
      <c r="W922">
        <v>1</v>
      </c>
      <c r="Y922" s="2">
        <v>112.8915528628756</v>
      </c>
      <c r="Z922" s="2">
        <v>7065.5246235001832</v>
      </c>
      <c r="AA922" s="2">
        <v>3512.0329973607973</v>
      </c>
      <c r="AB922" s="2">
        <v>1973.1270945645379</v>
      </c>
      <c r="AC922" s="2">
        <v>561.15503143396825</v>
      </c>
      <c r="AD922" s="2">
        <v>605.78084298613703</v>
      </c>
      <c r="AE922" s="2">
        <v>598.62276606663113</v>
      </c>
      <c r="AF922" s="2">
        <v>887.24656834270661</v>
      </c>
      <c r="AG922" s="2">
        <v>126.58044170825313</v>
      </c>
      <c r="AH922" s="2">
        <v>633.395213983502</v>
      </c>
      <c r="AI922" s="2">
        <v>385721.70893643633</v>
      </c>
      <c r="AJ922" s="2">
        <v>353839.71703151998</v>
      </c>
      <c r="AL922" s="27">
        <v>0.91467830396973437</v>
      </c>
      <c r="AM922" s="27">
        <v>0.91808858411362348</v>
      </c>
      <c r="AN922" s="27">
        <v>0.91368280256774892</v>
      </c>
      <c r="AO922" s="27">
        <v>0.85550497977147211</v>
      </c>
      <c r="AP922" s="27">
        <v>0.72753135989629059</v>
      </c>
      <c r="AQ922" s="27">
        <v>0.91467830396973437</v>
      </c>
      <c r="AR922" s="27">
        <v>0.91808858411362348</v>
      </c>
      <c r="AS922" s="27">
        <v>0.91368280256774892</v>
      </c>
      <c r="AT922" s="27">
        <v>0.85550497977147211</v>
      </c>
      <c r="AU922" s="27">
        <v>0.72753135989629059</v>
      </c>
      <c r="AW922" s="1">
        <v>13.405976501576415</v>
      </c>
      <c r="AX922" s="1">
        <v>15.30891212841561</v>
      </c>
      <c r="AY922" s="2">
        <v>1414664.1197473197</v>
      </c>
      <c r="AZ922" s="1">
        <v>15.323697773189762</v>
      </c>
      <c r="BA922" s="1">
        <v>17.206351057157505</v>
      </c>
      <c r="BB922" s="2">
        <v>1030951.507762963</v>
      </c>
      <c r="BC922" s="2">
        <f t="shared" si="105"/>
        <v>-383712.61198435677</v>
      </c>
      <c r="BD922" s="292">
        <f t="shared" si="106"/>
        <v>1.9177212716133472</v>
      </c>
      <c r="BF922" s="170">
        <f t="shared" si="101"/>
        <v>730292.12050490687</v>
      </c>
      <c r="BG922" s="2">
        <f t="shared" si="102"/>
        <v>1420840.1359473988</v>
      </c>
      <c r="BI922">
        <f t="shared" si="103"/>
        <v>0</v>
      </c>
      <c r="BJ922" s="95">
        <f t="shared" si="104"/>
        <v>1</v>
      </c>
      <c r="BP922" s="217">
        <f t="shared" si="107"/>
        <v>1420840.1359473988</v>
      </c>
    </row>
    <row r="923" spans="1:68">
      <c r="A923" s="11">
        <v>917</v>
      </c>
      <c r="C923" s="27">
        <v>0.91782808383895487</v>
      </c>
      <c r="D923" s="27">
        <v>8.2171916161045133E-2</v>
      </c>
      <c r="E923" s="27">
        <v>0</v>
      </c>
      <c r="F923" s="27">
        <v>0.85198002385382632</v>
      </c>
      <c r="G923" s="27">
        <v>0.14801997614617368</v>
      </c>
      <c r="H923" s="27">
        <v>0</v>
      </c>
      <c r="I923" s="27">
        <v>0.73937733133326911</v>
      </c>
      <c r="J923" s="27">
        <v>0.26062266866673089</v>
      </c>
      <c r="K923" s="27">
        <v>0</v>
      </c>
      <c r="L923" s="27">
        <v>0.13377494235640436</v>
      </c>
      <c r="M923" s="27">
        <v>0.52735879601054214</v>
      </c>
      <c r="N923" s="27">
        <v>0.3388662616330535</v>
      </c>
      <c r="O923" s="27">
        <v>-11.407969626481606</v>
      </c>
      <c r="P923" s="27">
        <v>3.622133502154281E-2</v>
      </c>
      <c r="Q923" s="27">
        <v>5.0847807389826968E-5</v>
      </c>
      <c r="R923" s="27">
        <v>1.0858930998690828</v>
      </c>
      <c r="S923" s="154"/>
      <c r="T923">
        <v>1.0189333259336115</v>
      </c>
      <c r="U923">
        <v>2.155283811059602</v>
      </c>
      <c r="V923">
        <v>3.0812558284414973</v>
      </c>
      <c r="W923">
        <v>1</v>
      </c>
      <c r="Y923" s="2">
        <v>1400.7637944645257</v>
      </c>
      <c r="Z923" s="2">
        <v>9454.8349732971092</v>
      </c>
      <c r="AA923" s="2">
        <v>2066.934769188359</v>
      </c>
      <c r="AB923" s="2">
        <v>1485.2300744431022</v>
      </c>
      <c r="AC923" s="2">
        <v>279.14602380031164</v>
      </c>
      <c r="AD923" s="2">
        <v>251.57778881131705</v>
      </c>
      <c r="AE923" s="2">
        <v>546.85814052046487</v>
      </c>
      <c r="AF923" s="2">
        <v>919.2740643844952</v>
      </c>
      <c r="AG923" s="2">
        <v>110.54982468046907</v>
      </c>
      <c r="AH923" s="2">
        <v>444.91841215973301</v>
      </c>
      <c r="AI923" s="2">
        <v>360229.18757291179</v>
      </c>
      <c r="AJ923" s="2">
        <v>335670.17642183771</v>
      </c>
      <c r="AL923" s="27">
        <v>0.91383066291057846</v>
      </c>
      <c r="AM923" s="27">
        <v>0.91367982464092601</v>
      </c>
      <c r="AN923" s="27">
        <v>0.90937519599851391</v>
      </c>
      <c r="AO923" s="27">
        <v>0.86676758457031744</v>
      </c>
      <c r="AP923" s="27">
        <v>0.65262400129778131</v>
      </c>
      <c r="AQ923" s="27">
        <v>0.91383066291057846</v>
      </c>
      <c r="AR923" s="27">
        <v>0.91367982464092601</v>
      </c>
      <c r="AS923" s="27">
        <v>0.90937519599851391</v>
      </c>
      <c r="AT923" s="27">
        <v>0.86676758457031744</v>
      </c>
      <c r="AU923" s="27">
        <v>0.65262400129778131</v>
      </c>
      <c r="AW923" s="1">
        <v>13.272005234265663</v>
      </c>
      <c r="AX923" s="1">
        <v>15.604022236440507</v>
      </c>
      <c r="AY923" s="2">
        <v>1660249.0255110103</v>
      </c>
      <c r="AZ923" s="1">
        <v>15.133773702530402</v>
      </c>
      <c r="BA923" s="1">
        <v>17.341515028430312</v>
      </c>
      <c r="BB923" s="2">
        <v>1149658.9954422321</v>
      </c>
      <c r="BC923" s="2">
        <f t="shared" si="105"/>
        <v>-510590.0300687782</v>
      </c>
      <c r="BD923" s="292">
        <f t="shared" si="106"/>
        <v>1.8617684682647386</v>
      </c>
      <c r="BF923" s="170">
        <f t="shared" si="101"/>
        <v>463271.81197149563</v>
      </c>
      <c r="BG923" s="2">
        <f t="shared" si="102"/>
        <v>1271744.7969626323</v>
      </c>
      <c r="BI923">
        <f t="shared" si="103"/>
        <v>0</v>
      </c>
      <c r="BJ923" s="95">
        <f t="shared" si="104"/>
        <v>1</v>
      </c>
      <c r="BP923" s="217">
        <f t="shared" si="107"/>
        <v>1271744.7969626323</v>
      </c>
    </row>
    <row r="924" spans="1:68">
      <c r="A924" s="11">
        <v>918</v>
      </c>
      <c r="C924" s="27">
        <v>0.92112681109328232</v>
      </c>
      <c r="D924" s="27">
        <v>7.8873188906717684E-2</v>
      </c>
      <c r="E924" s="27">
        <v>0</v>
      </c>
      <c r="F924" s="27">
        <v>0.85154469015712031</v>
      </c>
      <c r="G924" s="27">
        <v>0.14845530984287969</v>
      </c>
      <c r="H924" s="27">
        <v>0</v>
      </c>
      <c r="I924" s="27">
        <v>0.7585030130763688</v>
      </c>
      <c r="J924" s="27">
        <v>0.2414969869236312</v>
      </c>
      <c r="K924" s="27">
        <v>0</v>
      </c>
      <c r="L924" s="27">
        <v>0.17105152271715907</v>
      </c>
      <c r="M924" s="27">
        <v>0.4848305323705086</v>
      </c>
      <c r="N924" s="27">
        <v>0.34411794491233227</v>
      </c>
      <c r="O924" s="27">
        <v>-11.052032420602327</v>
      </c>
      <c r="P924" s="27">
        <v>3.1708732090837972E-2</v>
      </c>
      <c r="Q924" s="27">
        <v>6.0054043702044673E-5</v>
      </c>
      <c r="R924" s="27">
        <v>1.0770345685187028</v>
      </c>
      <c r="S924" s="154"/>
      <c r="T924">
        <v>1.0515692337540337</v>
      </c>
      <c r="U924">
        <v>2.2923752211887543</v>
      </c>
      <c r="V924">
        <v>2.9604654174986273</v>
      </c>
      <c r="W924">
        <v>1</v>
      </c>
      <c r="Y924" s="2">
        <v>176.06925624518405</v>
      </c>
      <c r="Z924" s="2">
        <v>8685.5212566007031</v>
      </c>
      <c r="AA924" s="2">
        <v>1350.4453092238446</v>
      </c>
      <c r="AB924" s="2">
        <v>7154.7757165968269</v>
      </c>
      <c r="AC924" s="2">
        <v>1006.1487095038195</v>
      </c>
      <c r="AD924" s="2">
        <v>1070.4053381819151</v>
      </c>
      <c r="AE924" s="2">
        <v>543.56429682878809</v>
      </c>
      <c r="AF924" s="2">
        <v>910.87686506597129</v>
      </c>
      <c r="AG924" s="2">
        <v>130.07830994499446</v>
      </c>
      <c r="AH924" s="2">
        <v>451.86152531878537</v>
      </c>
      <c r="AI924" s="2">
        <v>513432.08229377866</v>
      </c>
      <c r="AJ924" s="2">
        <v>473457.6097403185</v>
      </c>
      <c r="AL924" s="27">
        <v>0.92078138896086115</v>
      </c>
      <c r="AM924" s="27">
        <v>0.91144292001152005</v>
      </c>
      <c r="AN924" s="27">
        <v>0.91125033827927837</v>
      </c>
      <c r="AO924" s="27">
        <v>0.90460698652962213</v>
      </c>
      <c r="AP924" s="27">
        <v>0.79138636405676177</v>
      </c>
      <c r="AQ924" s="27">
        <v>0.92078138896086115</v>
      </c>
      <c r="AR924" s="27">
        <v>0.91144292001152005</v>
      </c>
      <c r="AS924" s="27">
        <v>0.91125033827927837</v>
      </c>
      <c r="AT924" s="27">
        <v>0.90460698652962213</v>
      </c>
      <c r="AU924" s="27">
        <v>0.79138636405676177</v>
      </c>
      <c r="AW924" s="1">
        <v>13.701359019604872</v>
      </c>
      <c r="AX924" s="1">
        <v>15.395727316309141</v>
      </c>
      <c r="AY924" s="2">
        <v>2104212.8111632504</v>
      </c>
      <c r="AZ924" s="1">
        <v>15.60076715680087</v>
      </c>
      <c r="BA924" s="1">
        <v>17.33851263135551</v>
      </c>
      <c r="BB924" s="2">
        <v>1527772.4848721903</v>
      </c>
      <c r="BC924" s="2">
        <f t="shared" si="105"/>
        <v>-576440.32629106008</v>
      </c>
      <c r="BD924" s="292">
        <f t="shared" si="106"/>
        <v>1.8994081371959979</v>
      </c>
      <c r="BF924" s="170">
        <f t="shared" si="101"/>
        <v>88004.631973529235</v>
      </c>
      <c r="BG924" s="2">
        <f t="shared" si="102"/>
        <v>968350.2602159488</v>
      </c>
      <c r="BI924">
        <f t="shared" si="103"/>
        <v>0</v>
      </c>
      <c r="BJ924" s="95">
        <f t="shared" si="104"/>
        <v>1</v>
      </c>
      <c r="BP924" s="217">
        <f t="shared" si="107"/>
        <v>968350.2602159488</v>
      </c>
    </row>
    <row r="925" spans="1:68">
      <c r="A925" s="11">
        <v>919</v>
      </c>
      <c r="C925" s="27">
        <v>0.92087736005573928</v>
      </c>
      <c r="D925" s="27">
        <v>7.912263994426072E-2</v>
      </c>
      <c r="E925" s="27">
        <v>0</v>
      </c>
      <c r="F925" s="27">
        <v>0.85803392133852174</v>
      </c>
      <c r="G925" s="27">
        <v>0.14196607866147823</v>
      </c>
      <c r="H925" s="27">
        <v>0</v>
      </c>
      <c r="I925" s="27">
        <v>0.75954673919633431</v>
      </c>
      <c r="J925" s="27">
        <v>0.24045326080366572</v>
      </c>
      <c r="K925" s="27">
        <v>0</v>
      </c>
      <c r="L925" s="27">
        <v>0.1157124984373108</v>
      </c>
      <c r="M925" s="27">
        <v>0.56199599677099132</v>
      </c>
      <c r="N925" s="27">
        <v>0.32229150479169788</v>
      </c>
      <c r="O925" s="27">
        <v>-11.210808710102253</v>
      </c>
      <c r="P925" s="27">
        <v>3.6610878108122441E-2</v>
      </c>
      <c r="Q925" s="27">
        <v>6.2951131090272874E-5</v>
      </c>
      <c r="R925" s="27">
        <v>1.0674691603435846</v>
      </c>
      <c r="S925" s="154"/>
      <c r="T925">
        <v>0.92841046449166598</v>
      </c>
      <c r="U925">
        <v>2.3220767492691285</v>
      </c>
      <c r="V925">
        <v>2.8761225300585607</v>
      </c>
      <c r="W925">
        <v>1</v>
      </c>
      <c r="Y925" s="2">
        <v>953.95002795033577</v>
      </c>
      <c r="Z925" s="2">
        <v>794.33165751633396</v>
      </c>
      <c r="AA925" s="2">
        <v>4214.7926623028725</v>
      </c>
      <c r="AB925" s="2">
        <v>6769.0971751991628</v>
      </c>
      <c r="AC925" s="2">
        <v>421.35083839230077</v>
      </c>
      <c r="AD925" s="2">
        <v>1637.8554962861012</v>
      </c>
      <c r="AE925" s="2">
        <v>607.29520864302037</v>
      </c>
      <c r="AF925" s="2">
        <v>765.40100864107035</v>
      </c>
      <c r="AG925" s="2">
        <v>190.17733584192734</v>
      </c>
      <c r="AH925" s="2">
        <v>404.0440649083946</v>
      </c>
      <c r="AI925" s="2">
        <v>615485.12084575172</v>
      </c>
      <c r="AJ925" s="2">
        <v>577812.04858909862</v>
      </c>
      <c r="AL925" s="27">
        <v>0.91765405669832678</v>
      </c>
      <c r="AM925" s="27">
        <v>0.9130019191638401</v>
      </c>
      <c r="AN925" s="27">
        <v>0.91806492333019074</v>
      </c>
      <c r="AO925" s="27">
        <v>0.87405262777294768</v>
      </c>
      <c r="AP925" s="27">
        <v>0.8494879288319177</v>
      </c>
      <c r="AQ925" s="27">
        <v>0.91765405669832678</v>
      </c>
      <c r="AR925" s="27">
        <v>0.9130019191638401</v>
      </c>
      <c r="AS925" s="27">
        <v>0.91806492333019074</v>
      </c>
      <c r="AT925" s="27">
        <v>0.87405262777294768</v>
      </c>
      <c r="AU925" s="27">
        <v>0.8494879288319177</v>
      </c>
      <c r="AW925" s="1">
        <v>14.490597697365576</v>
      </c>
      <c r="AX925" s="1">
        <v>16.090605958893878</v>
      </c>
      <c r="AY925" s="2">
        <v>2533173.0158753265</v>
      </c>
      <c r="AZ925" s="1">
        <v>15.955117147555706</v>
      </c>
      <c r="BA925" s="1">
        <v>17.618760246295</v>
      </c>
      <c r="BB925" s="2">
        <v>2027055.7803722164</v>
      </c>
      <c r="BC925" s="2">
        <f t="shared" si="105"/>
        <v>-506117.2355031101</v>
      </c>
      <c r="BD925" s="292">
        <f t="shared" si="106"/>
        <v>1.4645194501901297</v>
      </c>
      <c r="BF925" s="170">
        <f t="shared" si="101"/>
        <v>-214677.38429683447</v>
      </c>
      <c r="BG925" s="2">
        <f t="shared" si="102"/>
        <v>525762.96323669655</v>
      </c>
      <c r="BI925">
        <f t="shared" si="103"/>
        <v>0</v>
      </c>
      <c r="BJ925" s="95">
        <f t="shared" si="104"/>
        <v>1</v>
      </c>
      <c r="BP925" s="217">
        <f t="shared" si="107"/>
        <v>525762.96323669655</v>
      </c>
    </row>
    <row r="926" spans="1:68">
      <c r="A926" s="11">
        <v>920</v>
      </c>
      <c r="C926" s="27">
        <v>0.92175889423531754</v>
      </c>
      <c r="D926" s="27">
        <v>7.8241105764682461E-2</v>
      </c>
      <c r="E926" s="27">
        <v>0</v>
      </c>
      <c r="F926" s="27">
        <v>0.85601320630099353</v>
      </c>
      <c r="G926" s="27">
        <v>0.14398679369900647</v>
      </c>
      <c r="H926" s="27">
        <v>0</v>
      </c>
      <c r="I926" s="27">
        <v>0.74090175686322823</v>
      </c>
      <c r="J926" s="27">
        <v>0.25909824313677177</v>
      </c>
      <c r="K926" s="27">
        <v>0</v>
      </c>
      <c r="L926" s="27">
        <v>0.24706556942671681</v>
      </c>
      <c r="M926" s="27">
        <v>0.473612538238467</v>
      </c>
      <c r="N926" s="27">
        <v>0.27932189233481614</v>
      </c>
      <c r="O926" s="27">
        <v>-11.238387148320987</v>
      </c>
      <c r="P926" s="27">
        <v>3.3893832539568278E-2</v>
      </c>
      <c r="Q926" s="27">
        <v>5.4634435802699618E-5</v>
      </c>
      <c r="R926" s="27">
        <v>1.0845663784075308</v>
      </c>
      <c r="S926" s="154"/>
      <c r="T926">
        <v>0.94364433109350554</v>
      </c>
      <c r="U926">
        <v>2.230031781036343</v>
      </c>
      <c r="V926">
        <v>2.98598913337581</v>
      </c>
      <c r="W926">
        <v>1</v>
      </c>
      <c r="Y926" s="2">
        <v>13.367000601550806</v>
      </c>
      <c r="Z926" s="2">
        <v>17871.744985539281</v>
      </c>
      <c r="AA926" s="2">
        <v>292.55218395858896</v>
      </c>
      <c r="AB926" s="2">
        <v>2450.529014588989</v>
      </c>
      <c r="AC926" s="2">
        <v>1339.3311436529918</v>
      </c>
      <c r="AD926" s="2">
        <v>1505.0408513236077</v>
      </c>
      <c r="AE926" s="2">
        <v>617.15345173684784</v>
      </c>
      <c r="AF926" s="2">
        <v>1124.4024972632483</v>
      </c>
      <c r="AG926" s="2">
        <v>174.51487565471797</v>
      </c>
      <c r="AH926" s="2">
        <v>559.69766577873781</v>
      </c>
      <c r="AI926" s="2">
        <v>415970.88225925993</v>
      </c>
      <c r="AJ926" s="2">
        <v>382579.21289947472</v>
      </c>
      <c r="AL926" s="27">
        <v>0.91409827825620094</v>
      </c>
      <c r="AM926" s="27">
        <v>0.91578451166268449</v>
      </c>
      <c r="AN926" s="27">
        <v>0.91445130074028724</v>
      </c>
      <c r="AO926" s="27">
        <v>0.85804155611335875</v>
      </c>
      <c r="AP926" s="27">
        <v>0.63376123933096362</v>
      </c>
      <c r="AQ926" s="27">
        <v>0.91409827825620094</v>
      </c>
      <c r="AR926" s="27">
        <v>0.91578451166268449</v>
      </c>
      <c r="AS926" s="27">
        <v>0.91445130074028724</v>
      </c>
      <c r="AT926" s="27">
        <v>0.85804155611335875</v>
      </c>
      <c r="AU926" s="27">
        <v>0.63376123933096362</v>
      </c>
      <c r="AW926" s="1">
        <v>13.67147447796512</v>
      </c>
      <c r="AX926" s="1">
        <v>16.050939086045844</v>
      </c>
      <c r="AY926" s="2">
        <v>1889870.5052565462</v>
      </c>
      <c r="AZ926" s="1">
        <v>15.316780850163564</v>
      </c>
      <c r="BA926" s="1">
        <v>17.556864582694004</v>
      </c>
      <c r="BB926" s="2">
        <v>1270485.0881401533</v>
      </c>
      <c r="BC926" s="2">
        <f t="shared" si="105"/>
        <v>-619385.41711639287</v>
      </c>
      <c r="BD926" s="292">
        <f t="shared" si="106"/>
        <v>1.6453063721984442</v>
      </c>
      <c r="BF926" s="170">
        <f t="shared" si="101"/>
        <v>297565.41121787298</v>
      </c>
      <c r="BG926" s="2">
        <f t="shared" si="102"/>
        <v>1180199.8478860171</v>
      </c>
      <c r="BI926">
        <f t="shared" si="103"/>
        <v>0</v>
      </c>
      <c r="BJ926" s="95">
        <f t="shared" si="104"/>
        <v>1</v>
      </c>
      <c r="BP926" s="217">
        <f t="shared" si="107"/>
        <v>1180199.8478860171</v>
      </c>
    </row>
    <row r="927" spans="1:68">
      <c r="A927" s="11">
        <v>921</v>
      </c>
      <c r="C927" s="27">
        <v>0.9273394925024705</v>
      </c>
      <c r="D927" s="27">
        <v>7.2660507497529447E-2</v>
      </c>
      <c r="E927" s="27">
        <v>0</v>
      </c>
      <c r="F927" s="27">
        <v>0.85007539769718854</v>
      </c>
      <c r="G927" s="27">
        <v>0.14992460230281146</v>
      </c>
      <c r="H927" s="27">
        <v>0</v>
      </c>
      <c r="I927" s="27">
        <v>0.75101154141255044</v>
      </c>
      <c r="J927" s="27">
        <v>0.24898845858744958</v>
      </c>
      <c r="K927" s="27">
        <v>0</v>
      </c>
      <c r="L927" s="27">
        <v>0.20750545069787724</v>
      </c>
      <c r="M927" s="27">
        <v>0.46867777033288688</v>
      </c>
      <c r="N927" s="27">
        <v>0.32381677896923594</v>
      </c>
      <c r="O927" s="27">
        <v>-10.968639071984727</v>
      </c>
      <c r="P927" s="27">
        <v>3.2737734270062054E-2</v>
      </c>
      <c r="Q927" s="27">
        <v>6.8159893861405096E-5</v>
      </c>
      <c r="R927" s="27">
        <v>1.0631265031099095</v>
      </c>
      <c r="S927" s="154"/>
      <c r="T927">
        <v>0.98348207221426154</v>
      </c>
      <c r="U927">
        <v>2.2327095773176917</v>
      </c>
      <c r="V927">
        <v>2.8363247302668708</v>
      </c>
      <c r="W927">
        <v>1</v>
      </c>
      <c r="Y927" s="2">
        <v>866.65816009687614</v>
      </c>
      <c r="Z927" s="2">
        <v>397.88823483504751</v>
      </c>
      <c r="AA927" s="2">
        <v>1823.1214350399125</v>
      </c>
      <c r="AB927" s="2">
        <v>3723.0249263763162</v>
      </c>
      <c r="AC927" s="2">
        <v>137.95514693969571</v>
      </c>
      <c r="AD927" s="2">
        <v>1537.8698480743672</v>
      </c>
      <c r="AE927" s="2">
        <v>558.39462949985409</v>
      </c>
      <c r="AF927" s="2">
        <v>1020.5371241536054</v>
      </c>
      <c r="AG927" s="2">
        <v>161.15394343173159</v>
      </c>
      <c r="AH927" s="2">
        <v>296.09312095298401</v>
      </c>
      <c r="AI927" s="2">
        <v>474914.19151104474</v>
      </c>
      <c r="AJ927" s="2">
        <v>446750.57396290917</v>
      </c>
      <c r="AL927" s="27">
        <v>0.91473160664030584</v>
      </c>
      <c r="AM927" s="27">
        <v>0.91501319263183167</v>
      </c>
      <c r="AN927" s="27">
        <v>0.90541194134422731</v>
      </c>
      <c r="AO927" s="27">
        <v>0.85659771623234271</v>
      </c>
      <c r="AP927" s="27">
        <v>0.60558712034791407</v>
      </c>
      <c r="AQ927" s="27">
        <v>0.91473160664030584</v>
      </c>
      <c r="AR927" s="27">
        <v>0.91501319263183167</v>
      </c>
      <c r="AS927" s="27">
        <v>0.90541194134422731</v>
      </c>
      <c r="AT927" s="27">
        <v>0.85659771623234271</v>
      </c>
      <c r="AU927" s="27">
        <v>0.60558712034791407</v>
      </c>
      <c r="AW927" s="1">
        <v>13.515824867978433</v>
      </c>
      <c r="AX927" s="1">
        <v>15.899584791317912</v>
      </c>
      <c r="AY927" s="2">
        <v>1765965.515097881</v>
      </c>
      <c r="AZ927" s="1">
        <v>15.259102284022612</v>
      </c>
      <c r="BA927" s="1">
        <v>17.507593604436554</v>
      </c>
      <c r="BB927" s="2">
        <v>1384107.8332624268</v>
      </c>
      <c r="BC927" s="2">
        <f t="shared" si="105"/>
        <v>-381857.68183545419</v>
      </c>
      <c r="BD927" s="292">
        <f t="shared" si="106"/>
        <v>1.7432774160441795</v>
      </c>
      <c r="BF927" s="170">
        <f t="shared" si="101"/>
        <v>396566.46377866832</v>
      </c>
      <c r="BG927" s="2">
        <f t="shared" si="102"/>
        <v>1057348.5321811913</v>
      </c>
      <c r="BI927">
        <f t="shared" si="103"/>
        <v>0</v>
      </c>
      <c r="BJ927" s="95">
        <f t="shared" si="104"/>
        <v>1</v>
      </c>
      <c r="BP927" s="217">
        <f t="shared" si="107"/>
        <v>1057348.5321811913</v>
      </c>
    </row>
    <row r="928" spans="1:68">
      <c r="A928" s="11">
        <v>922</v>
      </c>
      <c r="C928" s="27">
        <v>0.92354949287584009</v>
      </c>
      <c r="D928" s="27">
        <v>7.6450507124159892E-2</v>
      </c>
      <c r="E928" s="27">
        <v>0</v>
      </c>
      <c r="F928" s="27">
        <v>0.85598401125572909</v>
      </c>
      <c r="G928" s="27">
        <v>0.14401598874427091</v>
      </c>
      <c r="H928" s="27">
        <v>0</v>
      </c>
      <c r="I928" s="27">
        <v>0.76023202757482022</v>
      </c>
      <c r="J928" s="27">
        <v>0.2397679724251798</v>
      </c>
      <c r="K928" s="27">
        <v>0</v>
      </c>
      <c r="L928" s="27">
        <v>0.15279509073123965</v>
      </c>
      <c r="M928" s="27">
        <v>0.43010027117628369</v>
      </c>
      <c r="N928" s="27">
        <v>0.41710463809247667</v>
      </c>
      <c r="O928" s="27">
        <v>-11.082600500692893</v>
      </c>
      <c r="P928" s="27">
        <v>3.4794793336309908E-2</v>
      </c>
      <c r="Q928" s="27">
        <v>6.63067284789616E-5</v>
      </c>
      <c r="R928" s="27">
        <v>1.0585934812547455</v>
      </c>
      <c r="S928" s="154"/>
      <c r="T928">
        <v>0.95916285739297491</v>
      </c>
      <c r="U928">
        <v>2.2226294951221708</v>
      </c>
      <c r="V928">
        <v>3.2743290600254937</v>
      </c>
      <c r="W928">
        <v>1</v>
      </c>
      <c r="Y928" s="2">
        <v>5013.0158724102312</v>
      </c>
      <c r="Z928" s="2">
        <v>18165.149235865087</v>
      </c>
      <c r="AA928" s="2">
        <v>3190.1787958478399</v>
      </c>
      <c r="AB928" s="2">
        <v>1660.1011765119381</v>
      </c>
      <c r="AC928" s="2">
        <v>216.42479594588957</v>
      </c>
      <c r="AD928" s="2">
        <v>204.4823156630944</v>
      </c>
      <c r="AE928" s="2">
        <v>630.10144795586029</v>
      </c>
      <c r="AF928" s="2">
        <v>1081.463523500596</v>
      </c>
      <c r="AG928" s="2">
        <v>121.58732499570995</v>
      </c>
      <c r="AH928" s="2">
        <v>356.27004368524211</v>
      </c>
      <c r="AI928" s="2">
        <v>478828.94853695581</v>
      </c>
      <c r="AJ928" s="2">
        <v>440273.99268143566</v>
      </c>
      <c r="AL928" s="27">
        <v>0.91943268743256046</v>
      </c>
      <c r="AM928" s="27">
        <v>0.91897932278280181</v>
      </c>
      <c r="AN928" s="27">
        <v>0.90803257935522952</v>
      </c>
      <c r="AO928" s="27">
        <v>0.87249342742697267</v>
      </c>
      <c r="AP928" s="27">
        <v>0.76287421890035656</v>
      </c>
      <c r="AQ928" s="27">
        <v>0.91943268743256046</v>
      </c>
      <c r="AR928" s="27">
        <v>0.91897932278280181</v>
      </c>
      <c r="AS928" s="27">
        <v>0.90803257935522952</v>
      </c>
      <c r="AT928" s="27">
        <v>0.87249342742697267</v>
      </c>
      <c r="AU928" s="27">
        <v>0.76287421890035656</v>
      </c>
      <c r="AW928" s="1">
        <v>13.681661806706613</v>
      </c>
      <c r="AX928" s="1">
        <v>15.408284169240289</v>
      </c>
      <c r="AY928" s="2">
        <v>1873786.8055658638</v>
      </c>
      <c r="AZ928" s="1">
        <v>15.444164242484748</v>
      </c>
      <c r="BA928" s="1">
        <v>17.194818855253374</v>
      </c>
      <c r="BB928" s="2">
        <v>1199359.3461983374</v>
      </c>
      <c r="BC928" s="2">
        <f t="shared" si="105"/>
        <v>-674427.45936752646</v>
      </c>
      <c r="BD928" s="292">
        <f t="shared" si="106"/>
        <v>1.7625024357781349</v>
      </c>
      <c r="BF928" s="170">
        <f t="shared" si="101"/>
        <v>315279.08350719418</v>
      </c>
      <c r="BG928" s="2">
        <f t="shared" si="102"/>
        <v>1271706.9325992221</v>
      </c>
      <c r="BI928">
        <f t="shared" si="103"/>
        <v>0</v>
      </c>
      <c r="BJ928" s="95">
        <f t="shared" si="104"/>
        <v>1</v>
      </c>
      <c r="BP928" s="217">
        <f t="shared" si="107"/>
        <v>1271706.9325992221</v>
      </c>
    </row>
    <row r="929" spans="1:68">
      <c r="A929" s="11">
        <v>923</v>
      </c>
      <c r="C929" s="27">
        <v>0.92325359888986369</v>
      </c>
      <c r="D929" s="27">
        <v>7.6746401110136322E-2</v>
      </c>
      <c r="E929" s="27">
        <v>0</v>
      </c>
      <c r="F929" s="27">
        <v>0.85173991573526775</v>
      </c>
      <c r="G929" s="27">
        <v>0.14826008426473225</v>
      </c>
      <c r="H929" s="27">
        <v>0</v>
      </c>
      <c r="I929" s="27">
        <v>0.73961963112384677</v>
      </c>
      <c r="J929" s="27">
        <v>0.26038036887615323</v>
      </c>
      <c r="K929" s="27">
        <v>0</v>
      </c>
      <c r="L929" s="27">
        <v>0.23494601320947867</v>
      </c>
      <c r="M929" s="27">
        <v>0.43488753012878845</v>
      </c>
      <c r="N929" s="27">
        <v>0.33016645666173289</v>
      </c>
      <c r="O929" s="27">
        <v>-11.221756337861567</v>
      </c>
      <c r="P929" s="27">
        <v>3.2967284107919909E-2</v>
      </c>
      <c r="Q929" s="27">
        <v>5.3430414974557838E-5</v>
      </c>
      <c r="R929" s="27">
        <v>1.0947923428646438</v>
      </c>
      <c r="S929" s="154"/>
      <c r="T929">
        <v>1.0878957909963121</v>
      </c>
      <c r="U929">
        <v>2.2512330544264052</v>
      </c>
      <c r="V929">
        <v>3.0958421600200747</v>
      </c>
      <c r="W929">
        <v>1</v>
      </c>
      <c r="Y929" s="2">
        <v>32.404058324969292</v>
      </c>
      <c r="Z929" s="2">
        <v>3108.9074776412804</v>
      </c>
      <c r="AA929" s="2">
        <v>2895.1090176323169</v>
      </c>
      <c r="AB929" s="2">
        <v>7339.9056617488204</v>
      </c>
      <c r="AC929" s="2">
        <v>196.80458830930675</v>
      </c>
      <c r="AD929" s="2">
        <v>2544.4446661035754</v>
      </c>
      <c r="AE929" s="2">
        <v>533.6606288546634</v>
      </c>
      <c r="AF929" s="2">
        <v>1162.7184678009774</v>
      </c>
      <c r="AG929" s="2">
        <v>183.11865681011733</v>
      </c>
      <c r="AH929" s="2">
        <v>328.01814723247708</v>
      </c>
      <c r="AI929" s="2">
        <v>419633.58504217333</v>
      </c>
      <c r="AJ929" s="2">
        <v>391377.52735940076</v>
      </c>
      <c r="AL929" s="27">
        <v>0.92280607707815288</v>
      </c>
      <c r="AM929" s="27">
        <v>0.91649933847542875</v>
      </c>
      <c r="AN929" s="27">
        <v>0.91131034041429293</v>
      </c>
      <c r="AO929" s="27">
        <v>0.87628491614375092</v>
      </c>
      <c r="AP929" s="27">
        <v>0.75909767270467476</v>
      </c>
      <c r="AQ929" s="27">
        <v>0.92280607707815288</v>
      </c>
      <c r="AR929" s="27">
        <v>0.91649933847542875</v>
      </c>
      <c r="AS929" s="27">
        <v>0.91131034041429293</v>
      </c>
      <c r="AT929" s="27">
        <v>0.87628491614375092</v>
      </c>
      <c r="AU929" s="27">
        <v>0.75909767270467476</v>
      </c>
      <c r="AW929" s="1">
        <v>13.453825685251632</v>
      </c>
      <c r="AX929" s="1">
        <v>15.213279825531481</v>
      </c>
      <c r="AY929" s="2">
        <v>1600905.7109036669</v>
      </c>
      <c r="AZ929" s="1">
        <v>15.476791958008764</v>
      </c>
      <c r="BA929" s="1">
        <v>17.241461210133625</v>
      </c>
      <c r="BB929" s="2">
        <v>1289933.7594300811</v>
      </c>
      <c r="BC929" s="2">
        <f t="shared" si="105"/>
        <v>-310971.9514735858</v>
      </c>
      <c r="BD929" s="292">
        <f t="shared" si="106"/>
        <v>2.0229662727571327</v>
      </c>
      <c r="BF929" s="170">
        <f t="shared" si="101"/>
        <v>551706.39873659424</v>
      </c>
      <c r="BG929" s="2">
        <f t="shared" si="102"/>
        <v>1186352.9538513212</v>
      </c>
      <c r="BI929">
        <f t="shared" si="103"/>
        <v>0</v>
      </c>
      <c r="BJ929" s="95">
        <f t="shared" si="104"/>
        <v>1</v>
      </c>
      <c r="BP929" s="217">
        <f t="shared" si="107"/>
        <v>1186352.9538513212</v>
      </c>
    </row>
    <row r="930" spans="1:68">
      <c r="A930" s="11">
        <v>924</v>
      </c>
      <c r="C930" s="27">
        <v>0.92514769996501611</v>
      </c>
      <c r="D930" s="27">
        <v>7.4852300034983887E-2</v>
      </c>
      <c r="E930" s="27">
        <v>0</v>
      </c>
      <c r="F930" s="27">
        <v>0.85538494143612176</v>
      </c>
      <c r="G930" s="27">
        <v>0.14461505856387824</v>
      </c>
      <c r="H930" s="27">
        <v>0</v>
      </c>
      <c r="I930" s="27">
        <v>0.75640688331370254</v>
      </c>
      <c r="J930" s="27">
        <v>0.24359311668629743</v>
      </c>
      <c r="K930" s="27">
        <v>0</v>
      </c>
      <c r="L930" s="27">
        <v>0.11272596584272776</v>
      </c>
      <c r="M930" s="27">
        <v>0.46630594233943229</v>
      </c>
      <c r="N930" s="27">
        <v>0.42096809181784001</v>
      </c>
      <c r="O930" s="27">
        <v>-11.524044822432831</v>
      </c>
      <c r="P930" s="27">
        <v>3.6663021573384476E-2</v>
      </c>
      <c r="Q930" s="27">
        <v>4.6123041539619169E-5</v>
      </c>
      <c r="R930" s="27">
        <v>1.1043416063517455</v>
      </c>
      <c r="S930" s="154"/>
      <c r="T930">
        <v>0.90942313187433732</v>
      </c>
      <c r="U930">
        <v>2.20667834148193</v>
      </c>
      <c r="V930">
        <v>3.3369680207473333</v>
      </c>
      <c r="W930">
        <v>1</v>
      </c>
      <c r="Y930" s="2">
        <v>1137.4983754282812</v>
      </c>
      <c r="Z930" s="2">
        <v>2420.0150600694428</v>
      </c>
      <c r="AA930" s="2">
        <v>3716.3047398700533</v>
      </c>
      <c r="AB930" s="2">
        <v>6369.5571523893695</v>
      </c>
      <c r="AC930" s="2">
        <v>2310.2130343573517</v>
      </c>
      <c r="AD930" s="2">
        <v>35.675410438031534</v>
      </c>
      <c r="AE930" s="2">
        <v>633.69661781730736</v>
      </c>
      <c r="AF930" s="2">
        <v>1185.4496517072914</v>
      </c>
      <c r="AG930" s="2">
        <v>205.7674208787497</v>
      </c>
      <c r="AH930" s="2">
        <v>432.43565101946785</v>
      </c>
      <c r="AI930" s="2">
        <v>546546.3469279994</v>
      </c>
      <c r="AJ930" s="2">
        <v>519395.84835873655</v>
      </c>
      <c r="AL930" s="27">
        <v>0.9148414989207827</v>
      </c>
      <c r="AM930" s="27">
        <v>0.91534370194512493</v>
      </c>
      <c r="AN930" s="27">
        <v>0.91092894588246209</v>
      </c>
      <c r="AO930" s="27">
        <v>0.80238266555336635</v>
      </c>
      <c r="AP930" s="27">
        <v>0.63088761808708871</v>
      </c>
      <c r="AQ930" s="27">
        <v>0.9148414989207827</v>
      </c>
      <c r="AR930" s="27">
        <v>0.91534370194512493</v>
      </c>
      <c r="AS930" s="27">
        <v>0.91092894588246209</v>
      </c>
      <c r="AT930" s="27">
        <v>0.80238266555336635</v>
      </c>
      <c r="AU930" s="27">
        <v>0.63088761808708871</v>
      </c>
      <c r="AW930" s="1">
        <v>13.429415093567332</v>
      </c>
      <c r="AX930" s="1">
        <v>15.615507425621676</v>
      </c>
      <c r="AY930" s="2">
        <v>1855672.6056925852</v>
      </c>
      <c r="AZ930" s="1">
        <v>15.109903798240396</v>
      </c>
      <c r="BA930" s="1">
        <v>17.214938016527693</v>
      </c>
      <c r="BB930" s="2">
        <v>1482172.8774552725</v>
      </c>
      <c r="BC930" s="2">
        <f t="shared" si="105"/>
        <v>-373499.72823731275</v>
      </c>
      <c r="BD930" s="292">
        <f t="shared" si="106"/>
        <v>1.6804887046730634</v>
      </c>
      <c r="BF930" s="170">
        <f t="shared" si="101"/>
        <v>293033.80927818804</v>
      </c>
      <c r="BG930" s="2">
        <f t="shared" si="102"/>
        <v>935411.73026319104</v>
      </c>
      <c r="BI930">
        <f t="shared" si="103"/>
        <v>0</v>
      </c>
      <c r="BJ930" s="95">
        <f t="shared" si="104"/>
        <v>1</v>
      </c>
      <c r="BP930" s="217">
        <f t="shared" si="107"/>
        <v>935411.73026319104</v>
      </c>
    </row>
    <row r="931" spans="1:68">
      <c r="A931" s="11">
        <v>925</v>
      </c>
      <c r="C931" s="27">
        <v>0.92514613634552656</v>
      </c>
      <c r="D931" s="27">
        <v>7.485386365447344E-2</v>
      </c>
      <c r="E931" s="27">
        <v>0</v>
      </c>
      <c r="F931" s="27">
        <v>0.8539367008245855</v>
      </c>
      <c r="G931" s="27">
        <v>0.1460632991754145</v>
      </c>
      <c r="H931" s="27">
        <v>0</v>
      </c>
      <c r="I931" s="27">
        <v>0.74923591997742145</v>
      </c>
      <c r="J931" s="27">
        <v>0.25076408002257855</v>
      </c>
      <c r="K931" s="27">
        <v>0</v>
      </c>
      <c r="L931" s="27">
        <v>0.24055896398864735</v>
      </c>
      <c r="M931" s="27">
        <v>0.50014095077791532</v>
      </c>
      <c r="N931" s="27">
        <v>0.25930008523343734</v>
      </c>
      <c r="O931" s="27">
        <v>-11.265244980423327</v>
      </c>
      <c r="P931" s="27">
        <v>3.7048710431312769E-2</v>
      </c>
      <c r="Q931" s="27">
        <v>6.0722324562066756E-5</v>
      </c>
      <c r="R931" s="27">
        <v>1.0665969504489821</v>
      </c>
      <c r="S931" s="154"/>
      <c r="T931">
        <v>1.1436982619907197</v>
      </c>
      <c r="U931">
        <v>2.2224005847802135</v>
      </c>
      <c r="V931">
        <v>2.9279064312665843</v>
      </c>
      <c r="W931">
        <v>1</v>
      </c>
      <c r="Y931" s="2">
        <v>809.37932494915219</v>
      </c>
      <c r="Z931" s="2">
        <v>1483.7763331312228</v>
      </c>
      <c r="AA931" s="2">
        <v>1809.5843284703458</v>
      </c>
      <c r="AB931" s="2">
        <v>1645.5863945626165</v>
      </c>
      <c r="AC931" s="2">
        <v>99.276126803902116</v>
      </c>
      <c r="AD931" s="2">
        <v>605.35170308190357</v>
      </c>
      <c r="AE931" s="2">
        <v>543.19537411202555</v>
      </c>
      <c r="AF931" s="2">
        <v>1289.5130626957764</v>
      </c>
      <c r="AG931" s="2">
        <v>131.85987419369749</v>
      </c>
      <c r="AH931" s="2">
        <v>439.24001125225658</v>
      </c>
      <c r="AI931" s="2">
        <v>418919.01461898192</v>
      </c>
      <c r="AJ931" s="2">
        <v>393125.31217784272</v>
      </c>
      <c r="AL931" s="27">
        <v>0.91484199108735365</v>
      </c>
      <c r="AM931" s="27">
        <v>0.9139601110122646</v>
      </c>
      <c r="AN931" s="27">
        <v>0.91710571535055119</v>
      </c>
      <c r="AO931" s="27">
        <v>0.88401981050421119</v>
      </c>
      <c r="AP931" s="27">
        <v>0.71980666512884051</v>
      </c>
      <c r="AQ931" s="27">
        <v>0.91484199108735365</v>
      </c>
      <c r="AR931" s="27">
        <v>0.9139601110122646</v>
      </c>
      <c r="AS931" s="27">
        <v>0.91710571535055119</v>
      </c>
      <c r="AT931" s="27">
        <v>0.88401981050421119</v>
      </c>
      <c r="AU931" s="27">
        <v>0.71980666512884051</v>
      </c>
      <c r="AW931" s="1">
        <v>13.785411558395902</v>
      </c>
      <c r="AX931" s="1">
        <v>15.935661765511961</v>
      </c>
      <c r="AY931" s="2">
        <v>1948744.8633105129</v>
      </c>
      <c r="AZ931" s="1">
        <v>15.774112340570252</v>
      </c>
      <c r="BA931" s="1">
        <v>17.822120852589396</v>
      </c>
      <c r="BB931" s="2">
        <v>1358182.5704067273</v>
      </c>
      <c r="BC931" s="2">
        <f t="shared" si="105"/>
        <v>-590562.29290378559</v>
      </c>
      <c r="BD931" s="292">
        <f t="shared" si="106"/>
        <v>1.9887007821743499</v>
      </c>
      <c r="BF931" s="170">
        <f t="shared" si="101"/>
        <v>256920.98603283125</v>
      </c>
      <c r="BG931" s="2">
        <f t="shared" si="102"/>
        <v>1165675.4040845132</v>
      </c>
      <c r="BI931">
        <f t="shared" si="103"/>
        <v>0</v>
      </c>
      <c r="BJ931" s="95">
        <f t="shared" si="104"/>
        <v>1</v>
      </c>
      <c r="BP931" s="217">
        <f t="shared" si="107"/>
        <v>1165675.4040845132</v>
      </c>
    </row>
    <row r="932" spans="1:68">
      <c r="A932" s="11">
        <v>926</v>
      </c>
      <c r="C932" s="27">
        <v>0.92346523403633218</v>
      </c>
      <c r="D932" s="27">
        <v>7.6534765963667789E-2</v>
      </c>
      <c r="E932" s="27">
        <v>0</v>
      </c>
      <c r="F932" s="27">
        <v>0.85599919628587862</v>
      </c>
      <c r="G932" s="27">
        <v>0.14400080371412138</v>
      </c>
      <c r="H932" s="27">
        <v>0</v>
      </c>
      <c r="I932" s="27">
        <v>0.74857894034821193</v>
      </c>
      <c r="J932" s="27">
        <v>0.25142105965178807</v>
      </c>
      <c r="K932" s="27">
        <v>0</v>
      </c>
      <c r="L932" s="27">
        <v>0.10444380171252243</v>
      </c>
      <c r="M932" s="27">
        <v>0.50534257622911971</v>
      </c>
      <c r="N932" s="27">
        <v>0.39021362205835786</v>
      </c>
      <c r="O932" s="27">
        <v>-11.105866540047499</v>
      </c>
      <c r="P932" s="27">
        <v>3.4510431312007157E-2</v>
      </c>
      <c r="Q932" s="27">
        <v>6.4012740446278506E-5</v>
      </c>
      <c r="R932" s="27">
        <v>1.0567919923959506</v>
      </c>
      <c r="S932" s="154"/>
      <c r="T932">
        <v>0.93861001985550641</v>
      </c>
      <c r="U932">
        <v>2.3247768979523449</v>
      </c>
      <c r="V932">
        <v>3.0789423345023352</v>
      </c>
      <c r="W932">
        <v>1</v>
      </c>
      <c r="Y932" s="2">
        <v>145.85009329394478</v>
      </c>
      <c r="Z932" s="2">
        <v>1512.5598887102387</v>
      </c>
      <c r="AA932" s="2">
        <v>769.93664916017667</v>
      </c>
      <c r="AB932" s="2">
        <v>4282.6500287191157</v>
      </c>
      <c r="AC932" s="2">
        <v>107.03214786854144</v>
      </c>
      <c r="AD932" s="2">
        <v>1115.9275499337291</v>
      </c>
      <c r="AE932" s="2">
        <v>569.56608730547464</v>
      </c>
      <c r="AF932" s="2">
        <v>963.69050927423166</v>
      </c>
      <c r="AG932" s="2">
        <v>113.97849772756736</v>
      </c>
      <c r="AH932" s="2">
        <v>260.24063038597058</v>
      </c>
      <c r="AI932" s="2">
        <v>511294.12504593306</v>
      </c>
      <c r="AJ932" s="2">
        <v>488334.83213394071</v>
      </c>
      <c r="AL932" s="27">
        <v>0.92239891443716671</v>
      </c>
      <c r="AM932" s="27">
        <v>0.91930129304138031</v>
      </c>
      <c r="AN932" s="27">
        <v>0.91111425456300821</v>
      </c>
      <c r="AO932" s="27">
        <v>0.89382195548959209</v>
      </c>
      <c r="AP932" s="27">
        <v>0.71421030081117043</v>
      </c>
      <c r="AQ932" s="27">
        <v>0.92239891443716671</v>
      </c>
      <c r="AR932" s="27">
        <v>0.91930129304138031</v>
      </c>
      <c r="AS932" s="27">
        <v>0.91111425456300821</v>
      </c>
      <c r="AT932" s="27">
        <v>0.89382195548959209</v>
      </c>
      <c r="AU932" s="27">
        <v>0.71421030081117043</v>
      </c>
      <c r="AW932" s="1">
        <v>13.854991745849187</v>
      </c>
      <c r="AX932" s="1">
        <v>15.781115217607217</v>
      </c>
      <c r="AY932" s="2">
        <v>1966819.1513949779</v>
      </c>
      <c r="AZ932" s="1">
        <v>15.515057121761032</v>
      </c>
      <c r="BA932" s="1">
        <v>17.396831882525667</v>
      </c>
      <c r="BB932" s="2">
        <v>1512834.0211160369</v>
      </c>
      <c r="BC932" s="2">
        <f t="shared" si="105"/>
        <v>-453985.13027894101</v>
      </c>
      <c r="BD932" s="292">
        <f t="shared" si="106"/>
        <v>1.6600653759118451</v>
      </c>
      <c r="BF932" s="170">
        <f t="shared" si="101"/>
        <v>249979.52794089192</v>
      </c>
      <c r="BG932" s="2">
        <f t="shared" si="102"/>
        <v>969575.1183657283</v>
      </c>
      <c r="BI932">
        <f t="shared" si="103"/>
        <v>0</v>
      </c>
      <c r="BJ932" s="95">
        <f t="shared" si="104"/>
        <v>1</v>
      </c>
      <c r="BP932" s="217">
        <f t="shared" si="107"/>
        <v>969575.1183657283</v>
      </c>
    </row>
    <row r="933" spans="1:68">
      <c r="A933" s="11">
        <v>927</v>
      </c>
      <c r="C933" s="27">
        <v>0.92470467781751264</v>
      </c>
      <c r="D933" s="27">
        <v>7.5295322182487329E-2</v>
      </c>
      <c r="E933" s="27">
        <v>0</v>
      </c>
      <c r="F933" s="27">
        <v>0.85355046888483554</v>
      </c>
      <c r="G933" s="27">
        <v>0.14644953111516446</v>
      </c>
      <c r="H933" s="27">
        <v>0</v>
      </c>
      <c r="I933" s="27">
        <v>0.752485170521626</v>
      </c>
      <c r="J933" s="27">
        <v>0.247514829478374</v>
      </c>
      <c r="K933" s="27">
        <v>0</v>
      </c>
      <c r="L933" s="27">
        <v>8.8812213469686041E-2</v>
      </c>
      <c r="M933" s="27">
        <v>0.49352964279362216</v>
      </c>
      <c r="N933" s="27">
        <v>0.41765814373669174</v>
      </c>
      <c r="O933" s="27">
        <v>-11.59196428906864</v>
      </c>
      <c r="P933" s="27">
        <v>3.9115214997592067E-2</v>
      </c>
      <c r="Q933" s="27">
        <v>4.7769401512175114E-5</v>
      </c>
      <c r="R933" s="27">
        <v>1.1018178131484506</v>
      </c>
      <c r="S933" s="154"/>
      <c r="T933">
        <v>1.0144323492775289</v>
      </c>
      <c r="U933">
        <v>2.2607475079673915</v>
      </c>
      <c r="V933">
        <v>2.8374801397515892</v>
      </c>
      <c r="W933">
        <v>1</v>
      </c>
      <c r="Y933" s="2">
        <v>2031.468242328343</v>
      </c>
      <c r="Z933" s="2">
        <v>4102.654359412636</v>
      </c>
      <c r="AA933" s="2">
        <v>1553.0609806127259</v>
      </c>
      <c r="AB933" s="2">
        <v>5679.613818917207</v>
      </c>
      <c r="AC933" s="2">
        <v>980.30222493983706</v>
      </c>
      <c r="AD933" s="2">
        <v>722.24814567072372</v>
      </c>
      <c r="AE933" s="2">
        <v>530.1070777170678</v>
      </c>
      <c r="AF933" s="2">
        <v>886.2679973800266</v>
      </c>
      <c r="AG933" s="2">
        <v>72.961239226571621</v>
      </c>
      <c r="AH933" s="2">
        <v>573.0608452746319</v>
      </c>
      <c r="AI933" s="2">
        <v>533052.09659496532</v>
      </c>
      <c r="AJ933" s="2">
        <v>505624.1472884565</v>
      </c>
      <c r="AL933" s="27">
        <v>0.91578503164528768</v>
      </c>
      <c r="AM933" s="27">
        <v>0.91740690933414215</v>
      </c>
      <c r="AN933" s="27">
        <v>0.90639824855963236</v>
      </c>
      <c r="AO933" s="27">
        <v>0.90177948631326732</v>
      </c>
      <c r="AP933" s="27">
        <v>0.67360898668038971</v>
      </c>
      <c r="AQ933" s="27">
        <v>0.91578503164528768</v>
      </c>
      <c r="AR933" s="27">
        <v>0.91740690933414215</v>
      </c>
      <c r="AS933" s="27">
        <v>0.90639824855963236</v>
      </c>
      <c r="AT933" s="27">
        <v>0.90177948631326732</v>
      </c>
      <c r="AU933" s="27">
        <v>0.67360898668038971</v>
      </c>
      <c r="AW933" s="1">
        <v>13.33608356611194</v>
      </c>
      <c r="AX933" s="1">
        <v>15.371464714841649</v>
      </c>
      <c r="AY933" s="2">
        <v>1964238.6913226785</v>
      </c>
      <c r="AZ933" s="1">
        <v>15.234260780737477</v>
      </c>
      <c r="BA933" s="1">
        <v>17.2162621792286</v>
      </c>
      <c r="BB933" s="2">
        <v>1458830.5862462015</v>
      </c>
      <c r="BC933" s="2">
        <f t="shared" si="105"/>
        <v>-505408.10507647693</v>
      </c>
      <c r="BD933" s="292">
        <f t="shared" si="106"/>
        <v>1.8981772146255373</v>
      </c>
      <c r="BF933" s="170">
        <f t="shared" si="101"/>
        <v>169534.67925523198</v>
      </c>
      <c r="BG933" s="2">
        <f t="shared" si="102"/>
        <v>978651.13867179467</v>
      </c>
      <c r="BI933">
        <f t="shared" si="103"/>
        <v>0</v>
      </c>
      <c r="BJ933" s="95">
        <f t="shared" si="104"/>
        <v>1</v>
      </c>
      <c r="BP933" s="217">
        <f t="shared" si="107"/>
        <v>978651.13867179467</v>
      </c>
    </row>
    <row r="934" spans="1:68">
      <c r="A934" s="11">
        <v>928</v>
      </c>
      <c r="C934" s="27">
        <v>0.92495027849359923</v>
      </c>
      <c r="D934" s="27">
        <v>7.504972150640081E-2</v>
      </c>
      <c r="E934" s="27">
        <v>0</v>
      </c>
      <c r="F934" s="27">
        <v>0.85723514403922174</v>
      </c>
      <c r="G934" s="27">
        <v>0.14276485596077829</v>
      </c>
      <c r="H934" s="27">
        <v>0</v>
      </c>
      <c r="I934" s="27">
        <v>0.75825272900178975</v>
      </c>
      <c r="J934" s="27">
        <v>0.24174727099821028</v>
      </c>
      <c r="K934" s="27">
        <v>0</v>
      </c>
      <c r="L934" s="27">
        <v>8.4254784973651686E-2</v>
      </c>
      <c r="M934" s="27">
        <v>0.52405791673234958</v>
      </c>
      <c r="N934" s="27">
        <v>0.39168729829399873</v>
      </c>
      <c r="O934" s="27">
        <v>-10.709703533429737</v>
      </c>
      <c r="P934" s="27">
        <v>3.2766732373922414E-2</v>
      </c>
      <c r="Q934" s="27">
        <v>8.8412183649781248E-5</v>
      </c>
      <c r="R934" s="27">
        <v>1.0260199585535774</v>
      </c>
      <c r="S934" s="154"/>
      <c r="T934">
        <v>1.0795483791218061</v>
      </c>
      <c r="U934">
        <v>2.2231737520611494</v>
      </c>
      <c r="V934">
        <v>2.8872356215072248</v>
      </c>
      <c r="W934">
        <v>1</v>
      </c>
      <c r="Y934" s="2">
        <v>509.03289463043524</v>
      </c>
      <c r="Z934" s="2">
        <v>1031.4827912667899</v>
      </c>
      <c r="AA934" s="2">
        <v>1947.8612896798029</v>
      </c>
      <c r="AB934" s="2">
        <v>271.75963399197377</v>
      </c>
      <c r="AC934" s="2">
        <v>2924.12466529525</v>
      </c>
      <c r="AD934" s="2">
        <v>520.06195058673836</v>
      </c>
      <c r="AE934" s="2">
        <v>569.63688373756304</v>
      </c>
      <c r="AF934" s="2">
        <v>1098.7942110533904</v>
      </c>
      <c r="AG934" s="2">
        <v>70.609899859179663</v>
      </c>
      <c r="AH934" s="2">
        <v>214.21397621908352</v>
      </c>
      <c r="AI934" s="2">
        <v>512229.54327487724</v>
      </c>
      <c r="AJ934" s="2">
        <v>485384.22367582633</v>
      </c>
      <c r="AL934" s="27">
        <v>0.91790913194127799</v>
      </c>
      <c r="AM934" s="27">
        <v>0.921463070195084</v>
      </c>
      <c r="AN934" s="27">
        <v>0.91809652037320666</v>
      </c>
      <c r="AO934" s="27">
        <v>0.84719925224863379</v>
      </c>
      <c r="AP934" s="27">
        <v>0.67395690335907787</v>
      </c>
      <c r="AQ934" s="27">
        <v>0.91790913194127799</v>
      </c>
      <c r="AR934" s="27">
        <v>0.921463070195084</v>
      </c>
      <c r="AS934" s="27">
        <v>0.91809652037320666</v>
      </c>
      <c r="AT934" s="27">
        <v>0.84719925224863379</v>
      </c>
      <c r="AU934" s="27">
        <v>0.67395690335907787</v>
      </c>
      <c r="AW934" s="1">
        <v>13.419620858144865</v>
      </c>
      <c r="AX934" s="1">
        <v>15.558517781942419</v>
      </c>
      <c r="AY934" s="2">
        <v>2086976.4373277531</v>
      </c>
      <c r="AZ934" s="1">
        <v>15.477316488994894</v>
      </c>
      <c r="BA934" s="1">
        <v>17.49516571790846</v>
      </c>
      <c r="BB934" s="2">
        <v>1431190.6386270386</v>
      </c>
      <c r="BC934" s="2">
        <f t="shared" si="105"/>
        <v>-655785.79870071448</v>
      </c>
      <c r="BD934" s="292">
        <f t="shared" si="106"/>
        <v>2.0576956308500289</v>
      </c>
      <c r="BF934" s="170">
        <f t="shared" si="101"/>
        <v>60162.899975425331</v>
      </c>
      <c r="BG934" s="2">
        <f t="shared" si="102"/>
        <v>1045179.9996121444</v>
      </c>
      <c r="BI934">
        <f t="shared" si="103"/>
        <v>0</v>
      </c>
      <c r="BJ934" s="95">
        <f t="shared" si="104"/>
        <v>1</v>
      </c>
      <c r="BP934" s="217">
        <f t="shared" si="107"/>
        <v>1045179.9996121444</v>
      </c>
    </row>
    <row r="935" spans="1:68">
      <c r="A935" s="11">
        <v>929</v>
      </c>
      <c r="C935" s="27">
        <v>0.92605047565216514</v>
      </c>
      <c r="D935" s="27">
        <v>7.3949524347834861E-2</v>
      </c>
      <c r="E935" s="27">
        <v>0</v>
      </c>
      <c r="F935" s="27">
        <v>0.8576666597537036</v>
      </c>
      <c r="G935" s="27">
        <v>0.1423333402462964</v>
      </c>
      <c r="H935" s="27">
        <v>0</v>
      </c>
      <c r="I935" s="27">
        <v>0.74635761428757008</v>
      </c>
      <c r="J935" s="27">
        <v>0.25364238571242992</v>
      </c>
      <c r="K935" s="27">
        <v>0</v>
      </c>
      <c r="L935" s="27">
        <v>0.22072471989522213</v>
      </c>
      <c r="M935" s="27">
        <v>0.42630883555057753</v>
      </c>
      <c r="N935" s="27">
        <v>0.35296644455420034</v>
      </c>
      <c r="O935" s="27">
        <v>-11.015455720694044</v>
      </c>
      <c r="P935" s="27">
        <v>3.2483250904369154E-2</v>
      </c>
      <c r="Q935" s="27">
        <v>6.4350929298676455E-5</v>
      </c>
      <c r="R935" s="27">
        <v>1.0698848862406891</v>
      </c>
      <c r="S935" s="154"/>
      <c r="T935">
        <v>1.0005284190271986</v>
      </c>
      <c r="U935">
        <v>2.283891908644978</v>
      </c>
      <c r="V935">
        <v>2.9743639687828054</v>
      </c>
      <c r="W935">
        <v>1</v>
      </c>
      <c r="Y935" s="2">
        <v>605.50003685195963</v>
      </c>
      <c r="Z935" s="2">
        <v>6086.5832153426863</v>
      </c>
      <c r="AA935" s="2">
        <v>1066.7872832989676</v>
      </c>
      <c r="AB935" s="2">
        <v>1565.3372137689769</v>
      </c>
      <c r="AC935" s="2">
        <v>358.54241141047174</v>
      </c>
      <c r="AD935" s="2">
        <v>142.16004703490287</v>
      </c>
      <c r="AE935" s="2">
        <v>640.70277369212636</v>
      </c>
      <c r="AF935" s="2">
        <v>894.04889170926947</v>
      </c>
      <c r="AG935" s="2">
        <v>173.02568008667365</v>
      </c>
      <c r="AH935" s="2">
        <v>395.68054852552859</v>
      </c>
      <c r="AI935" s="2">
        <v>635695.38974024705</v>
      </c>
      <c r="AJ935" s="2">
        <v>595223.65732826898</v>
      </c>
      <c r="AL935" s="27">
        <v>0.91620804946146694</v>
      </c>
      <c r="AM935" s="27">
        <v>0.91965159991922674</v>
      </c>
      <c r="AN935" s="27">
        <v>0.91093247078651096</v>
      </c>
      <c r="AO935" s="27">
        <v>0.79818483135086704</v>
      </c>
      <c r="AP935" s="27">
        <v>0.70019346661017745</v>
      </c>
      <c r="AQ935" s="27">
        <v>0.91620804946146694</v>
      </c>
      <c r="AR935" s="27">
        <v>0.91965159991922674</v>
      </c>
      <c r="AS935" s="27">
        <v>0.91093247078651096</v>
      </c>
      <c r="AT935" s="27">
        <v>0.79818483135086704</v>
      </c>
      <c r="AU935" s="27">
        <v>0.70019346661017745</v>
      </c>
      <c r="AW935" s="1">
        <v>13.529782534845745</v>
      </c>
      <c r="AX935" s="1">
        <v>15.557022184659617</v>
      </c>
      <c r="AY935" s="2">
        <v>2278182.3481411361</v>
      </c>
      <c r="AZ935" s="1">
        <v>15.38505960324944</v>
      </c>
      <c r="BA935" s="1">
        <v>17.353787893468681</v>
      </c>
      <c r="BB935" s="2">
        <v>1586662.5777556861</v>
      </c>
      <c r="BC935" s="2">
        <f t="shared" si="105"/>
        <v>-691519.77038544999</v>
      </c>
      <c r="BD935" s="292">
        <f t="shared" si="106"/>
        <v>1.8552770684036943</v>
      </c>
      <c r="BF935" s="170">
        <f t="shared" si="101"/>
        <v>-113417.14256581664</v>
      </c>
      <c r="BG935" s="2">
        <f t="shared" si="102"/>
        <v>874946.95876422408</v>
      </c>
      <c r="BI935">
        <f t="shared" si="103"/>
        <v>0</v>
      </c>
      <c r="BJ935" s="95">
        <f t="shared" si="104"/>
        <v>1</v>
      </c>
      <c r="BP935" s="217">
        <f t="shared" si="107"/>
        <v>874946.95876422408</v>
      </c>
    </row>
    <row r="936" spans="1:68">
      <c r="A936" s="11">
        <v>930</v>
      </c>
      <c r="C936" s="27">
        <v>0.92326820899922546</v>
      </c>
      <c r="D936" s="27">
        <v>7.6731791000774485E-2</v>
      </c>
      <c r="E936" s="27">
        <v>0</v>
      </c>
      <c r="F936" s="27">
        <v>0.85874737267425838</v>
      </c>
      <c r="G936" s="27">
        <v>0.14125262732574165</v>
      </c>
      <c r="H936" s="27">
        <v>0</v>
      </c>
      <c r="I936" s="27">
        <v>0.74087899993583173</v>
      </c>
      <c r="J936" s="27">
        <v>0.25912100006416827</v>
      </c>
      <c r="K936" s="27">
        <v>0</v>
      </c>
      <c r="L936" s="27">
        <v>0.11945292968517596</v>
      </c>
      <c r="M936" s="27">
        <v>0.50410741940727188</v>
      </c>
      <c r="N936" s="27">
        <v>0.37643965090755216</v>
      </c>
      <c r="O936" s="27">
        <v>-11.280352219707854</v>
      </c>
      <c r="P936" s="27">
        <v>3.2345551796558979E-2</v>
      </c>
      <c r="Q936" s="27">
        <v>4.9090793577777005E-5</v>
      </c>
      <c r="R936" s="27">
        <v>1.1122387419437523</v>
      </c>
      <c r="S936" s="154"/>
      <c r="T936">
        <v>0.9501105667675831</v>
      </c>
      <c r="U936">
        <v>2.2286810357888913</v>
      </c>
      <c r="V936">
        <v>2.6912651034173054</v>
      </c>
      <c r="W936">
        <v>1</v>
      </c>
      <c r="Y936" s="2">
        <v>1708.6224002023603</v>
      </c>
      <c r="Z936" s="2">
        <v>5276.8209590937277</v>
      </c>
      <c r="AA936" s="2">
        <v>923.45864124939339</v>
      </c>
      <c r="AB936" s="2">
        <v>2914.786037388058</v>
      </c>
      <c r="AC936" s="2">
        <v>136.08176420374733</v>
      </c>
      <c r="AD936" s="2">
        <v>1213.0162323236341</v>
      </c>
      <c r="AE936" s="2">
        <v>564.5571025437398</v>
      </c>
      <c r="AF936" s="2">
        <v>990.12562968308032</v>
      </c>
      <c r="AG936" s="2">
        <v>122.48211338832282</v>
      </c>
      <c r="AH936" s="2">
        <v>315.19461386374593</v>
      </c>
      <c r="AI936" s="2">
        <v>411785.97067016893</v>
      </c>
      <c r="AJ936" s="2">
        <v>393343.19354348344</v>
      </c>
      <c r="AL936" s="27">
        <v>0.91878208245055148</v>
      </c>
      <c r="AM936" s="27">
        <v>0.91468521170959338</v>
      </c>
      <c r="AN936" s="27">
        <v>0.91106639828011027</v>
      </c>
      <c r="AO936" s="27">
        <v>0.86566474821565265</v>
      </c>
      <c r="AP936" s="27">
        <v>0.67391380653838062</v>
      </c>
      <c r="AQ936" s="27">
        <v>0.91878208245055148</v>
      </c>
      <c r="AR936" s="27">
        <v>0.91468521170959338</v>
      </c>
      <c r="AS936" s="27">
        <v>0.91106639828011027</v>
      </c>
      <c r="AT936" s="27">
        <v>0.86566474821565265</v>
      </c>
      <c r="AU936" s="27">
        <v>0.67391380653838062</v>
      </c>
      <c r="AW936" s="1">
        <v>13.566093422821629</v>
      </c>
      <c r="AX936" s="1">
        <v>15.595446036746479</v>
      </c>
      <c r="AY936" s="2">
        <v>1507323.3947689466</v>
      </c>
      <c r="AZ936" s="1">
        <v>15.234633164513138</v>
      </c>
      <c r="BA936" s="1">
        <v>17.215319134352537</v>
      </c>
      <c r="BB936" s="2">
        <v>1127023.291523562</v>
      </c>
      <c r="BC936" s="2">
        <f t="shared" si="105"/>
        <v>-380300.10324538453</v>
      </c>
      <c r="BD936" s="292">
        <f t="shared" si="106"/>
        <v>1.6685397416915091</v>
      </c>
      <c r="BF936" s="170">
        <f t="shared" si="101"/>
        <v>663251.5528825142</v>
      </c>
      <c r="BG936" s="2">
        <f t="shared" si="102"/>
        <v>1310518.0147985399</v>
      </c>
      <c r="BI936">
        <f t="shared" si="103"/>
        <v>0</v>
      </c>
      <c r="BJ936" s="95">
        <f t="shared" si="104"/>
        <v>1</v>
      </c>
      <c r="BP936" s="217">
        <f t="shared" si="107"/>
        <v>1310518.0147985399</v>
      </c>
    </row>
    <row r="937" spans="1:68">
      <c r="A937" s="11">
        <v>931</v>
      </c>
      <c r="C937" s="27">
        <v>0.92469842451454631</v>
      </c>
      <c r="D937" s="27">
        <v>7.5301575485453728E-2</v>
      </c>
      <c r="E937" s="27">
        <v>0</v>
      </c>
      <c r="F937" s="27">
        <v>0.85654104572281964</v>
      </c>
      <c r="G937" s="27">
        <v>0.14345895427718036</v>
      </c>
      <c r="H937" s="27">
        <v>0</v>
      </c>
      <c r="I937" s="27">
        <v>0.75338045522251451</v>
      </c>
      <c r="J937" s="27">
        <v>0.24661954477748549</v>
      </c>
      <c r="K937" s="27">
        <v>0</v>
      </c>
      <c r="L937" s="27">
        <v>0.16908193952277517</v>
      </c>
      <c r="M937" s="27">
        <v>0.4752770374809972</v>
      </c>
      <c r="N937" s="27">
        <v>0.35564102299622768</v>
      </c>
      <c r="O937" s="27">
        <v>-10.719490305433947</v>
      </c>
      <c r="P937" s="27">
        <v>2.916388554970209E-2</v>
      </c>
      <c r="Q937" s="27">
        <v>7.5256587823010779E-5</v>
      </c>
      <c r="R937" s="27">
        <v>1.0567952126487234</v>
      </c>
      <c r="S937" s="154"/>
      <c r="T937">
        <v>1.0029340556231887</v>
      </c>
      <c r="U937">
        <v>2.2668805619838426</v>
      </c>
      <c r="V937">
        <v>3.1332250068119096</v>
      </c>
      <c r="W937">
        <v>1</v>
      </c>
      <c r="Y937" s="2">
        <v>1278.0145784314498</v>
      </c>
      <c r="Z937" s="2">
        <v>5799.0444689203277</v>
      </c>
      <c r="AA937" s="2">
        <v>502.5559989572082</v>
      </c>
      <c r="AB937" s="2">
        <v>2639.713318270783</v>
      </c>
      <c r="AC937" s="2">
        <v>1008.7716945265315</v>
      </c>
      <c r="AD937" s="2">
        <v>1184.2008532011114</v>
      </c>
      <c r="AE937" s="2">
        <v>495.03409840126051</v>
      </c>
      <c r="AF937" s="2">
        <v>1037.7784895948423</v>
      </c>
      <c r="AG937" s="2">
        <v>143.28561621891021</v>
      </c>
      <c r="AH937" s="2">
        <v>642.20931469531854</v>
      </c>
      <c r="AI937" s="2">
        <v>531996.96836848278</v>
      </c>
      <c r="AJ937" s="2">
        <v>483247.8383187179</v>
      </c>
      <c r="AL937" s="27">
        <v>0.91838494723805852</v>
      </c>
      <c r="AM937" s="27">
        <v>0.91819274634522996</v>
      </c>
      <c r="AN937" s="27">
        <v>0.90518838114423661</v>
      </c>
      <c r="AO937" s="27">
        <v>0.85318509936771647</v>
      </c>
      <c r="AP937" s="27">
        <v>0.82078442030967902</v>
      </c>
      <c r="AQ937" s="27">
        <v>0.91838494723805852</v>
      </c>
      <c r="AR937" s="27">
        <v>0.91819274634522996</v>
      </c>
      <c r="AS937" s="27">
        <v>0.90518838114423661</v>
      </c>
      <c r="AT937" s="27">
        <v>0.85318509936771647</v>
      </c>
      <c r="AU937" s="27">
        <v>0.82078442030967902</v>
      </c>
      <c r="AW937" s="1">
        <v>13.93082335815714</v>
      </c>
      <c r="AX937" s="1">
        <v>15.560027946893195</v>
      </c>
      <c r="AY937" s="2">
        <v>1970461.8018242996</v>
      </c>
      <c r="AZ937" s="1">
        <v>15.694370960037693</v>
      </c>
      <c r="BA937" s="1">
        <v>17.386454057886212</v>
      </c>
      <c r="BB937" s="2">
        <v>1391319.9542652785</v>
      </c>
      <c r="BC937" s="2">
        <f t="shared" si="105"/>
        <v>-579141.84755902109</v>
      </c>
      <c r="BD937" s="292">
        <f t="shared" si="106"/>
        <v>1.7635476018805534</v>
      </c>
      <c r="BF937" s="170">
        <f t="shared" si="101"/>
        <v>258469.93548084283</v>
      </c>
      <c r="BG937" s="2">
        <f t="shared" si="102"/>
        <v>1119779.3993407523</v>
      </c>
      <c r="BI937">
        <f t="shared" si="103"/>
        <v>0</v>
      </c>
      <c r="BJ937" s="95">
        <f t="shared" si="104"/>
        <v>1</v>
      </c>
      <c r="BP937" s="217">
        <f t="shared" si="107"/>
        <v>1119779.3993407523</v>
      </c>
    </row>
    <row r="938" spans="1:68">
      <c r="A938" s="11">
        <v>932</v>
      </c>
      <c r="C938" s="27">
        <v>0.92548175837155566</v>
      </c>
      <c r="D938" s="27">
        <v>7.4518241628444323E-2</v>
      </c>
      <c r="E938" s="27">
        <v>0</v>
      </c>
      <c r="F938" s="27">
        <v>0.85800214601583147</v>
      </c>
      <c r="G938" s="27">
        <v>0.14199785398416856</v>
      </c>
      <c r="H938" s="27">
        <v>0</v>
      </c>
      <c r="I938" s="27">
        <v>0.74681237091137886</v>
      </c>
      <c r="J938" s="27">
        <v>0.25318762908862114</v>
      </c>
      <c r="K938" s="27">
        <v>0</v>
      </c>
      <c r="L938" s="27">
        <v>4.9472575495885018E-2</v>
      </c>
      <c r="M938" s="27">
        <v>0.54356020274030314</v>
      </c>
      <c r="N938" s="27">
        <v>0.40696722176381184</v>
      </c>
      <c r="O938" s="27">
        <v>-11.396240548801989</v>
      </c>
      <c r="P938" s="27">
        <v>3.5406606039587604E-2</v>
      </c>
      <c r="Q938" s="27">
        <v>4.9717026643101569E-5</v>
      </c>
      <c r="R938" s="27">
        <v>1.1056253240658644</v>
      </c>
      <c r="S938" s="154"/>
      <c r="T938">
        <v>1.043645648491806</v>
      </c>
      <c r="U938">
        <v>2.2687910085623826</v>
      </c>
      <c r="V938">
        <v>3.2501904060602334</v>
      </c>
      <c r="W938">
        <v>1</v>
      </c>
      <c r="Y938" s="2">
        <v>478.31519387597706</v>
      </c>
      <c r="Z938" s="2">
        <v>933.24735857898077</v>
      </c>
      <c r="AA938" s="2">
        <v>1282.5594737177148</v>
      </c>
      <c r="AB938" s="2">
        <v>6126.6741674475634</v>
      </c>
      <c r="AC938" s="2">
        <v>10.475196004303717</v>
      </c>
      <c r="AD938" s="2">
        <v>253.22310340288786</v>
      </c>
      <c r="AE938" s="2">
        <v>651.03789361861459</v>
      </c>
      <c r="AF938" s="2">
        <v>1341.1977953026365</v>
      </c>
      <c r="AG938" s="2">
        <v>179.36919314544716</v>
      </c>
      <c r="AH938" s="2">
        <v>396.93158939636083</v>
      </c>
      <c r="AI938" s="2">
        <v>397213.64759077533</v>
      </c>
      <c r="AJ938" s="2">
        <v>347854.30789145496</v>
      </c>
      <c r="AL938" s="27">
        <v>0.92095338841867491</v>
      </c>
      <c r="AM938" s="27">
        <v>0.91193244414138253</v>
      </c>
      <c r="AN938" s="27">
        <v>0.90542144187792439</v>
      </c>
      <c r="AO938" s="27">
        <v>0.81033180105437075</v>
      </c>
      <c r="AP938" s="27">
        <v>0.81041697741043128</v>
      </c>
      <c r="AQ938" s="27">
        <v>0.92095338841867491</v>
      </c>
      <c r="AR938" s="27">
        <v>0.91193244414138253</v>
      </c>
      <c r="AS938" s="27">
        <v>0.90542144187792439</v>
      </c>
      <c r="AT938" s="27">
        <v>0.81033180105437075</v>
      </c>
      <c r="AU938" s="27">
        <v>0.81041697741043128</v>
      </c>
      <c r="AW938" s="1">
        <v>13.677646847410063</v>
      </c>
      <c r="AX938" s="1">
        <v>15.330799058851845</v>
      </c>
      <c r="AY938" s="2">
        <v>1365510.8043732608</v>
      </c>
      <c r="AZ938" s="1">
        <v>15.587731348912314</v>
      </c>
      <c r="BA938" s="1">
        <v>17.305816435240644</v>
      </c>
      <c r="BB938" s="2">
        <v>1068989.839351173</v>
      </c>
      <c r="BC938" s="2">
        <f t="shared" si="105"/>
        <v>-296520.9650220878</v>
      </c>
      <c r="BD938" s="292">
        <f t="shared" si="106"/>
        <v>1.9100845015022507</v>
      </c>
      <c r="BF938" s="170">
        <f t="shared" si="101"/>
        <v>822912.69121234934</v>
      </c>
      <c r="BG938" s="2">
        <f t="shared" si="102"/>
        <v>1425047.1764747971</v>
      </c>
      <c r="BI938">
        <f t="shared" si="103"/>
        <v>0</v>
      </c>
      <c r="BJ938" s="95">
        <f t="shared" si="104"/>
        <v>1</v>
      </c>
      <c r="BP938" s="217">
        <f t="shared" si="107"/>
        <v>1425047.1764747971</v>
      </c>
    </row>
    <row r="939" spans="1:68">
      <c r="A939" s="11">
        <v>933</v>
      </c>
      <c r="C939" s="27">
        <v>0.92272398415728207</v>
      </c>
      <c r="D939" s="27">
        <v>7.7276015842717927E-2</v>
      </c>
      <c r="E939" s="27">
        <v>0</v>
      </c>
      <c r="F939" s="27">
        <v>0.85946146572971371</v>
      </c>
      <c r="G939" s="27">
        <v>0.14053853427028629</v>
      </c>
      <c r="H939" s="27">
        <v>0</v>
      </c>
      <c r="I939" s="27">
        <v>0.75421597413217778</v>
      </c>
      <c r="J939" s="27">
        <v>0.24578402586782225</v>
      </c>
      <c r="K939" s="27">
        <v>0</v>
      </c>
      <c r="L939" s="27">
        <v>0.16887448228854191</v>
      </c>
      <c r="M939" s="27">
        <v>0.46645253280365617</v>
      </c>
      <c r="N939" s="27">
        <v>0.36467298490780192</v>
      </c>
      <c r="O939" s="27">
        <v>-10.904063615790653</v>
      </c>
      <c r="P939" s="27">
        <v>3.3635219902927872E-2</v>
      </c>
      <c r="Q939" s="27">
        <v>7.5499510900626008E-5</v>
      </c>
      <c r="R939" s="27">
        <v>1.0463237286643456</v>
      </c>
      <c r="S939" s="154"/>
      <c r="T939">
        <v>0.9558040760112011</v>
      </c>
      <c r="U939">
        <v>2.213043127274791</v>
      </c>
      <c r="V939">
        <v>2.8207987726349852</v>
      </c>
      <c r="W939">
        <v>1</v>
      </c>
      <c r="Y939" s="2">
        <v>751.44181403673508</v>
      </c>
      <c r="Z939" s="2">
        <v>12875.508616477564</v>
      </c>
      <c r="AA939" s="2">
        <v>2759.034894302396</v>
      </c>
      <c r="AB939" s="2">
        <v>7480.077806923282</v>
      </c>
      <c r="AC939" s="2">
        <v>1936.6981325087506</v>
      </c>
      <c r="AD939" s="2">
        <v>265.08439597875599</v>
      </c>
      <c r="AE939" s="2">
        <v>534.07127064230065</v>
      </c>
      <c r="AF939" s="2">
        <v>1057.8570574203438</v>
      </c>
      <c r="AG939" s="2">
        <v>107.798896713997</v>
      </c>
      <c r="AH939" s="2">
        <v>371.70534412604559</v>
      </c>
      <c r="AI939" s="2">
        <v>506648.91653899784</v>
      </c>
      <c r="AJ939" s="2">
        <v>478613.77108342783</v>
      </c>
      <c r="AL939" s="27">
        <v>0.9175777240974532</v>
      </c>
      <c r="AM939" s="27">
        <v>0.91600335565519941</v>
      </c>
      <c r="AN939" s="27">
        <v>0.90931844223287839</v>
      </c>
      <c r="AO939" s="27">
        <v>0.86867922053306745</v>
      </c>
      <c r="AP939" s="27">
        <v>0.652325758879158</v>
      </c>
      <c r="AQ939" s="27">
        <v>0.9175777240974532</v>
      </c>
      <c r="AR939" s="27">
        <v>0.91600335565519941</v>
      </c>
      <c r="AS939" s="27">
        <v>0.90931844223287839</v>
      </c>
      <c r="AT939" s="27">
        <v>0.86867922053306745</v>
      </c>
      <c r="AU939" s="27">
        <v>0.652325758879158</v>
      </c>
      <c r="AW939" s="1">
        <v>13.608357539955479</v>
      </c>
      <c r="AX939" s="1">
        <v>15.772103219523142</v>
      </c>
      <c r="AY939" s="2">
        <v>2045665.81745654</v>
      </c>
      <c r="AZ939" s="1">
        <v>15.322567734704622</v>
      </c>
      <c r="BA939" s="1">
        <v>17.398536581777499</v>
      </c>
      <c r="BB939" s="2">
        <v>1506665.8992489732</v>
      </c>
      <c r="BC939" s="2">
        <f t="shared" si="105"/>
        <v>-538999.91820756672</v>
      </c>
      <c r="BD939" s="292">
        <f t="shared" si="106"/>
        <v>1.7142101947491426</v>
      </c>
      <c r="BF939" s="170">
        <f t="shared" si="101"/>
        <v>131671.38893633685</v>
      </c>
      <c r="BG939" s="2">
        <f t="shared" si="102"/>
        <v>944944.93830376607</v>
      </c>
      <c r="BI939">
        <f t="shared" si="103"/>
        <v>0</v>
      </c>
      <c r="BJ939" s="95">
        <f t="shared" si="104"/>
        <v>1</v>
      </c>
      <c r="BP939" s="217">
        <f t="shared" si="107"/>
        <v>944944.93830376607</v>
      </c>
    </row>
    <row r="940" spans="1:68">
      <c r="A940" s="11">
        <v>934</v>
      </c>
      <c r="C940" s="27">
        <v>0.92313685203016704</v>
      </c>
      <c r="D940" s="27">
        <v>7.6863147969832915E-2</v>
      </c>
      <c r="E940" s="27">
        <v>0</v>
      </c>
      <c r="F940" s="27">
        <v>0.85443178723691671</v>
      </c>
      <c r="G940" s="27">
        <v>0.14556821276308329</v>
      </c>
      <c r="H940" s="27">
        <v>0</v>
      </c>
      <c r="I940" s="27">
        <v>0.74884002852320497</v>
      </c>
      <c r="J940" s="27">
        <v>0.25115997147679503</v>
      </c>
      <c r="K940" s="27">
        <v>0</v>
      </c>
      <c r="L940" s="27">
        <v>0.10924279066803133</v>
      </c>
      <c r="M940" s="27">
        <v>0.50108623527970519</v>
      </c>
      <c r="N940" s="27">
        <v>0.38967097405226347</v>
      </c>
      <c r="O940" s="27">
        <v>-10.919711433301149</v>
      </c>
      <c r="P940" s="27">
        <v>3.522088594609693E-2</v>
      </c>
      <c r="Q940" s="27">
        <v>7.9445903776137339E-5</v>
      </c>
      <c r="R940" s="27">
        <v>1.036803186776259</v>
      </c>
      <c r="S940" s="154"/>
      <c r="T940">
        <v>1.1692840530797426</v>
      </c>
      <c r="U940">
        <v>2.1852819965437593</v>
      </c>
      <c r="V940">
        <v>2.9971206526895573</v>
      </c>
      <c r="W940">
        <v>1</v>
      </c>
      <c r="Y940" s="2">
        <v>739.80762247523387</v>
      </c>
      <c r="Z940" s="2">
        <v>356.18432846246367</v>
      </c>
      <c r="AA940" s="2">
        <v>745.20598837397631</v>
      </c>
      <c r="AB940" s="2">
        <v>11663.534846806799</v>
      </c>
      <c r="AC940" s="2">
        <v>2582.2239013716844</v>
      </c>
      <c r="AD940" s="2">
        <v>1572.9652791883457</v>
      </c>
      <c r="AE940" s="2">
        <v>541.8208174827322</v>
      </c>
      <c r="AF940" s="2">
        <v>1113.4099542885674</v>
      </c>
      <c r="AG940" s="2">
        <v>98.5627951279033</v>
      </c>
      <c r="AH940" s="2">
        <v>165.13322604906361</v>
      </c>
      <c r="AI940" s="2">
        <v>512358.90361876646</v>
      </c>
      <c r="AJ940" s="2">
        <v>474920.75778583629</v>
      </c>
      <c r="AL940" s="27">
        <v>0.91544201855262586</v>
      </c>
      <c r="AM940" s="27">
        <v>0.91023022487258454</v>
      </c>
      <c r="AN940" s="27">
        <v>0.90114003717696156</v>
      </c>
      <c r="AO940" s="27">
        <v>0.83169621722358356</v>
      </c>
      <c r="AP940" s="27">
        <v>0.62776892719502198</v>
      </c>
      <c r="AQ940" s="27">
        <v>0.91544201855262586</v>
      </c>
      <c r="AR940" s="27">
        <v>0.91023022487258454</v>
      </c>
      <c r="AS940" s="27">
        <v>0.90114003717696156</v>
      </c>
      <c r="AT940" s="27">
        <v>0.83169621722358356</v>
      </c>
      <c r="AU940" s="27">
        <v>0.62776892719502198</v>
      </c>
      <c r="AW940" s="1">
        <v>12.816694249287961</v>
      </c>
      <c r="AX940" s="1">
        <v>15.185968282770128</v>
      </c>
      <c r="AY940" s="2">
        <v>2103314.9811735968</v>
      </c>
      <c r="AZ940" s="1">
        <v>15.132262799430398</v>
      </c>
      <c r="BA940" s="1">
        <v>17.35507845187529</v>
      </c>
      <c r="BB940" s="2">
        <v>1600157.5353169239</v>
      </c>
      <c r="BC940" s="2">
        <f t="shared" si="105"/>
        <v>-503157.44585667294</v>
      </c>
      <c r="BD940" s="292">
        <f t="shared" si="106"/>
        <v>2.3155685501424372</v>
      </c>
      <c r="BF940" s="170">
        <f t="shared" si="101"/>
        <v>-52643.901287523098</v>
      </c>
      <c r="BG940" s="2">
        <f t="shared" si="102"/>
        <v>821004.51259193965</v>
      </c>
      <c r="BI940">
        <f t="shared" si="103"/>
        <v>0</v>
      </c>
      <c r="BJ940" s="95">
        <f t="shared" si="104"/>
        <v>1</v>
      </c>
      <c r="BP940" s="217">
        <f t="shared" si="107"/>
        <v>821004.51259193965</v>
      </c>
    </row>
    <row r="941" spans="1:68">
      <c r="A941" s="11">
        <v>935</v>
      </c>
      <c r="C941" s="27">
        <v>0.92301576262741791</v>
      </c>
      <c r="D941" s="27">
        <v>7.6984237372582087E-2</v>
      </c>
      <c r="E941" s="27">
        <v>0</v>
      </c>
      <c r="F941" s="27">
        <v>0.86176618917578185</v>
      </c>
      <c r="G941" s="27">
        <v>0.13823381082421818</v>
      </c>
      <c r="H941" s="27">
        <v>0</v>
      </c>
      <c r="I941" s="27">
        <v>0.75411148577778764</v>
      </c>
      <c r="J941" s="27">
        <v>0.24588851422221236</v>
      </c>
      <c r="K941" s="27">
        <v>0</v>
      </c>
      <c r="L941" s="27">
        <v>8.4251245308793354E-2</v>
      </c>
      <c r="M941" s="27">
        <v>0.50705589348369196</v>
      </c>
      <c r="N941" s="27">
        <v>0.40869286120751469</v>
      </c>
      <c r="O941" s="27">
        <v>-10.796731266419394</v>
      </c>
      <c r="P941" s="27">
        <v>3.4346623513182219E-2</v>
      </c>
      <c r="Q941" s="27">
        <v>8.6603261723133994E-5</v>
      </c>
      <c r="R941" s="27">
        <v>1.0260384137356848</v>
      </c>
      <c r="S941" s="154"/>
      <c r="T941">
        <v>1.0681063416172276</v>
      </c>
      <c r="U941">
        <v>2.2811120226580153</v>
      </c>
      <c r="V941">
        <v>2.8373855796012424</v>
      </c>
      <c r="W941">
        <v>1</v>
      </c>
      <c r="Y941" s="2">
        <v>707.90569175986877</v>
      </c>
      <c r="Z941" s="2">
        <v>4696.3216070392209</v>
      </c>
      <c r="AA941" s="2">
        <v>356.19220400159111</v>
      </c>
      <c r="AB941" s="2">
        <v>1476.5181534640137</v>
      </c>
      <c r="AC941" s="2">
        <v>41.851504846240722</v>
      </c>
      <c r="AD941" s="2">
        <v>416.3117386096431</v>
      </c>
      <c r="AE941" s="2">
        <v>551.46173804839634</v>
      </c>
      <c r="AF941" s="2">
        <v>906.61067452602958</v>
      </c>
      <c r="AG941" s="2">
        <v>66.595852234835945</v>
      </c>
      <c r="AH941" s="2">
        <v>441.19157678421573</v>
      </c>
      <c r="AI941" s="2">
        <v>405857.45125711587</v>
      </c>
      <c r="AJ941" s="2">
        <v>372814.89090039709</v>
      </c>
      <c r="AL941" s="27">
        <v>0.9173589017485384</v>
      </c>
      <c r="AM941" s="27">
        <v>0.91325425933875892</v>
      </c>
      <c r="AN941" s="27">
        <v>0.90416210304224587</v>
      </c>
      <c r="AO941" s="27">
        <v>0.85804836376542737</v>
      </c>
      <c r="AP941" s="27">
        <v>0.6625847048637914</v>
      </c>
      <c r="AQ941" s="27">
        <v>0.9173589017485384</v>
      </c>
      <c r="AR941" s="27">
        <v>0.91325425933875892</v>
      </c>
      <c r="AS941" s="27">
        <v>0.90416210304224587</v>
      </c>
      <c r="AT941" s="27">
        <v>0.85804836376542737</v>
      </c>
      <c r="AU941" s="27">
        <v>0.6625847048637914</v>
      </c>
      <c r="AW941" s="1">
        <v>13.260770286930708</v>
      </c>
      <c r="AX941" s="1">
        <v>15.437355320656547</v>
      </c>
      <c r="AY941" s="2">
        <v>1602892.0636376601</v>
      </c>
      <c r="AZ941" s="1">
        <v>15.331564799324383</v>
      </c>
      <c r="BA941" s="1">
        <v>17.413417743407255</v>
      </c>
      <c r="BB941" s="2">
        <v>1087311.6674200795</v>
      </c>
      <c r="BC941" s="2">
        <f t="shared" si="105"/>
        <v>-515580.39621758065</v>
      </c>
      <c r="BD941" s="292">
        <f t="shared" si="106"/>
        <v>2.0707945123936753</v>
      </c>
      <c r="BF941" s="170">
        <f t="shared" si="101"/>
        <v>518831.18227125308</v>
      </c>
      <c r="BG941" s="2">
        <f t="shared" si="102"/>
        <v>1365738.7004718217</v>
      </c>
      <c r="BI941">
        <f t="shared" si="103"/>
        <v>0</v>
      </c>
      <c r="BJ941" s="95">
        <f t="shared" si="104"/>
        <v>1</v>
      </c>
      <c r="BP941" s="217">
        <f t="shared" si="107"/>
        <v>1365738.7004718217</v>
      </c>
    </row>
    <row r="942" spans="1:68">
      <c r="A942" s="11">
        <v>936</v>
      </c>
      <c r="C942" s="27">
        <v>0.92326546433561496</v>
      </c>
      <c r="D942" s="27">
        <v>7.6734535664385012E-2</v>
      </c>
      <c r="E942" s="27">
        <v>0</v>
      </c>
      <c r="F942" s="27">
        <v>0.85762097460811837</v>
      </c>
      <c r="G942" s="27">
        <v>0.1423790253918816</v>
      </c>
      <c r="H942" s="27">
        <v>0</v>
      </c>
      <c r="I942" s="27">
        <v>0.74853290750184287</v>
      </c>
      <c r="J942" s="27">
        <v>0.25146709249815713</v>
      </c>
      <c r="K942" s="27">
        <v>0</v>
      </c>
      <c r="L942" s="27">
        <v>8.6228462284082541E-3</v>
      </c>
      <c r="M942" s="27">
        <v>0.5822742218519934</v>
      </c>
      <c r="N942" s="27">
        <v>0.40910293191959834</v>
      </c>
      <c r="O942" s="27">
        <v>-11.296168657620921</v>
      </c>
      <c r="P942" s="27">
        <v>3.3913708995629455E-2</v>
      </c>
      <c r="Q942" s="27">
        <v>5.1610114883944198E-5</v>
      </c>
      <c r="R942" s="27">
        <v>1.0919470831795182</v>
      </c>
      <c r="S942" s="154"/>
      <c r="T942">
        <v>0.83339426508773529</v>
      </c>
      <c r="U942">
        <v>2.236799202662171</v>
      </c>
      <c r="V942">
        <v>3.0853968871074087</v>
      </c>
      <c r="W942">
        <v>1</v>
      </c>
      <c r="Y942" s="2">
        <v>465.43126142765817</v>
      </c>
      <c r="Z942" s="2">
        <v>7041.3660129260361</v>
      </c>
      <c r="AA942" s="2">
        <v>2254.8794813867953</v>
      </c>
      <c r="AB942" s="2">
        <v>3092.8062999925219</v>
      </c>
      <c r="AC942" s="2">
        <v>1077.071383018394</v>
      </c>
      <c r="AD942" s="2">
        <v>132.6752619838112</v>
      </c>
      <c r="AE942" s="2">
        <v>573.50360746087654</v>
      </c>
      <c r="AF942" s="2">
        <v>1270.7719421975842</v>
      </c>
      <c r="AG942" s="2">
        <v>93.039390506123311</v>
      </c>
      <c r="AH942" s="2">
        <v>516.24664004209126</v>
      </c>
      <c r="AI942" s="2">
        <v>527739.93800148845</v>
      </c>
      <c r="AJ942" s="2">
        <v>495722.55866809242</v>
      </c>
      <c r="AL942" s="27">
        <v>0.91662384137608921</v>
      </c>
      <c r="AM942" s="27">
        <v>0.91491673741115398</v>
      </c>
      <c r="AN942" s="27">
        <v>0.9131158042382701</v>
      </c>
      <c r="AO942" s="27">
        <v>0.87746199287801763</v>
      </c>
      <c r="AP942" s="27">
        <v>0.74282557548931161</v>
      </c>
      <c r="AQ942" s="27">
        <v>0.91662384137608921</v>
      </c>
      <c r="AR942" s="27">
        <v>0.91491673741115398</v>
      </c>
      <c r="AS942" s="27">
        <v>0.9131158042382701</v>
      </c>
      <c r="AT942" s="27">
        <v>0.87746199287801763</v>
      </c>
      <c r="AU942" s="27">
        <v>0.74282557548931161</v>
      </c>
      <c r="AW942" s="1">
        <v>14.214072851975452</v>
      </c>
      <c r="AX942" s="1">
        <v>16.106849145082681</v>
      </c>
      <c r="AY942" s="2">
        <v>1961520.0889392411</v>
      </c>
      <c r="AZ942" s="1">
        <v>15.488678160031185</v>
      </c>
      <c r="BA942" s="1">
        <v>17.373734599984335</v>
      </c>
      <c r="BB942" s="2">
        <v>1528821.1132759177</v>
      </c>
      <c r="BC942" s="2">
        <f t="shared" si="105"/>
        <v>-432698.97566332342</v>
      </c>
      <c r="BD942" s="292">
        <f t="shared" si="106"/>
        <v>1.2746053080557331</v>
      </c>
      <c r="BF942" s="170">
        <f t="shared" si="101"/>
        <v>312731.56737683108</v>
      </c>
      <c r="BG942" s="2">
        <f t="shared" si="102"/>
        <v>949367.39232907165</v>
      </c>
      <c r="BI942">
        <f t="shared" si="103"/>
        <v>0</v>
      </c>
      <c r="BJ942" s="95">
        <f t="shared" si="104"/>
        <v>1</v>
      </c>
      <c r="BP942" s="217">
        <f t="shared" si="107"/>
        <v>949367.39232907165</v>
      </c>
    </row>
    <row r="943" spans="1:68">
      <c r="A943" s="11">
        <v>937</v>
      </c>
      <c r="C943" s="27">
        <v>0.9214878332063805</v>
      </c>
      <c r="D943" s="27">
        <v>7.8512166793619498E-2</v>
      </c>
      <c r="E943" s="27">
        <v>0</v>
      </c>
      <c r="F943" s="27">
        <v>0.86174500506460672</v>
      </c>
      <c r="G943" s="27">
        <v>0.13825499493539326</v>
      </c>
      <c r="H943" s="27">
        <v>0</v>
      </c>
      <c r="I943" s="27">
        <v>0.74887305260227821</v>
      </c>
      <c r="J943" s="27">
        <v>0.25112694739772179</v>
      </c>
      <c r="K943" s="27">
        <v>0</v>
      </c>
      <c r="L943" s="27">
        <v>9.7590219426753888E-2</v>
      </c>
      <c r="M943" s="27">
        <v>0.53448481569228234</v>
      </c>
      <c r="N943" s="27">
        <v>0.36792496488096377</v>
      </c>
      <c r="O943" s="27">
        <v>-11.259784536109155</v>
      </c>
      <c r="P943" s="27">
        <v>3.4730909987289414E-2</v>
      </c>
      <c r="Q943" s="27">
        <v>5.5391394143756877E-5</v>
      </c>
      <c r="R943" s="27">
        <v>1.0859858493701229</v>
      </c>
      <c r="S943" s="154"/>
      <c r="T943">
        <v>1.0374524028192356</v>
      </c>
      <c r="U943">
        <v>2.2234739417026974</v>
      </c>
      <c r="V943">
        <v>3.1014396826707316</v>
      </c>
      <c r="W943">
        <v>1</v>
      </c>
      <c r="Y943" s="2">
        <v>907.03961143307129</v>
      </c>
      <c r="Z943" s="2">
        <v>4199.4907039754253</v>
      </c>
      <c r="AA943" s="2">
        <v>850.50283385034606</v>
      </c>
      <c r="AB943" s="2">
        <v>2120.2372715316774</v>
      </c>
      <c r="AC943" s="2">
        <v>2822.7344103290843</v>
      </c>
      <c r="AD943" s="2">
        <v>432.56538437795768</v>
      </c>
      <c r="AE943" s="2">
        <v>547.01839472703477</v>
      </c>
      <c r="AF943" s="2">
        <v>882.73384286723865</v>
      </c>
      <c r="AG943" s="2">
        <v>162.52848748440695</v>
      </c>
      <c r="AH943" s="2">
        <v>426.09156620092665</v>
      </c>
      <c r="AI943" s="2">
        <v>530616.08952219784</v>
      </c>
      <c r="AJ943" s="2">
        <v>502508.67143472942</v>
      </c>
      <c r="AL943" s="27">
        <v>0.91470457335563105</v>
      </c>
      <c r="AM943" s="27">
        <v>0.91900164181165234</v>
      </c>
      <c r="AN943" s="27">
        <v>0.91769337141041318</v>
      </c>
      <c r="AO943" s="27">
        <v>0.79875232806089669</v>
      </c>
      <c r="AP943" s="27">
        <v>0.56116819920468086</v>
      </c>
      <c r="AQ943" s="27">
        <v>0.91470457335563105</v>
      </c>
      <c r="AR943" s="27">
        <v>0.91900164181165234</v>
      </c>
      <c r="AS943" s="27">
        <v>0.91769337141041318</v>
      </c>
      <c r="AT943" s="27">
        <v>0.79875232806089669</v>
      </c>
      <c r="AU943" s="27">
        <v>0.56116819920468086</v>
      </c>
      <c r="AW943" s="1">
        <v>12.930898930283041</v>
      </c>
      <c r="AX943" s="1">
        <v>15.509678257310203</v>
      </c>
      <c r="AY943" s="2">
        <v>2193225.5749357529</v>
      </c>
      <c r="AZ943" s="1">
        <v>15.062960027050247</v>
      </c>
      <c r="BA943" s="1">
        <v>17.407652604119434</v>
      </c>
      <c r="BB943" s="2">
        <v>1503395.3950393384</v>
      </c>
      <c r="BC943" s="2">
        <f t="shared" si="105"/>
        <v>-689830.17989641451</v>
      </c>
      <c r="BD943" s="292">
        <f t="shared" si="106"/>
        <v>2.132061096767206</v>
      </c>
      <c r="BF943" s="170">
        <f t="shared" si="101"/>
        <v>-124281.74609046639</v>
      </c>
      <c r="BG943" s="2">
        <f t="shared" si="102"/>
        <v>906678.20928870118</v>
      </c>
      <c r="BI943">
        <f t="shared" si="103"/>
        <v>0</v>
      </c>
      <c r="BJ943" s="95">
        <f t="shared" si="104"/>
        <v>1</v>
      </c>
      <c r="BP943" s="217">
        <f t="shared" si="107"/>
        <v>906678.20928870118</v>
      </c>
    </row>
    <row r="944" spans="1:68">
      <c r="A944" s="11">
        <v>938</v>
      </c>
      <c r="C944" s="27">
        <v>0.92488005330447542</v>
      </c>
      <c r="D944" s="27">
        <v>7.5119946695524575E-2</v>
      </c>
      <c r="E944" s="27">
        <v>0</v>
      </c>
      <c r="F944" s="27">
        <v>0.85240839790352352</v>
      </c>
      <c r="G944" s="27">
        <v>0.14759160209647648</v>
      </c>
      <c r="H944" s="27">
        <v>0</v>
      </c>
      <c r="I944" s="27">
        <v>0.75294563419932314</v>
      </c>
      <c r="J944" s="27">
        <v>0.24705436580067688</v>
      </c>
      <c r="K944" s="27">
        <v>0</v>
      </c>
      <c r="L944" s="27">
        <v>5.86222605952188E-2</v>
      </c>
      <c r="M944" s="27">
        <v>0.53917113153078722</v>
      </c>
      <c r="N944" s="27">
        <v>0.40220660787399398</v>
      </c>
      <c r="O944" s="27">
        <v>-10.934324762777015</v>
      </c>
      <c r="P944" s="27">
        <v>3.0492810612225703E-2</v>
      </c>
      <c r="Q944" s="27">
        <v>6.4192336916529138E-5</v>
      </c>
      <c r="R944" s="27">
        <v>1.0755380122330709</v>
      </c>
      <c r="S944" s="154"/>
      <c r="T944">
        <v>0.93880147464370489</v>
      </c>
      <c r="U944">
        <v>2.2133861487035857</v>
      </c>
      <c r="V944">
        <v>3.0861277275073897</v>
      </c>
      <c r="W944">
        <v>1</v>
      </c>
      <c r="Y944" s="2">
        <v>280.04101925928899</v>
      </c>
      <c r="Z944" s="2">
        <v>1264.6328934918856</v>
      </c>
      <c r="AA944" s="2">
        <v>1706.4656619634079</v>
      </c>
      <c r="AB944" s="2">
        <v>967.5141188977276</v>
      </c>
      <c r="AC944" s="2">
        <v>1718.7678187520435</v>
      </c>
      <c r="AD944" s="2">
        <v>2577.4778386234257</v>
      </c>
      <c r="AE944" s="2">
        <v>495.04677840092387</v>
      </c>
      <c r="AF944" s="2">
        <v>1023.3141259995873</v>
      </c>
      <c r="AG944" s="2">
        <v>171.35485418597301</v>
      </c>
      <c r="AH944" s="2">
        <v>408.98973586416753</v>
      </c>
      <c r="AI944" s="2">
        <v>659259.00417547766</v>
      </c>
      <c r="AJ944" s="2">
        <v>629803.80250987585</v>
      </c>
      <c r="AL944" s="27">
        <v>0.91147951919015036</v>
      </c>
      <c r="AM944" s="27">
        <v>0.91338004917865001</v>
      </c>
      <c r="AN944" s="27">
        <v>0.91138484865458724</v>
      </c>
      <c r="AO944" s="27">
        <v>0.89579052928235992</v>
      </c>
      <c r="AP944" s="27">
        <v>0.59300498358961695</v>
      </c>
      <c r="AQ944" s="27">
        <v>0.91147951919015036</v>
      </c>
      <c r="AR944" s="27">
        <v>0.91338004917865001</v>
      </c>
      <c r="AS944" s="27">
        <v>0.91138484865458724</v>
      </c>
      <c r="AT944" s="27">
        <v>0.89579052928235992</v>
      </c>
      <c r="AU944" s="27">
        <v>0.59300498358961695</v>
      </c>
      <c r="AW944" s="1">
        <v>13.329193789291889</v>
      </c>
      <c r="AX944" s="1">
        <v>15.686729443434649</v>
      </c>
      <c r="AY944" s="2">
        <v>2380996.4516109438</v>
      </c>
      <c r="AZ944" s="1">
        <v>15.05571980349181</v>
      </c>
      <c r="BA944" s="1">
        <v>17.295332672301857</v>
      </c>
      <c r="BB944" s="2">
        <v>1806788.9479108003</v>
      </c>
      <c r="BC944" s="2">
        <f t="shared" si="105"/>
        <v>-574207.50370014342</v>
      </c>
      <c r="BD944" s="292">
        <f t="shared" si="106"/>
        <v>1.726526014199921</v>
      </c>
      <c r="BF944" s="170">
        <f t="shared" si="101"/>
        <v>-248325.44532424165</v>
      </c>
      <c r="BG944" s="2">
        <f t="shared" si="102"/>
        <v>602126.22064788942</v>
      </c>
      <c r="BI944">
        <f t="shared" si="103"/>
        <v>0</v>
      </c>
      <c r="BJ944" s="95">
        <f t="shared" si="104"/>
        <v>1</v>
      </c>
      <c r="BP944" s="217">
        <f t="shared" si="107"/>
        <v>602126.22064788942</v>
      </c>
    </row>
    <row r="945" spans="1:68">
      <c r="A945" s="11">
        <v>939</v>
      </c>
      <c r="C945" s="27">
        <v>0.92530827230248514</v>
      </c>
      <c r="D945" s="27">
        <v>7.4691727697514851E-2</v>
      </c>
      <c r="E945" s="27">
        <v>0</v>
      </c>
      <c r="F945" s="27">
        <v>0.85839456650828438</v>
      </c>
      <c r="G945" s="27">
        <v>0.14160543349171562</v>
      </c>
      <c r="H945" s="27">
        <v>0</v>
      </c>
      <c r="I945" s="27">
        <v>0.7579581618705441</v>
      </c>
      <c r="J945" s="27">
        <v>0.24204183812945587</v>
      </c>
      <c r="K945" s="27">
        <v>0</v>
      </c>
      <c r="L945" s="27">
        <v>0.12341228289704931</v>
      </c>
      <c r="M945" s="27">
        <v>0.51547069223229536</v>
      </c>
      <c r="N945" s="27">
        <v>0.36111702487065533</v>
      </c>
      <c r="O945" s="27">
        <v>-11.119411695325873</v>
      </c>
      <c r="P945" s="27">
        <v>3.5163772003820891E-2</v>
      </c>
      <c r="Q945" s="27">
        <v>6.4908415680055043E-5</v>
      </c>
      <c r="R945" s="27">
        <v>1.0625127380377144</v>
      </c>
      <c r="S945" s="154"/>
      <c r="T945">
        <v>1.0613628368788643</v>
      </c>
      <c r="U945">
        <v>2.2955783688443501</v>
      </c>
      <c r="V945">
        <v>2.9495638267142135</v>
      </c>
      <c r="W945">
        <v>1</v>
      </c>
      <c r="Y945" s="2">
        <v>1509.8377908139223</v>
      </c>
      <c r="Z945" s="2">
        <v>11943.3540019259</v>
      </c>
      <c r="AA945" s="2">
        <v>937.58872036220077</v>
      </c>
      <c r="AB945" s="2">
        <v>7851.0614350447404</v>
      </c>
      <c r="AC945" s="2">
        <v>2249.5049377353544</v>
      </c>
      <c r="AD945" s="2">
        <v>912.04281947759193</v>
      </c>
      <c r="AE945" s="2">
        <v>577.8355585448013</v>
      </c>
      <c r="AF945" s="2">
        <v>1065.8052964940794</v>
      </c>
      <c r="AG945" s="2">
        <v>136.46424369330461</v>
      </c>
      <c r="AH945" s="2">
        <v>330.55939081381933</v>
      </c>
      <c r="AI945" s="2">
        <v>674163.39096296509</v>
      </c>
      <c r="AJ945" s="2">
        <v>636204.73067532806</v>
      </c>
      <c r="AL945" s="27">
        <v>0.9137688947519903</v>
      </c>
      <c r="AM945" s="27">
        <v>0.91605895376895452</v>
      </c>
      <c r="AN945" s="27">
        <v>0.90325475208011308</v>
      </c>
      <c r="AO945" s="27">
        <v>0.87658259704667429</v>
      </c>
      <c r="AP945" s="27">
        <v>0.64858091933580153</v>
      </c>
      <c r="AQ945" s="27">
        <v>0.9137688947519903</v>
      </c>
      <c r="AR945" s="27">
        <v>0.91605895376895452</v>
      </c>
      <c r="AS945" s="27">
        <v>0.90325475208011308</v>
      </c>
      <c r="AT945" s="27">
        <v>0.87658259704667429</v>
      </c>
      <c r="AU945" s="27">
        <v>0.64858091933580153</v>
      </c>
      <c r="AW945" s="1">
        <v>13.361992441417916</v>
      </c>
      <c r="AX945" s="1">
        <v>15.63940175248834</v>
      </c>
      <c r="AY945" s="2">
        <v>2873935.1591542191</v>
      </c>
      <c r="AZ945" s="1">
        <v>15.397017694202603</v>
      </c>
      <c r="BA945" s="1">
        <v>17.552401458574085</v>
      </c>
      <c r="BB945" s="2">
        <v>1975071.1584825576</v>
      </c>
      <c r="BC945" s="2">
        <f t="shared" si="105"/>
        <v>-898864.00067166146</v>
      </c>
      <c r="BD945" s="292">
        <f t="shared" si="106"/>
        <v>2.0350252527846866</v>
      </c>
      <c r="BF945" s="170">
        <f t="shared" si="101"/>
        <v>-736016.36852735234</v>
      </c>
      <c r="BG945" s="2">
        <f t="shared" si="102"/>
        <v>488451.67258985899</v>
      </c>
      <c r="BI945">
        <f t="shared" si="103"/>
        <v>0</v>
      </c>
      <c r="BJ945" s="95">
        <f t="shared" si="104"/>
        <v>1</v>
      </c>
      <c r="BP945" s="217">
        <f t="shared" si="107"/>
        <v>488451.67258985899</v>
      </c>
    </row>
    <row r="946" spans="1:68">
      <c r="A946" s="11">
        <v>940</v>
      </c>
      <c r="C946" s="27">
        <v>0.92383806605218333</v>
      </c>
      <c r="D946" s="27">
        <v>7.6161933947816632E-2</v>
      </c>
      <c r="E946" s="27">
        <v>0</v>
      </c>
      <c r="F946" s="27">
        <v>0.8600859473488176</v>
      </c>
      <c r="G946" s="27">
        <v>0.13991405265118245</v>
      </c>
      <c r="H946" s="27">
        <v>0</v>
      </c>
      <c r="I946" s="27">
        <v>0.74804942685208842</v>
      </c>
      <c r="J946" s="27">
        <v>0.25195057314791158</v>
      </c>
      <c r="K946" s="27">
        <v>0</v>
      </c>
      <c r="L946" s="27">
        <v>0.10191577841114058</v>
      </c>
      <c r="M946" s="27">
        <v>0.55309048211877376</v>
      </c>
      <c r="N946" s="27">
        <v>0.34499373947008566</v>
      </c>
      <c r="O946" s="27">
        <v>-11.123041798968794</v>
      </c>
      <c r="P946" s="27">
        <v>3.4485285153097241E-2</v>
      </c>
      <c r="Q946" s="27">
        <v>6.2856272767475147E-5</v>
      </c>
      <c r="R946" s="27">
        <v>1.0659006886643674</v>
      </c>
      <c r="S946" s="154"/>
      <c r="T946">
        <v>1.0928962026578488</v>
      </c>
      <c r="U946">
        <v>2.1989882223684116</v>
      </c>
      <c r="V946">
        <v>2.7832789572390677</v>
      </c>
      <c r="W946">
        <v>1</v>
      </c>
      <c r="Y946" s="2">
        <v>282.43592371437546</v>
      </c>
      <c r="Z946" s="2">
        <v>9025.158419597934</v>
      </c>
      <c r="AA946" s="2">
        <v>3469.1813930564294</v>
      </c>
      <c r="AB946" s="2">
        <v>558.61309182443256</v>
      </c>
      <c r="AC946" s="2">
        <v>1603.4957604734507</v>
      </c>
      <c r="AD946" s="2">
        <v>883.20761217442009</v>
      </c>
      <c r="AE946" s="2">
        <v>522.32158886905052</v>
      </c>
      <c r="AF946" s="2">
        <v>950.47564882348911</v>
      </c>
      <c r="AG946" s="2">
        <v>123.59463308728311</v>
      </c>
      <c r="AH946" s="2">
        <v>426.89781182113734</v>
      </c>
      <c r="AI946" s="2">
        <v>503453.19025542348</v>
      </c>
      <c r="AJ946" s="2">
        <v>476315.77738645533</v>
      </c>
      <c r="AL946" s="27">
        <v>0.91234420169625341</v>
      </c>
      <c r="AM946" s="27">
        <v>0.91148477374776493</v>
      </c>
      <c r="AN946" s="27">
        <v>0.9105729577648638</v>
      </c>
      <c r="AO946" s="27">
        <v>0.86103129397571909</v>
      </c>
      <c r="AP946" s="27">
        <v>0.64103232030363766</v>
      </c>
      <c r="AQ946" s="27">
        <v>0.91234420169625341</v>
      </c>
      <c r="AR946" s="27">
        <v>0.91148477374776493</v>
      </c>
      <c r="AS946" s="27">
        <v>0.9105729577648638</v>
      </c>
      <c r="AT946" s="27">
        <v>0.86103129397571909</v>
      </c>
      <c r="AU946" s="27">
        <v>0.64103232030363766</v>
      </c>
      <c r="AW946" s="1">
        <v>13.33141557544862</v>
      </c>
      <c r="AX946" s="1">
        <v>15.72384757702234</v>
      </c>
      <c r="AY946" s="2">
        <v>2262876.4584650998</v>
      </c>
      <c r="AZ946" s="1">
        <v>15.356920727372907</v>
      </c>
      <c r="BA946" s="1">
        <v>17.598196000771505</v>
      </c>
      <c r="BB946" s="2">
        <v>1530966.3430510384</v>
      </c>
      <c r="BC946" s="2">
        <f t="shared" si="105"/>
        <v>-731910.11541406135</v>
      </c>
      <c r="BD946" s="292">
        <f t="shared" si="106"/>
        <v>2.0255051519242873</v>
      </c>
      <c r="BF946" s="170">
        <f t="shared" si="101"/>
        <v>-129849.96639332036</v>
      </c>
      <c r="BG946" s="2">
        <f t="shared" si="102"/>
        <v>926140.97332862695</v>
      </c>
      <c r="BI946">
        <f t="shared" si="103"/>
        <v>0</v>
      </c>
      <c r="BJ946" s="95">
        <f t="shared" si="104"/>
        <v>1</v>
      </c>
      <c r="BP946" s="217">
        <f t="shared" si="107"/>
        <v>926140.97332862695</v>
      </c>
    </row>
    <row r="947" spans="1:68">
      <c r="A947" s="11">
        <v>941</v>
      </c>
      <c r="C947" s="27">
        <v>0.92242848515833775</v>
      </c>
      <c r="D947" s="27">
        <v>7.7571514841662248E-2</v>
      </c>
      <c r="E947" s="27">
        <v>0</v>
      </c>
      <c r="F947" s="27">
        <v>0.86313126074832247</v>
      </c>
      <c r="G947" s="27">
        <v>0.13686873925167753</v>
      </c>
      <c r="H947" s="27">
        <v>0</v>
      </c>
      <c r="I947" s="27">
        <v>0.75477402348219946</v>
      </c>
      <c r="J947" s="27">
        <v>0.24522597651780056</v>
      </c>
      <c r="K947" s="27">
        <v>0</v>
      </c>
      <c r="L947" s="27">
        <v>0.18673958486059494</v>
      </c>
      <c r="M947" s="27">
        <v>0.4790990501246184</v>
      </c>
      <c r="N947" s="27">
        <v>0.33416136501478666</v>
      </c>
      <c r="O947" s="27">
        <v>-11.304052973182301</v>
      </c>
      <c r="P947" s="27">
        <v>3.3185293189042023E-2</v>
      </c>
      <c r="Q947" s="27">
        <v>4.9661992331712215E-5</v>
      </c>
      <c r="R947" s="27">
        <v>1.10161196788289</v>
      </c>
      <c r="S947" s="154"/>
      <c r="T947">
        <v>1.0685056469605538</v>
      </c>
      <c r="U947">
        <v>2.2157991169922955</v>
      </c>
      <c r="V947">
        <v>2.905630780711324</v>
      </c>
      <c r="W947">
        <v>1</v>
      </c>
      <c r="Y947" s="2">
        <v>925.77472356000999</v>
      </c>
      <c r="Z947" s="2">
        <v>10312.677430928225</v>
      </c>
      <c r="AA947" s="2">
        <v>693.46607839846308</v>
      </c>
      <c r="AB947" s="2">
        <v>429.82023976666613</v>
      </c>
      <c r="AC947" s="2">
        <v>335.27799035708688</v>
      </c>
      <c r="AD947" s="2">
        <v>679.7281676644709</v>
      </c>
      <c r="AE947" s="2">
        <v>541.34729505845905</v>
      </c>
      <c r="AF947" s="2">
        <v>1079.7694857858048</v>
      </c>
      <c r="AG947" s="2">
        <v>209.06797288043379</v>
      </c>
      <c r="AH947" s="2">
        <v>469.33686807238576</v>
      </c>
      <c r="AI947" s="2">
        <v>701952.80202028214</v>
      </c>
      <c r="AJ947" s="2">
        <v>659468.83061515563</v>
      </c>
      <c r="AL947" s="27">
        <v>0.91804171262073286</v>
      </c>
      <c r="AM947" s="27">
        <v>0.90564816969769901</v>
      </c>
      <c r="AN947" s="27">
        <v>0.91169254030484359</v>
      </c>
      <c r="AO947" s="27">
        <v>0.86400370912226909</v>
      </c>
      <c r="AP947" s="27">
        <v>0.60984537362787994</v>
      </c>
      <c r="AQ947" s="27">
        <v>0.91804171262073286</v>
      </c>
      <c r="AR947" s="27">
        <v>0.90564816969769901</v>
      </c>
      <c r="AS947" s="27">
        <v>0.91169254030484359</v>
      </c>
      <c r="AT947" s="27">
        <v>0.86400370912226909</v>
      </c>
      <c r="AU947" s="27">
        <v>0.60984537362787994</v>
      </c>
      <c r="AW947" s="1">
        <v>13.142911178789722</v>
      </c>
      <c r="AX947" s="1">
        <v>15.49295192183593</v>
      </c>
      <c r="AY947" s="2">
        <v>2811710.8334163227</v>
      </c>
      <c r="AZ947" s="1">
        <v>15.243735621317805</v>
      </c>
      <c r="BA947" s="1">
        <v>17.451985601565074</v>
      </c>
      <c r="BB947" s="2">
        <v>1843269.2740132185</v>
      </c>
      <c r="BC947" s="2">
        <f t="shared" si="105"/>
        <v>-968441.55940310424</v>
      </c>
      <c r="BD947" s="292">
        <f t="shared" si="106"/>
        <v>2.1008244425280829</v>
      </c>
      <c r="BF947" s="170">
        <f t="shared" si="101"/>
        <v>-708845.04480996728</v>
      </c>
      <c r="BG947" s="2">
        <f t="shared" si="102"/>
        <v>595728.42539763032</v>
      </c>
      <c r="BI947">
        <f t="shared" si="103"/>
        <v>0</v>
      </c>
      <c r="BJ947" s="95">
        <f t="shared" si="104"/>
        <v>1</v>
      </c>
      <c r="BP947" s="217">
        <f t="shared" si="107"/>
        <v>595728.42539763032</v>
      </c>
    </row>
    <row r="948" spans="1:68">
      <c r="A948" s="11">
        <v>942</v>
      </c>
      <c r="C948" s="27">
        <v>0.92129405213728</v>
      </c>
      <c r="D948" s="27">
        <v>7.8705947862720005E-2</v>
      </c>
      <c r="E948" s="27">
        <v>0</v>
      </c>
      <c r="F948" s="27">
        <v>0.86204872186667225</v>
      </c>
      <c r="G948" s="27">
        <v>0.13795127813332772</v>
      </c>
      <c r="H948" s="27">
        <v>0</v>
      </c>
      <c r="I948" s="27">
        <v>0.74630877501641002</v>
      </c>
      <c r="J948" s="27">
        <v>0.25369122498358998</v>
      </c>
      <c r="K948" s="27">
        <v>0</v>
      </c>
      <c r="L948" s="27">
        <v>-5.9442475447548659E-3</v>
      </c>
      <c r="M948" s="27">
        <v>0.5623218496712834</v>
      </c>
      <c r="N948" s="27">
        <v>0.44362239787347146</v>
      </c>
      <c r="O948" s="27">
        <v>-10.817222673888622</v>
      </c>
      <c r="P948" s="27">
        <v>3.4024282948281789E-2</v>
      </c>
      <c r="Q948" s="27">
        <v>8.3705757955198089E-5</v>
      </c>
      <c r="R948" s="27">
        <v>1.0327068180567782</v>
      </c>
      <c r="S948" s="154"/>
      <c r="T948">
        <v>1.0381723907927329</v>
      </c>
      <c r="U948">
        <v>2.1567818368041847</v>
      </c>
      <c r="V948">
        <v>2.7534173206564572</v>
      </c>
      <c r="W948">
        <v>1</v>
      </c>
      <c r="Y948" s="2">
        <v>740.62307181133622</v>
      </c>
      <c r="Z948" s="2">
        <v>1563.0605067260067</v>
      </c>
      <c r="AA948" s="2">
        <v>365.99461469632047</v>
      </c>
      <c r="AB948" s="2">
        <v>2719.9843231294572</v>
      </c>
      <c r="AC948" s="2">
        <v>136.55771263034191</v>
      </c>
      <c r="AD948" s="2">
        <v>2335.5346597318926</v>
      </c>
      <c r="AE948" s="2">
        <v>621.14883682231095</v>
      </c>
      <c r="AF948" s="2">
        <v>1205.0191204580606</v>
      </c>
      <c r="AG948" s="2">
        <v>117.912562809199</v>
      </c>
      <c r="AH948" s="2">
        <v>196.52891568033036</v>
      </c>
      <c r="AI948" s="2">
        <v>511377.44801502215</v>
      </c>
      <c r="AJ948" s="2">
        <v>462105.36437971791</v>
      </c>
      <c r="AL948" s="27">
        <v>0.91606591043607644</v>
      </c>
      <c r="AM948" s="27">
        <v>0.91976755750604267</v>
      </c>
      <c r="AN948" s="27">
        <v>0.9039176172922474</v>
      </c>
      <c r="AO948" s="27">
        <v>0.8516924159623932</v>
      </c>
      <c r="AP948" s="27">
        <v>0.69613771288333326</v>
      </c>
      <c r="AQ948" s="27">
        <v>0.91606591043607644</v>
      </c>
      <c r="AR948" s="27">
        <v>0.91976755750604267</v>
      </c>
      <c r="AS948" s="27">
        <v>0.9039176172922474</v>
      </c>
      <c r="AT948" s="27">
        <v>0.8516924159623932</v>
      </c>
      <c r="AU948" s="27">
        <v>0.69613771288333326</v>
      </c>
      <c r="AW948" s="1">
        <v>13.417313273046496</v>
      </c>
      <c r="AX948" s="1">
        <v>15.478284680308407</v>
      </c>
      <c r="AY948" s="2">
        <v>1912620.8928804046</v>
      </c>
      <c r="AZ948" s="1">
        <v>15.319508086266168</v>
      </c>
      <c r="BA948" s="1">
        <v>17.316516776826543</v>
      </c>
      <c r="BB948" s="2">
        <v>1416124.2305670562</v>
      </c>
      <c r="BC948" s="2">
        <f t="shared" si="105"/>
        <v>-496496.66231334838</v>
      </c>
      <c r="BD948" s="292">
        <f t="shared" si="106"/>
        <v>1.9021948132196727</v>
      </c>
      <c r="BF948" s="170">
        <f t="shared" si="101"/>
        <v>234149.23080703453</v>
      </c>
      <c r="BG948" s="2">
        <f t="shared" si="102"/>
        <v>1034997.0632355306</v>
      </c>
      <c r="BI948">
        <f t="shared" si="103"/>
        <v>0</v>
      </c>
      <c r="BJ948" s="95">
        <f t="shared" si="104"/>
        <v>1</v>
      </c>
      <c r="BP948" s="217">
        <f t="shared" si="107"/>
        <v>1034997.0632355306</v>
      </c>
    </row>
    <row r="949" spans="1:68">
      <c r="A949" s="11">
        <v>943</v>
      </c>
      <c r="C949" s="27">
        <v>0.92317856280824262</v>
      </c>
      <c r="D949" s="27">
        <v>7.6821437191757422E-2</v>
      </c>
      <c r="E949" s="27">
        <v>0</v>
      </c>
      <c r="F949" s="27">
        <v>0.85816871434148623</v>
      </c>
      <c r="G949" s="27">
        <v>0.14183128565851383</v>
      </c>
      <c r="H949" s="27">
        <v>0</v>
      </c>
      <c r="I949" s="27">
        <v>0.74895695410771546</v>
      </c>
      <c r="J949" s="27">
        <v>0.25104304589228454</v>
      </c>
      <c r="K949" s="27">
        <v>0</v>
      </c>
      <c r="L949" s="27">
        <v>0.16881595414323003</v>
      </c>
      <c r="M949" s="27">
        <v>0.46559746144506142</v>
      </c>
      <c r="N949" s="27">
        <v>0.36558658441170855</v>
      </c>
      <c r="O949" s="27">
        <v>-11.440257908275584</v>
      </c>
      <c r="P949" s="27">
        <v>3.611811196594196E-2</v>
      </c>
      <c r="Q949" s="27">
        <v>4.9019263438772952E-5</v>
      </c>
      <c r="R949" s="27">
        <v>1.099292909401085</v>
      </c>
      <c r="S949" s="154"/>
      <c r="T949">
        <v>0.9813379915666236</v>
      </c>
      <c r="U949">
        <v>2.2407267297723181</v>
      </c>
      <c r="V949">
        <v>2.8038744000302471</v>
      </c>
      <c r="W949">
        <v>1</v>
      </c>
      <c r="Y949" s="2">
        <v>1313.3245899772505</v>
      </c>
      <c r="Z949" s="2">
        <v>780.42845534332912</v>
      </c>
      <c r="AA949" s="2">
        <v>259.19892286252212</v>
      </c>
      <c r="AB949" s="2">
        <v>2496.9154986190947</v>
      </c>
      <c r="AC949" s="2">
        <v>357.54010239504436</v>
      </c>
      <c r="AD949" s="2">
        <v>669.65571009845746</v>
      </c>
      <c r="AE949" s="2">
        <v>509.6440846407794</v>
      </c>
      <c r="AF949" s="2">
        <v>1001.4968748284766</v>
      </c>
      <c r="AG949" s="2">
        <v>132.18467361975445</v>
      </c>
      <c r="AH949" s="2">
        <v>555.25135929359737</v>
      </c>
      <c r="AI949" s="2">
        <v>389947.80485508841</v>
      </c>
      <c r="AJ949" s="2">
        <v>368171.76990818878</v>
      </c>
      <c r="AL949" s="27">
        <v>0.91791180929810734</v>
      </c>
      <c r="AM949" s="27">
        <v>0.90954400546322345</v>
      </c>
      <c r="AN949" s="27">
        <v>0.91172143625713231</v>
      </c>
      <c r="AO949" s="27">
        <v>0.88061097676105671</v>
      </c>
      <c r="AP949" s="27">
        <v>0.61238093185398124</v>
      </c>
      <c r="AQ949" s="27">
        <v>0.91791180929810734</v>
      </c>
      <c r="AR949" s="27">
        <v>0.90954400546322345</v>
      </c>
      <c r="AS949" s="27">
        <v>0.91172143625713231</v>
      </c>
      <c r="AT949" s="27">
        <v>0.88061097676105671</v>
      </c>
      <c r="AU949" s="27">
        <v>0.61238093185398124</v>
      </c>
      <c r="AW949" s="1">
        <v>13.331976769190119</v>
      </c>
      <c r="AX949" s="1">
        <v>15.588877708813941</v>
      </c>
      <c r="AY949" s="2">
        <v>1415844.0066287194</v>
      </c>
      <c r="AZ949" s="1">
        <v>15.156968371363964</v>
      </c>
      <c r="BA949" s="1">
        <v>17.307826151664248</v>
      </c>
      <c r="BB949" s="2">
        <v>1059283.9430411938</v>
      </c>
      <c r="BC949" s="2">
        <f t="shared" si="105"/>
        <v>-356560.06358752563</v>
      </c>
      <c r="BD949" s="292">
        <f t="shared" si="106"/>
        <v>1.8249916021738457</v>
      </c>
      <c r="BF949" s="170">
        <f t="shared" si="101"/>
        <v>717272.27644169959</v>
      </c>
      <c r="BG949" s="2">
        <f t="shared" si="102"/>
        <v>1365830.9963770406</v>
      </c>
      <c r="BI949">
        <f t="shared" si="103"/>
        <v>0</v>
      </c>
      <c r="BJ949" s="95">
        <f t="shared" si="104"/>
        <v>1</v>
      </c>
      <c r="BP949" s="217">
        <f t="shared" si="107"/>
        <v>1365830.9963770406</v>
      </c>
    </row>
    <row r="950" spans="1:68">
      <c r="A950" s="11">
        <v>944</v>
      </c>
      <c r="C950" s="27">
        <v>0.92113270480416043</v>
      </c>
      <c r="D950" s="27">
        <v>7.8867295195839571E-2</v>
      </c>
      <c r="E950" s="27">
        <v>0</v>
      </c>
      <c r="F950" s="27">
        <v>0.85487483223260918</v>
      </c>
      <c r="G950" s="27">
        <v>0.14512516776739082</v>
      </c>
      <c r="H950" s="27">
        <v>0</v>
      </c>
      <c r="I950" s="27">
        <v>0.75768626326673783</v>
      </c>
      <c r="J950" s="27">
        <v>0.24231373673326212</v>
      </c>
      <c r="K950" s="27">
        <v>0</v>
      </c>
      <c r="L950" s="27">
        <v>0.13052950188316192</v>
      </c>
      <c r="M950" s="27">
        <v>0.44236591579395396</v>
      </c>
      <c r="N950" s="27">
        <v>0.42710458232288417</v>
      </c>
      <c r="O950" s="27">
        <v>-11.245750286049407</v>
      </c>
      <c r="P950" s="27">
        <v>3.4598619237339777E-2</v>
      </c>
      <c r="Q950" s="27">
        <v>5.5863000844391746E-5</v>
      </c>
      <c r="R950" s="27">
        <v>1.0790503748988316</v>
      </c>
      <c r="S950" s="154"/>
      <c r="T950">
        <v>0.94704406788854478</v>
      </c>
      <c r="U950">
        <v>2.2270716313975125</v>
      </c>
      <c r="V950">
        <v>3.307250281912085</v>
      </c>
      <c r="W950">
        <v>1</v>
      </c>
      <c r="Y950" s="2">
        <v>72.580259281061046</v>
      </c>
      <c r="Z950" s="2">
        <v>10236.896872148318</v>
      </c>
      <c r="AA950" s="2">
        <v>234.00092006774108</v>
      </c>
      <c r="AB950" s="2">
        <v>5110.4770829757554</v>
      </c>
      <c r="AC950" s="2">
        <v>1157.9292009825806</v>
      </c>
      <c r="AD950" s="2">
        <v>415.40242819237409</v>
      </c>
      <c r="AE950" s="2">
        <v>557.40452694626651</v>
      </c>
      <c r="AF950" s="2">
        <v>971.13837379377958</v>
      </c>
      <c r="AG950" s="2">
        <v>86.054512183578424</v>
      </c>
      <c r="AH950" s="2">
        <v>301.6299166089068</v>
      </c>
      <c r="AI950" s="2">
        <v>529992.15744046867</v>
      </c>
      <c r="AJ950" s="2">
        <v>493522.72843472491</v>
      </c>
      <c r="AL950" s="27">
        <v>0.91787168767714167</v>
      </c>
      <c r="AM950" s="27">
        <v>0.90973135144759709</v>
      </c>
      <c r="AN950" s="27">
        <v>0.91019761374500874</v>
      </c>
      <c r="AO950" s="27">
        <v>0.8607960559484632</v>
      </c>
      <c r="AP950" s="27">
        <v>0.68343645381839524</v>
      </c>
      <c r="AQ950" s="27">
        <v>0.91787168767714167</v>
      </c>
      <c r="AR950" s="27">
        <v>0.90973135144759709</v>
      </c>
      <c r="AS950" s="27">
        <v>0.91019761374500874</v>
      </c>
      <c r="AT950" s="27">
        <v>0.8607960559484632</v>
      </c>
      <c r="AU950" s="27">
        <v>0.68343645381839524</v>
      </c>
      <c r="AW950" s="1">
        <v>13.316098940414713</v>
      </c>
      <c r="AX950" s="1">
        <v>15.301771073237749</v>
      </c>
      <c r="AY950" s="2">
        <v>1901256.5116577721</v>
      </c>
      <c r="AZ950" s="1">
        <v>15.122734216844837</v>
      </c>
      <c r="BA950" s="1">
        <v>17.083820180945008</v>
      </c>
      <c r="BB950" s="2">
        <v>1357093.8725701561</v>
      </c>
      <c r="BC950" s="2">
        <f t="shared" si="105"/>
        <v>-544162.639087616</v>
      </c>
      <c r="BD950" s="292">
        <f t="shared" si="106"/>
        <v>1.8066352764301232</v>
      </c>
      <c r="BF950" s="170">
        <f t="shared" si="101"/>
        <v>229319.31880858215</v>
      </c>
      <c r="BG950" s="2">
        <f t="shared" si="102"/>
        <v>1062543.6021250179</v>
      </c>
      <c r="BI950">
        <f t="shared" si="103"/>
        <v>0</v>
      </c>
      <c r="BJ950" s="95">
        <f t="shared" si="104"/>
        <v>1</v>
      </c>
      <c r="BP950" s="217">
        <f t="shared" si="107"/>
        <v>1062543.6021250179</v>
      </c>
    </row>
    <row r="951" spans="1:68">
      <c r="A951" s="11">
        <v>945</v>
      </c>
      <c r="C951" s="27">
        <v>0.92110521517664679</v>
      </c>
      <c r="D951" s="27">
        <v>7.8894784823353215E-2</v>
      </c>
      <c r="E951" s="27">
        <v>0</v>
      </c>
      <c r="F951" s="27">
        <v>0.84823164970553311</v>
      </c>
      <c r="G951" s="27">
        <v>0.15176835029446689</v>
      </c>
      <c r="H951" s="27">
        <v>0</v>
      </c>
      <c r="I951" s="27">
        <v>0.75151340492353358</v>
      </c>
      <c r="J951" s="27">
        <v>0.24848659507646642</v>
      </c>
      <c r="K951" s="27">
        <v>0</v>
      </c>
      <c r="L951" s="27">
        <v>0.12276019760780998</v>
      </c>
      <c r="M951" s="27">
        <v>0.48503457639167724</v>
      </c>
      <c r="N951" s="27">
        <v>0.39220522600051277</v>
      </c>
      <c r="O951" s="27">
        <v>-11.264347820821966</v>
      </c>
      <c r="P951" s="27">
        <v>3.7691092620551508E-2</v>
      </c>
      <c r="Q951" s="27">
        <v>6.2438909280023171E-5</v>
      </c>
      <c r="R951" s="27">
        <v>1.0599780828609331</v>
      </c>
      <c r="S951" s="154"/>
      <c r="T951">
        <v>1.1881617911552402</v>
      </c>
      <c r="U951">
        <v>2.1845227334346644</v>
      </c>
      <c r="V951">
        <v>2.8740251765147562</v>
      </c>
      <c r="W951">
        <v>1</v>
      </c>
      <c r="Y951" s="2">
        <v>340.75491481947472</v>
      </c>
      <c r="Z951" s="2">
        <v>7269.0291094089298</v>
      </c>
      <c r="AA951" s="2">
        <v>4675.309341223835</v>
      </c>
      <c r="AB951" s="2">
        <v>951.64235148169712</v>
      </c>
      <c r="AC951" s="2">
        <v>99.700168102340257</v>
      </c>
      <c r="AD951" s="2">
        <v>648.93784047836391</v>
      </c>
      <c r="AE951" s="2">
        <v>499.81088372363882</v>
      </c>
      <c r="AF951" s="2">
        <v>1060.7825065460531</v>
      </c>
      <c r="AG951" s="2">
        <v>83.998979642928987</v>
      </c>
      <c r="AH951" s="2">
        <v>372.4138507136114</v>
      </c>
      <c r="AI951" s="2">
        <v>586949.24240701029</v>
      </c>
      <c r="AJ951" s="2">
        <v>556453.21143154416</v>
      </c>
      <c r="AL951" s="27">
        <v>0.90816828938181215</v>
      </c>
      <c r="AM951" s="27">
        <v>0.91367349520569119</v>
      </c>
      <c r="AN951" s="27">
        <v>0.9035067967876852</v>
      </c>
      <c r="AO951" s="27">
        <v>0.85614106369858334</v>
      </c>
      <c r="AP951" s="27">
        <v>0.6119738439926139</v>
      </c>
      <c r="AQ951" s="27">
        <v>0.90816828938181215</v>
      </c>
      <c r="AR951" s="27">
        <v>0.91367349520569119</v>
      </c>
      <c r="AS951" s="27">
        <v>0.9035067967876852</v>
      </c>
      <c r="AT951" s="27">
        <v>0.85614106369858334</v>
      </c>
      <c r="AU951" s="27">
        <v>0.6119738439926139</v>
      </c>
      <c r="AW951" s="1">
        <v>12.564509338526003</v>
      </c>
      <c r="AX951" s="1">
        <v>15.017507157478992</v>
      </c>
      <c r="AY951" s="2">
        <v>2524134.2282193275</v>
      </c>
      <c r="AZ951" s="1">
        <v>14.934898590531613</v>
      </c>
      <c r="BA951" s="1">
        <v>17.228436475445911</v>
      </c>
      <c r="BB951" s="2">
        <v>1722565.0955654851</v>
      </c>
      <c r="BC951" s="2">
        <f t="shared" si="105"/>
        <v>-801569.13265384245</v>
      </c>
      <c r="BD951" s="292">
        <f t="shared" si="106"/>
        <v>2.3703892520056105</v>
      </c>
      <c r="BF951" s="170">
        <f t="shared" si="101"/>
        <v>-513812.73405516706</v>
      </c>
      <c r="BG951" s="2">
        <f t="shared" si="102"/>
        <v>667018.67891957308</v>
      </c>
      <c r="BI951">
        <f t="shared" si="103"/>
        <v>0</v>
      </c>
      <c r="BJ951" s="95">
        <f t="shared" si="104"/>
        <v>1</v>
      </c>
      <c r="BP951" s="217">
        <f t="shared" si="107"/>
        <v>667018.67891957308</v>
      </c>
    </row>
    <row r="952" spans="1:68">
      <c r="A952" s="11">
        <v>946</v>
      </c>
      <c r="C952" s="27">
        <v>0.92294444875184523</v>
      </c>
      <c r="D952" s="27">
        <v>7.7055551248154774E-2</v>
      </c>
      <c r="E952" s="27">
        <v>0</v>
      </c>
      <c r="F952" s="27">
        <v>0.85244565788133109</v>
      </c>
      <c r="G952" s="27">
        <v>0.14755434211866891</v>
      </c>
      <c r="H952" s="27">
        <v>0</v>
      </c>
      <c r="I952" s="27">
        <v>0.75145467540679101</v>
      </c>
      <c r="J952" s="27">
        <v>0.24854532459320902</v>
      </c>
      <c r="K952" s="27">
        <v>0</v>
      </c>
      <c r="L952" s="27">
        <v>0.20929308632575727</v>
      </c>
      <c r="M952" s="27">
        <v>0.49290886766982578</v>
      </c>
      <c r="N952" s="27">
        <v>0.29779804600441695</v>
      </c>
      <c r="O952" s="27">
        <v>-11.548023217526087</v>
      </c>
      <c r="P952" s="27">
        <v>3.7583776263200815E-2</v>
      </c>
      <c r="Q952" s="27">
        <v>4.6805744611171356E-5</v>
      </c>
      <c r="R952" s="27">
        <v>1.0980528721176233</v>
      </c>
      <c r="S952" s="154"/>
      <c r="T952">
        <v>0.85223452126820276</v>
      </c>
      <c r="U952">
        <v>2.1893815438231337</v>
      </c>
      <c r="V952">
        <v>2.9439557126576954</v>
      </c>
      <c r="W952">
        <v>1</v>
      </c>
      <c r="Y952" s="2">
        <v>240.44395996375846</v>
      </c>
      <c r="Z952" s="2">
        <v>3750.8671810591231</v>
      </c>
      <c r="AA952" s="2">
        <v>75.325197498770535</v>
      </c>
      <c r="AB952" s="2">
        <v>518.39923051530707</v>
      </c>
      <c r="AC952" s="2">
        <v>1365.3744087067569</v>
      </c>
      <c r="AD952" s="2">
        <v>1711.9280186465758</v>
      </c>
      <c r="AE952" s="2">
        <v>552.94550186026072</v>
      </c>
      <c r="AF952" s="2">
        <v>902.47294906068385</v>
      </c>
      <c r="AG952" s="2">
        <v>198.22543831294828</v>
      </c>
      <c r="AH952" s="2">
        <v>412.64436347904251</v>
      </c>
      <c r="AI952" s="2">
        <v>412628.47453162179</v>
      </c>
      <c r="AJ952" s="2">
        <v>388695.46696455101</v>
      </c>
      <c r="AL952" s="27">
        <v>0.91297837701075324</v>
      </c>
      <c r="AM952" s="27">
        <v>0.91301900609446229</v>
      </c>
      <c r="AN952" s="27">
        <v>0.90720411845907722</v>
      </c>
      <c r="AO952" s="27">
        <v>0.84523688474660019</v>
      </c>
      <c r="AP952" s="27">
        <v>0.66979506613863571</v>
      </c>
      <c r="AQ952" s="27">
        <v>0.91297837701075324</v>
      </c>
      <c r="AR952" s="27">
        <v>0.91301900609446229</v>
      </c>
      <c r="AS952" s="27">
        <v>0.90720411845907722</v>
      </c>
      <c r="AT952" s="27">
        <v>0.84523688474660019</v>
      </c>
      <c r="AU952" s="27">
        <v>0.66979506613863571</v>
      </c>
      <c r="AW952" s="1">
        <v>14.098262435097919</v>
      </c>
      <c r="AX952" s="1">
        <v>16.357424080903282</v>
      </c>
      <c r="AY952" s="2">
        <v>1629045.9412490733</v>
      </c>
      <c r="AZ952" s="1">
        <v>15.383964464145279</v>
      </c>
      <c r="BA952" s="1">
        <v>17.569487253512275</v>
      </c>
      <c r="BB952" s="2">
        <v>1243580.7403166818</v>
      </c>
      <c r="BC952" s="2">
        <f t="shared" si="105"/>
        <v>-385465.20093239145</v>
      </c>
      <c r="BD952" s="292">
        <f t="shared" si="106"/>
        <v>1.2857020290473606</v>
      </c>
      <c r="BF952" s="170">
        <f t="shared" si="101"/>
        <v>626676.0483665939</v>
      </c>
      <c r="BG952" s="2">
        <f t="shared" si="102"/>
        <v>1217853.5739465628</v>
      </c>
      <c r="BI952">
        <f t="shared" si="103"/>
        <v>0</v>
      </c>
      <c r="BJ952" s="95">
        <f t="shared" si="104"/>
        <v>1</v>
      </c>
      <c r="BP952" s="217">
        <f t="shared" si="107"/>
        <v>1217853.5739465628</v>
      </c>
    </row>
    <row r="953" spans="1:68">
      <c r="A953" s="11">
        <v>947</v>
      </c>
      <c r="C953" s="27">
        <v>0.9231329742227995</v>
      </c>
      <c r="D953" s="27">
        <v>7.686702577720049E-2</v>
      </c>
      <c r="E953" s="27">
        <v>0</v>
      </c>
      <c r="F953" s="27">
        <v>0.85830928472754286</v>
      </c>
      <c r="G953" s="27">
        <v>0.14169071527245719</v>
      </c>
      <c r="H953" s="27">
        <v>0</v>
      </c>
      <c r="I953" s="27">
        <v>0.74589625968222584</v>
      </c>
      <c r="J953" s="27">
        <v>0.25410374031777416</v>
      </c>
      <c r="K953" s="27">
        <v>0</v>
      </c>
      <c r="L953" s="27">
        <v>0.12426973788589091</v>
      </c>
      <c r="M953" s="27">
        <v>0.47329937186119653</v>
      </c>
      <c r="N953" s="27">
        <v>0.40243089025291257</v>
      </c>
      <c r="O953" s="27">
        <v>-11.057981718238103</v>
      </c>
      <c r="P953" s="27">
        <v>3.4825655264985017E-2</v>
      </c>
      <c r="Q953" s="27">
        <v>6.8047525186138957E-5</v>
      </c>
      <c r="R953" s="27">
        <v>1.0581196926571113</v>
      </c>
      <c r="S953" s="154"/>
      <c r="T953">
        <v>0.84672893039067143</v>
      </c>
      <c r="U953">
        <v>2.1588798201535928</v>
      </c>
      <c r="V953">
        <v>2.9121245090413401</v>
      </c>
      <c r="W953">
        <v>1</v>
      </c>
      <c r="Y953" s="2">
        <v>498.66816775578411</v>
      </c>
      <c r="Z953" s="2">
        <v>1396.8571582986851</v>
      </c>
      <c r="AA953" s="2">
        <v>1401.1021203423238</v>
      </c>
      <c r="AB953" s="2">
        <v>7082.1823120892441</v>
      </c>
      <c r="AC953" s="2">
        <v>127.84263629718023</v>
      </c>
      <c r="AD953" s="2">
        <v>334.51797518223748</v>
      </c>
      <c r="AE953" s="2">
        <v>556.84397040913018</v>
      </c>
      <c r="AF953" s="2">
        <v>1151.789118484518</v>
      </c>
      <c r="AG953" s="2">
        <v>79.588394153870993</v>
      </c>
      <c r="AH953" s="2">
        <v>472.74539308430781</v>
      </c>
      <c r="AI953" s="2">
        <v>619364.06208845053</v>
      </c>
      <c r="AJ953" s="2">
        <v>595388.79370091681</v>
      </c>
      <c r="AL953" s="27">
        <v>0.91220445008848428</v>
      </c>
      <c r="AM953" s="27">
        <v>0.91123439835980802</v>
      </c>
      <c r="AN953" s="27">
        <v>0.90616077163804598</v>
      </c>
      <c r="AO953" s="27">
        <v>0.89525028883749391</v>
      </c>
      <c r="AP953" s="27">
        <v>0.72459605832386875</v>
      </c>
      <c r="AQ953" s="27">
        <v>0.91220445008848428</v>
      </c>
      <c r="AR953" s="27">
        <v>0.91123439835980802</v>
      </c>
      <c r="AS953" s="27">
        <v>0.90616077163804598</v>
      </c>
      <c r="AT953" s="27">
        <v>0.89525028883749391</v>
      </c>
      <c r="AU953" s="27">
        <v>0.72459605832386875</v>
      </c>
      <c r="AW953" s="1">
        <v>14.028464109089965</v>
      </c>
      <c r="AX953" s="1">
        <v>15.972560469570544</v>
      </c>
      <c r="AY953" s="2">
        <v>2081301.4199838459</v>
      </c>
      <c r="AZ953" s="1">
        <v>15.311101730838676</v>
      </c>
      <c r="BA953" s="1">
        <v>17.257763455501504</v>
      </c>
      <c r="BB953" s="2">
        <v>1750475.1838059339</v>
      </c>
      <c r="BC953" s="2">
        <f t="shared" si="105"/>
        <v>-330826.23617791198</v>
      </c>
      <c r="BD953" s="292">
        <f t="shared" si="106"/>
        <v>1.2826376217487105</v>
      </c>
      <c r="BF953" s="170">
        <f t="shared" si="101"/>
        <v>163252.83747054846</v>
      </c>
      <c r="BG953" s="2">
        <f t="shared" si="102"/>
        <v>699301.0931282544</v>
      </c>
      <c r="BI953">
        <f t="shared" si="103"/>
        <v>0</v>
      </c>
      <c r="BJ953" s="95">
        <f t="shared" si="104"/>
        <v>1</v>
      </c>
      <c r="BP953" s="217">
        <f t="shared" si="107"/>
        <v>699301.0931282544</v>
      </c>
    </row>
    <row r="954" spans="1:68">
      <c r="A954" s="11">
        <v>948</v>
      </c>
      <c r="C954" s="27">
        <v>0.9239970558073346</v>
      </c>
      <c r="D954" s="27">
        <v>7.6002944192665359E-2</v>
      </c>
      <c r="E954" s="27">
        <v>0</v>
      </c>
      <c r="F954" s="27">
        <v>0.85630602951951273</v>
      </c>
      <c r="G954" s="27">
        <v>0.14369397048048727</v>
      </c>
      <c r="H954" s="27">
        <v>0</v>
      </c>
      <c r="I954" s="27">
        <v>0.75293589611177159</v>
      </c>
      <c r="J954" s="27">
        <v>0.24706410388822836</v>
      </c>
      <c r="K954" s="27">
        <v>0</v>
      </c>
      <c r="L954" s="27">
        <v>0.14153492567875148</v>
      </c>
      <c r="M954" s="27">
        <v>0.4747849795614219</v>
      </c>
      <c r="N954" s="27">
        <v>0.38368009475982667</v>
      </c>
      <c r="O954" s="27">
        <v>-11.164871637663811</v>
      </c>
      <c r="P954" s="27">
        <v>3.6433268093038804E-2</v>
      </c>
      <c r="Q954" s="27">
        <v>6.5420533704938608E-5</v>
      </c>
      <c r="R954" s="27">
        <v>1.0603754959376908</v>
      </c>
      <c r="S954" s="154"/>
      <c r="T954">
        <v>1.1464263267254271</v>
      </c>
      <c r="U954">
        <v>2.2199535998842812</v>
      </c>
      <c r="V954">
        <v>3.2585353970560793</v>
      </c>
      <c r="W954">
        <v>1</v>
      </c>
      <c r="Y954" s="2">
        <v>1905.9314846534583</v>
      </c>
      <c r="Z954" s="2">
        <v>346.02564415110123</v>
      </c>
      <c r="AA954" s="2">
        <v>1422.7380779510545</v>
      </c>
      <c r="AB954" s="2">
        <v>5003.0636546643118</v>
      </c>
      <c r="AC954" s="2">
        <v>169.55273675072962</v>
      </c>
      <c r="AD954" s="2">
        <v>1148.1981269708469</v>
      </c>
      <c r="AE954" s="2">
        <v>547.44206721990327</v>
      </c>
      <c r="AF954" s="2">
        <v>950.37986470404098</v>
      </c>
      <c r="AG954" s="2">
        <v>129.6255344245665</v>
      </c>
      <c r="AH954" s="2">
        <v>425.88914507146967</v>
      </c>
      <c r="AI954" s="2">
        <v>471976.8074722545</v>
      </c>
      <c r="AJ954" s="2">
        <v>444528.61675293022</v>
      </c>
      <c r="AL954" s="27">
        <v>0.91097816276427079</v>
      </c>
      <c r="AM954" s="27">
        <v>0.91910840794326076</v>
      </c>
      <c r="AN954" s="27">
        <v>0.91077204930691702</v>
      </c>
      <c r="AO954" s="27">
        <v>0.85253265192425198</v>
      </c>
      <c r="AP954" s="27">
        <v>0.5382836150762339</v>
      </c>
      <c r="AQ954" s="27">
        <v>0.91097816276427079</v>
      </c>
      <c r="AR954" s="27">
        <v>0.91910840794326076</v>
      </c>
      <c r="AS954" s="27">
        <v>0.91077204930691702</v>
      </c>
      <c r="AT954" s="27">
        <v>0.85253265192425198</v>
      </c>
      <c r="AU954" s="27">
        <v>0.5382836150762339</v>
      </c>
      <c r="AW954" s="1">
        <v>12.527526187638838</v>
      </c>
      <c r="AX954" s="1">
        <v>15.154099234031111</v>
      </c>
      <c r="AY954" s="2">
        <v>1879016.751446923</v>
      </c>
      <c r="AZ954" s="1">
        <v>14.983626412741961</v>
      </c>
      <c r="BA954" s="1">
        <v>17.356180515168752</v>
      </c>
      <c r="BB954" s="2">
        <v>1351543.736483023</v>
      </c>
      <c r="BC954" s="2">
        <f t="shared" si="105"/>
        <v>-527473.01496389997</v>
      </c>
      <c r="BD954" s="292">
        <f t="shared" si="106"/>
        <v>2.456100225103123</v>
      </c>
      <c r="BF954" s="170">
        <f t="shared" si="101"/>
        <v>125387.43857529107</v>
      </c>
      <c r="BG954" s="2">
        <f t="shared" si="102"/>
        <v>1045836.4895556909</v>
      </c>
      <c r="BI954">
        <f t="shared" si="103"/>
        <v>0</v>
      </c>
      <c r="BJ954" s="95">
        <f t="shared" si="104"/>
        <v>1</v>
      </c>
      <c r="BP954" s="217">
        <f t="shared" si="107"/>
        <v>1045836.4895556909</v>
      </c>
    </row>
    <row r="955" spans="1:68">
      <c r="A955" s="11">
        <v>949</v>
      </c>
      <c r="C955" s="27">
        <v>0.92001481194139745</v>
      </c>
      <c r="D955" s="27">
        <v>7.9985188058602552E-2</v>
      </c>
      <c r="E955" s="27">
        <v>0</v>
      </c>
      <c r="F955" s="27">
        <v>0.85568582725051867</v>
      </c>
      <c r="G955" s="27">
        <v>0.14431417274948133</v>
      </c>
      <c r="H955" s="27">
        <v>0</v>
      </c>
      <c r="I955" s="27">
        <v>0.75241974109230403</v>
      </c>
      <c r="J955" s="27">
        <v>0.24758025890769594</v>
      </c>
      <c r="K955" s="27">
        <v>0</v>
      </c>
      <c r="L955" s="27">
        <v>3.2941379349142763E-2</v>
      </c>
      <c r="M955" s="27">
        <v>0.56458946328299497</v>
      </c>
      <c r="N955" s="27">
        <v>0.40246915736786226</v>
      </c>
      <c r="O955" s="27">
        <v>-11.008349014299775</v>
      </c>
      <c r="P955" s="27">
        <v>3.609999294669429E-2</v>
      </c>
      <c r="Q955" s="27">
        <v>7.5441781091563402E-5</v>
      </c>
      <c r="R955" s="27">
        <v>1.0412335543365057</v>
      </c>
      <c r="S955" s="154"/>
      <c r="T955">
        <v>1.0231219334030723</v>
      </c>
      <c r="U955">
        <v>2.247763274251644</v>
      </c>
      <c r="V955">
        <v>3.2625083071638943</v>
      </c>
      <c r="W955">
        <v>1</v>
      </c>
      <c r="Y955" s="2">
        <v>78.886294306518678</v>
      </c>
      <c r="Z955" s="2">
        <v>2305.3214703821313</v>
      </c>
      <c r="AA955" s="2">
        <v>741.91687556661805</v>
      </c>
      <c r="AB955" s="2">
        <v>2338.7550559124934</v>
      </c>
      <c r="AC955" s="2">
        <v>1204.6801131137083</v>
      </c>
      <c r="AD955" s="2">
        <v>3167.9756318710452</v>
      </c>
      <c r="AE955" s="2">
        <v>523.96624348414014</v>
      </c>
      <c r="AF955" s="2">
        <v>1022.2541511370983</v>
      </c>
      <c r="AG955" s="2">
        <v>70.555782969261529</v>
      </c>
      <c r="AH955" s="2">
        <v>620.44200191295306</v>
      </c>
      <c r="AI955" s="2">
        <v>395087.82673380664</v>
      </c>
      <c r="AJ955" s="2">
        <v>360093.26630873547</v>
      </c>
      <c r="AL955" s="27">
        <v>0.91324108349332067</v>
      </c>
      <c r="AM955" s="27">
        <v>0.918243504155556</v>
      </c>
      <c r="AN955" s="27">
        <v>0.90120683256917788</v>
      </c>
      <c r="AO955" s="27">
        <v>0.88844788840278155</v>
      </c>
      <c r="AP955" s="27">
        <v>0.584726317642557</v>
      </c>
      <c r="AQ955" s="27">
        <v>0.91324108349332067</v>
      </c>
      <c r="AR955" s="27">
        <v>0.918243504155556</v>
      </c>
      <c r="AS955" s="27">
        <v>0.90120683256917788</v>
      </c>
      <c r="AT955" s="27">
        <v>0.88844788840278155</v>
      </c>
      <c r="AU955" s="27">
        <v>0.584726317642557</v>
      </c>
      <c r="AW955" s="1">
        <v>12.97849445331329</v>
      </c>
      <c r="AX955" s="1">
        <v>15.499789623054902</v>
      </c>
      <c r="AY955" s="2">
        <v>1625454.4359150424</v>
      </c>
      <c r="AZ955" s="1">
        <v>15.040148566571817</v>
      </c>
      <c r="BA955" s="1">
        <v>17.373083789617279</v>
      </c>
      <c r="BB955" s="2">
        <v>1214975.9398615882</v>
      </c>
      <c r="BC955" s="2">
        <f t="shared" si="105"/>
        <v>-410478.49605345423</v>
      </c>
      <c r="BD955" s="292">
        <f t="shared" si="106"/>
        <v>2.0616541132585269</v>
      </c>
      <c r="BF955" s="170">
        <f t="shared" si="101"/>
        <v>451104.67661508406</v>
      </c>
      <c r="BG955" s="2">
        <f t="shared" si="102"/>
        <v>1191447.8307899027</v>
      </c>
      <c r="BI955">
        <f t="shared" si="103"/>
        <v>0</v>
      </c>
      <c r="BJ955" s="95">
        <f t="shared" si="104"/>
        <v>1</v>
      </c>
      <c r="BP955" s="217">
        <f t="shared" si="107"/>
        <v>1191447.8307899027</v>
      </c>
    </row>
    <row r="956" spans="1:68">
      <c r="A956" s="11">
        <v>950</v>
      </c>
      <c r="C956" s="27">
        <v>0.92142510322064664</v>
      </c>
      <c r="D956" s="27">
        <v>7.8574896779353365E-2</v>
      </c>
      <c r="E956" s="27">
        <v>0</v>
      </c>
      <c r="F956" s="27">
        <v>0.85315687946122076</v>
      </c>
      <c r="G956" s="27">
        <v>0.14684312053877924</v>
      </c>
      <c r="H956" s="27">
        <v>0</v>
      </c>
      <c r="I956" s="27">
        <v>0.75340748250574441</v>
      </c>
      <c r="J956" s="27">
        <v>0.24659251749425554</v>
      </c>
      <c r="K956" s="27">
        <v>0</v>
      </c>
      <c r="L956" s="27">
        <v>0.1362671088722327</v>
      </c>
      <c r="M956" s="27">
        <v>0.47384383917569856</v>
      </c>
      <c r="N956" s="27">
        <v>0.3898890519520688</v>
      </c>
      <c r="O956" s="27">
        <v>-11.289043369071535</v>
      </c>
      <c r="P956" s="27">
        <v>3.4714259990378693E-2</v>
      </c>
      <c r="Q956" s="27">
        <v>5.3756581632521041E-5</v>
      </c>
      <c r="R956" s="27">
        <v>1.09390009323842</v>
      </c>
      <c r="S956" s="154"/>
      <c r="T956">
        <v>0.98457727314669241</v>
      </c>
      <c r="U956">
        <v>2.1860217408201925</v>
      </c>
      <c r="V956">
        <v>3.1136366833387408</v>
      </c>
      <c r="W956">
        <v>1</v>
      </c>
      <c r="Y956" s="2">
        <v>652.97123164617528</v>
      </c>
      <c r="Z956" s="2">
        <v>10237.373708482368</v>
      </c>
      <c r="AA956" s="2">
        <v>1999.2218023946364</v>
      </c>
      <c r="AB956" s="2">
        <v>3077.7370247038348</v>
      </c>
      <c r="AC956" s="2">
        <v>714.46289317199637</v>
      </c>
      <c r="AD956" s="2">
        <v>2623.9784458010936</v>
      </c>
      <c r="AE956" s="2">
        <v>517.87984047553948</v>
      </c>
      <c r="AF956" s="2">
        <v>1257.9710954281525</v>
      </c>
      <c r="AG956" s="2">
        <v>83.157868682512685</v>
      </c>
      <c r="AH956" s="2">
        <v>418.99447846685649</v>
      </c>
      <c r="AI956" s="2">
        <v>451294.49948497961</v>
      </c>
      <c r="AJ956" s="2">
        <v>427236.66771084658</v>
      </c>
      <c r="AL956" s="27">
        <v>0.91523501974898935</v>
      </c>
      <c r="AM956" s="27">
        <v>0.91681238318116742</v>
      </c>
      <c r="AN956" s="27">
        <v>0.90789845107611411</v>
      </c>
      <c r="AO956" s="27">
        <v>0.8655234967830735</v>
      </c>
      <c r="AP956" s="27">
        <v>0.73377824896033284</v>
      </c>
      <c r="AQ956" s="27">
        <v>0.91523501974898935</v>
      </c>
      <c r="AR956" s="27">
        <v>0.91681238318116742</v>
      </c>
      <c r="AS956" s="27">
        <v>0.90789845107611411</v>
      </c>
      <c r="AT956" s="27">
        <v>0.8655234967830735</v>
      </c>
      <c r="AU956" s="27">
        <v>0.73377824896033284</v>
      </c>
      <c r="AW956" s="1">
        <v>13.454739223605561</v>
      </c>
      <c r="AX956" s="1">
        <v>15.335595523552449</v>
      </c>
      <c r="AY956" s="2">
        <v>1736839.9938093787</v>
      </c>
      <c r="AZ956" s="1">
        <v>15.263123436593109</v>
      </c>
      <c r="BA956" s="1">
        <v>17.141104598377712</v>
      </c>
      <c r="BB956" s="2">
        <v>1272559.3394435619</v>
      </c>
      <c r="BC956" s="2">
        <f t="shared" si="105"/>
        <v>-464280.65436581685</v>
      </c>
      <c r="BD956" s="292">
        <f t="shared" si="106"/>
        <v>1.8083842129875478</v>
      </c>
      <c r="BF956" s="170">
        <f t="shared" si="101"/>
        <v>415918.28196751093</v>
      </c>
      <c r="BG956" s="2">
        <f t="shared" si="102"/>
        <v>1169540.4104113353</v>
      </c>
      <c r="BI956">
        <f t="shared" si="103"/>
        <v>0</v>
      </c>
      <c r="BJ956" s="95">
        <f t="shared" si="104"/>
        <v>1</v>
      </c>
      <c r="BP956" s="217">
        <f t="shared" si="107"/>
        <v>1169540.4104113353</v>
      </c>
    </row>
    <row r="957" spans="1:68">
      <c r="A957" s="11">
        <v>951</v>
      </c>
      <c r="C957" s="27">
        <v>0.92056345731993161</v>
      </c>
      <c r="D957" s="27">
        <v>7.9436542680068389E-2</v>
      </c>
      <c r="E957" s="27">
        <v>0</v>
      </c>
      <c r="F957" s="27">
        <v>0.85622823359136979</v>
      </c>
      <c r="G957" s="27">
        <v>0.14377176640863021</v>
      </c>
      <c r="H957" s="27">
        <v>0</v>
      </c>
      <c r="I957" s="27">
        <v>0.74831652014709626</v>
      </c>
      <c r="J957" s="27">
        <v>0.25168347985290374</v>
      </c>
      <c r="K957" s="27">
        <v>0</v>
      </c>
      <c r="L957" s="27">
        <v>0.19866185424949862</v>
      </c>
      <c r="M957" s="27">
        <v>0.46244436965939795</v>
      </c>
      <c r="N957" s="27">
        <v>0.33889377609110344</v>
      </c>
      <c r="O957" s="27">
        <v>-11.226530429571399</v>
      </c>
      <c r="P957" s="27">
        <v>3.8038209884307152E-2</v>
      </c>
      <c r="Q957" s="27">
        <v>6.5797703962384906E-5</v>
      </c>
      <c r="R957" s="27">
        <v>1.0531811556626653</v>
      </c>
      <c r="S957" s="154"/>
      <c r="T957">
        <v>0.9641457685764051</v>
      </c>
      <c r="U957">
        <v>2.3145923884103614</v>
      </c>
      <c r="V957">
        <v>2.9455845658013806</v>
      </c>
      <c r="W957">
        <v>1</v>
      </c>
      <c r="Y957" s="2">
        <v>371.16183128591558</v>
      </c>
      <c r="Z957" s="2">
        <v>5209.6944543657255</v>
      </c>
      <c r="AA957" s="2">
        <v>1868.6726712104705</v>
      </c>
      <c r="AB957" s="2">
        <v>10425.04029880165</v>
      </c>
      <c r="AC957" s="2">
        <v>1240.3076658809725</v>
      </c>
      <c r="AD957" s="2">
        <v>576.8536029940833</v>
      </c>
      <c r="AE957" s="2">
        <v>581.2310986251515</v>
      </c>
      <c r="AF957" s="2">
        <v>922.10184157766798</v>
      </c>
      <c r="AG957" s="2">
        <v>68.020432420471408</v>
      </c>
      <c r="AH957" s="2">
        <v>503.70497682936906</v>
      </c>
      <c r="AI957" s="2">
        <v>627770.74323064741</v>
      </c>
      <c r="AJ957" s="2">
        <v>595754.66968842223</v>
      </c>
      <c r="AL957" s="27">
        <v>0.92094349447536716</v>
      </c>
      <c r="AM957" s="27">
        <v>0.91945154837467669</v>
      </c>
      <c r="AN957" s="27">
        <v>0.90647094590545541</v>
      </c>
      <c r="AO957" s="27">
        <v>0.83371484230561943</v>
      </c>
      <c r="AP957" s="27">
        <v>0.68740323011506688</v>
      </c>
      <c r="AQ957" s="27">
        <v>0.92094349447536716</v>
      </c>
      <c r="AR957" s="27">
        <v>0.91945154837467669</v>
      </c>
      <c r="AS957" s="27">
        <v>0.90647094590545541</v>
      </c>
      <c r="AT957" s="27">
        <v>0.83371484230561943</v>
      </c>
      <c r="AU957" s="27">
        <v>0.68740323011506688</v>
      </c>
      <c r="AW957" s="1">
        <v>13.648970489547128</v>
      </c>
      <c r="AX957" s="1">
        <v>15.756062626248276</v>
      </c>
      <c r="AY957" s="2">
        <v>2570821.7011101567</v>
      </c>
      <c r="AZ957" s="1">
        <v>15.397408416737212</v>
      </c>
      <c r="BA957" s="1">
        <v>17.419206457765114</v>
      </c>
      <c r="BB957" s="2">
        <v>1994451.2824563098</v>
      </c>
      <c r="BC957" s="2">
        <f t="shared" si="105"/>
        <v>-576370.41865384695</v>
      </c>
      <c r="BD957" s="292">
        <f t="shared" si="106"/>
        <v>1.7484379271900838</v>
      </c>
      <c r="BF957" s="170">
        <f t="shared" si="101"/>
        <v>-386986.42278261622</v>
      </c>
      <c r="BG957" s="2">
        <f t="shared" si="102"/>
        <v>469134.06422164408</v>
      </c>
      <c r="BI957">
        <f t="shared" si="103"/>
        <v>0</v>
      </c>
      <c r="BJ957" s="95">
        <f t="shared" si="104"/>
        <v>1</v>
      </c>
      <c r="BP957" s="217">
        <f t="shared" si="107"/>
        <v>469134.06422164408</v>
      </c>
    </row>
    <row r="958" spans="1:68">
      <c r="A958" s="11">
        <v>952</v>
      </c>
      <c r="C958" s="27">
        <v>0.92091685222237896</v>
      </c>
      <c r="D958" s="27">
        <v>7.9083147777621043E-2</v>
      </c>
      <c r="E958" s="27">
        <v>0</v>
      </c>
      <c r="F958" s="27">
        <v>0.86182701720265564</v>
      </c>
      <c r="G958" s="27">
        <v>0.1381729827973443</v>
      </c>
      <c r="H958" s="27">
        <v>0</v>
      </c>
      <c r="I958" s="27">
        <v>0.75393585644329719</v>
      </c>
      <c r="J958" s="27">
        <v>0.24606414355670286</v>
      </c>
      <c r="K958" s="27">
        <v>0</v>
      </c>
      <c r="L958" s="27">
        <v>9.9625088793657446E-2</v>
      </c>
      <c r="M958" s="27">
        <v>0.53832797239541941</v>
      </c>
      <c r="N958" s="27">
        <v>0.36204693881092315</v>
      </c>
      <c r="O958" s="27">
        <v>-10.879094691997086</v>
      </c>
      <c r="P958" s="27">
        <v>3.2157234510990229E-2</v>
      </c>
      <c r="Q958" s="27">
        <v>7.2749331385261995E-5</v>
      </c>
      <c r="R958" s="27">
        <v>1.0567719404581257</v>
      </c>
      <c r="S958" s="154"/>
      <c r="T958">
        <v>0.92711450961175945</v>
      </c>
      <c r="U958">
        <v>2.2300088944522045</v>
      </c>
      <c r="V958">
        <v>2.7628685803850885</v>
      </c>
      <c r="W958">
        <v>1</v>
      </c>
      <c r="Y958" s="2">
        <v>950.44410888303878</v>
      </c>
      <c r="Z958" s="2">
        <v>1182.9945100669377</v>
      </c>
      <c r="AA958" s="2">
        <v>978.21731928283771</v>
      </c>
      <c r="AB958" s="2">
        <v>7789.6799846360773</v>
      </c>
      <c r="AC958" s="2">
        <v>299.10952088500557</v>
      </c>
      <c r="AD958" s="2">
        <v>1882.3471484229412</v>
      </c>
      <c r="AE958" s="2">
        <v>563.25071067856982</v>
      </c>
      <c r="AF958" s="2">
        <v>1078.8812390531859</v>
      </c>
      <c r="AG958" s="2">
        <v>108.51300599795937</v>
      </c>
      <c r="AH958" s="2">
        <v>428.2753983854804</v>
      </c>
      <c r="AI958" s="2">
        <v>511492.72194240813</v>
      </c>
      <c r="AJ958" s="2">
        <v>488443.57998511358</v>
      </c>
      <c r="AL958" s="27">
        <v>0.91661743332353895</v>
      </c>
      <c r="AM958" s="27">
        <v>0.91747000772962028</v>
      </c>
      <c r="AN958" s="27">
        <v>0.91466033760615284</v>
      </c>
      <c r="AO958" s="27">
        <v>0.87346359592902323</v>
      </c>
      <c r="AP958" s="27">
        <v>0.73838242025549783</v>
      </c>
      <c r="AQ958" s="27">
        <v>0.91661743332353895</v>
      </c>
      <c r="AR958" s="27">
        <v>0.91747000772962028</v>
      </c>
      <c r="AS958" s="27">
        <v>0.91466033760615284</v>
      </c>
      <c r="AT958" s="27">
        <v>0.87346359592902323</v>
      </c>
      <c r="AU958" s="27">
        <v>0.73838242025549783</v>
      </c>
      <c r="AW958" s="1">
        <v>13.980772377939454</v>
      </c>
      <c r="AX958" s="1">
        <v>15.907215146344582</v>
      </c>
      <c r="AY958" s="2">
        <v>1968223.1063456712</v>
      </c>
      <c r="AZ958" s="1">
        <v>15.549712253120587</v>
      </c>
      <c r="BA958" s="1">
        <v>17.447715890382952</v>
      </c>
      <c r="BB958" s="2">
        <v>1605899.4395592762</v>
      </c>
      <c r="BC958" s="2">
        <f t="shared" si="105"/>
        <v>-362323.66678639501</v>
      </c>
      <c r="BD958" s="292">
        <f t="shared" si="106"/>
        <v>1.5689398751811332</v>
      </c>
      <c r="BF958" s="170">
        <f t="shared" si="101"/>
        <v>268700.47412464162</v>
      </c>
      <c r="BG958" s="2">
        <f t="shared" si="102"/>
        <v>882054.52094001789</v>
      </c>
      <c r="BI958">
        <f t="shared" si="103"/>
        <v>0</v>
      </c>
      <c r="BJ958" s="95">
        <f t="shared" si="104"/>
        <v>1</v>
      </c>
      <c r="BP958" s="217">
        <f t="shared" si="107"/>
        <v>882054.52094001789</v>
      </c>
    </row>
    <row r="959" spans="1:68">
      <c r="A959" s="11">
        <v>953</v>
      </c>
      <c r="C959" s="27">
        <v>0.9284009680445765</v>
      </c>
      <c r="D959" s="27">
        <v>7.1599031955423456E-2</v>
      </c>
      <c r="E959" s="27">
        <v>0</v>
      </c>
      <c r="F959" s="27">
        <v>0.8574540704122936</v>
      </c>
      <c r="G959" s="27">
        <v>0.14254592958770643</v>
      </c>
      <c r="H959" s="27">
        <v>0</v>
      </c>
      <c r="I959" s="27">
        <v>0.75289654135902606</v>
      </c>
      <c r="J959" s="27">
        <v>0.24710345864097399</v>
      </c>
      <c r="K959" s="27">
        <v>0</v>
      </c>
      <c r="L959" s="27">
        <v>0.13576598078265462</v>
      </c>
      <c r="M959" s="27">
        <v>0.49717198941376961</v>
      </c>
      <c r="N959" s="27">
        <v>0.36706202980357577</v>
      </c>
      <c r="O959" s="27">
        <v>-11.368377805547771</v>
      </c>
      <c r="P959" s="27">
        <v>3.5499670466692716E-2</v>
      </c>
      <c r="Q959" s="27">
        <v>5.1321969302687755E-5</v>
      </c>
      <c r="R959" s="27">
        <v>1.0927444054921391</v>
      </c>
      <c r="S959" s="154"/>
      <c r="T959">
        <v>0.92008108927231369</v>
      </c>
      <c r="U959">
        <v>2.1899838979016879</v>
      </c>
      <c r="V959">
        <v>2.9710834551420047</v>
      </c>
      <c r="W959">
        <v>1</v>
      </c>
      <c r="Y959" s="2">
        <v>1140.2639426326621</v>
      </c>
      <c r="Z959" s="2">
        <v>3340.5750828435489</v>
      </c>
      <c r="AA959" s="2">
        <v>1800.3238254001969</v>
      </c>
      <c r="AB959" s="2">
        <v>3607.7258177270282</v>
      </c>
      <c r="AC959" s="2">
        <v>938.67403665931954</v>
      </c>
      <c r="AD959" s="2">
        <v>1749.1057097052501</v>
      </c>
      <c r="AE959" s="2">
        <v>527.16536434151556</v>
      </c>
      <c r="AF959" s="2">
        <v>1193.8696156700785</v>
      </c>
      <c r="AG959" s="2">
        <v>95.74518033479572</v>
      </c>
      <c r="AH959" s="2">
        <v>237.47046775896405</v>
      </c>
      <c r="AI959" s="2">
        <v>364455.72705752274</v>
      </c>
      <c r="AJ959" s="2">
        <v>334660.56518051145</v>
      </c>
      <c r="AL959" s="27">
        <v>0.91787753453370524</v>
      </c>
      <c r="AM959" s="27">
        <v>0.92026523175536235</v>
      </c>
      <c r="AN959" s="27">
        <v>0.91452392540364469</v>
      </c>
      <c r="AO959" s="27">
        <v>0.87558234480732389</v>
      </c>
      <c r="AP959" s="27">
        <v>0.73431986864586363</v>
      </c>
      <c r="AQ959" s="27">
        <v>0.91787753453370524</v>
      </c>
      <c r="AR959" s="27">
        <v>0.92026523175536235</v>
      </c>
      <c r="AS959" s="27">
        <v>0.91452392540364469</v>
      </c>
      <c r="AT959" s="27">
        <v>0.87558234480732389</v>
      </c>
      <c r="AU959" s="27">
        <v>0.73431986864586363</v>
      </c>
      <c r="AW959" s="1">
        <v>14.168296221638798</v>
      </c>
      <c r="AX959" s="1">
        <v>16.05154571828977</v>
      </c>
      <c r="AY959" s="2">
        <v>1295685.9097824171</v>
      </c>
      <c r="AZ959" s="1">
        <v>15.65980348113416</v>
      </c>
      <c r="BA959" s="1">
        <v>17.515949007470901</v>
      </c>
      <c r="BB959" s="2">
        <v>1030515.9584955521</v>
      </c>
      <c r="BC959" s="2">
        <f t="shared" si="105"/>
        <v>-265169.95128686505</v>
      </c>
      <c r="BD959" s="292">
        <f t="shared" si="106"/>
        <v>1.4915072594953624</v>
      </c>
      <c r="BF959" s="170">
        <f t="shared" si="101"/>
        <v>971241.48567979038</v>
      </c>
      <c r="BG959" s="2">
        <f t="shared" si="102"/>
        <v>1475052.5984859136</v>
      </c>
      <c r="BI959">
        <f t="shared" si="103"/>
        <v>0</v>
      </c>
      <c r="BJ959" s="95">
        <f t="shared" si="104"/>
        <v>1</v>
      </c>
      <c r="BP959" s="217">
        <f t="shared" si="107"/>
        <v>1475052.5984859136</v>
      </c>
    </row>
    <row r="960" spans="1:68">
      <c r="A960" s="11">
        <v>954</v>
      </c>
      <c r="C960" s="27">
        <v>0.92309705987303958</v>
      </c>
      <c r="D960" s="27">
        <v>7.690294012696039E-2</v>
      </c>
      <c r="E960" s="27">
        <v>0</v>
      </c>
      <c r="F960" s="27">
        <v>0.85591404789626924</v>
      </c>
      <c r="G960" s="27">
        <v>0.14408595210373076</v>
      </c>
      <c r="H960" s="27">
        <v>0</v>
      </c>
      <c r="I960" s="27">
        <v>0.74656410126519945</v>
      </c>
      <c r="J960" s="27">
        <v>0.25343589873480055</v>
      </c>
      <c r="K960" s="27">
        <v>0</v>
      </c>
      <c r="L960" s="27">
        <v>7.9764571808690343E-2</v>
      </c>
      <c r="M960" s="27">
        <v>0.56460262483386781</v>
      </c>
      <c r="N960" s="27">
        <v>0.35563280335744185</v>
      </c>
      <c r="O960" s="27">
        <v>-11.301780182992029</v>
      </c>
      <c r="P960" s="27">
        <v>3.4421877116187528E-2</v>
      </c>
      <c r="Q960" s="27">
        <v>5.2428441136019227E-5</v>
      </c>
      <c r="R960" s="27">
        <v>1.0937599166813901</v>
      </c>
      <c r="S960" s="154"/>
      <c r="T960">
        <v>0.92734261428349185</v>
      </c>
      <c r="U960">
        <v>2.1897084183783355</v>
      </c>
      <c r="V960">
        <v>3.3788276058200868</v>
      </c>
      <c r="W960">
        <v>1</v>
      </c>
      <c r="Y960" s="2">
        <v>305.36160616206365</v>
      </c>
      <c r="Z960" s="2">
        <v>41.230070719568801</v>
      </c>
      <c r="AA960" s="2">
        <v>28.008783106445289</v>
      </c>
      <c r="AB960" s="2">
        <v>3401.4191651455244</v>
      </c>
      <c r="AC960" s="2">
        <v>1274.2180749672939</v>
      </c>
      <c r="AD960" s="2">
        <v>331.00753421045647</v>
      </c>
      <c r="AE960" s="2">
        <v>486.56564121462668</v>
      </c>
      <c r="AF960" s="2">
        <v>1214.9055811222731</v>
      </c>
      <c r="AG960" s="2">
        <v>88.346405533459247</v>
      </c>
      <c r="AH960" s="2">
        <v>312.19211628775287</v>
      </c>
      <c r="AI960" s="2">
        <v>413518.06970053742</v>
      </c>
      <c r="AJ960" s="2">
        <v>392769.44330582162</v>
      </c>
      <c r="AL960" s="27">
        <v>0.91349187912265506</v>
      </c>
      <c r="AM960" s="27">
        <v>0.91449951720268319</v>
      </c>
      <c r="AN960" s="27">
        <v>0.91302510035304896</v>
      </c>
      <c r="AO960" s="27">
        <v>0.90539392952830777</v>
      </c>
      <c r="AP960" s="27">
        <v>0.63614179728659037</v>
      </c>
      <c r="AQ960" s="27">
        <v>0.91349187912265506</v>
      </c>
      <c r="AR960" s="27">
        <v>0.91449951720268319</v>
      </c>
      <c r="AS960" s="27">
        <v>0.91302510035304896</v>
      </c>
      <c r="AT960" s="27">
        <v>0.90539392952830777</v>
      </c>
      <c r="AU960" s="27">
        <v>0.63614179728659037</v>
      </c>
      <c r="AW960" s="1">
        <v>13.604695990722165</v>
      </c>
      <c r="AX960" s="1">
        <v>15.896644242458303</v>
      </c>
      <c r="AY960" s="2">
        <v>1612441.8393316101</v>
      </c>
      <c r="AZ960" s="1">
        <v>15.261802518827361</v>
      </c>
      <c r="BA960" s="1">
        <v>17.443175691755549</v>
      </c>
      <c r="BB960" s="2">
        <v>1240468.678156931</v>
      </c>
      <c r="BC960" s="2">
        <f t="shared" si="105"/>
        <v>-371973.16117467918</v>
      </c>
      <c r="BD960" s="292">
        <f t="shared" si="106"/>
        <v>1.6571065281051958</v>
      </c>
      <c r="BF960" s="170">
        <f t="shared" si="101"/>
        <v>564309.51918393653</v>
      </c>
      <c r="BG960" s="2">
        <f t="shared" si="102"/>
        <v>1201419.7248554467</v>
      </c>
      <c r="BI960">
        <f t="shared" si="103"/>
        <v>0</v>
      </c>
      <c r="BJ960" s="95">
        <f t="shared" si="104"/>
        <v>1</v>
      </c>
      <c r="BP960" s="217">
        <f t="shared" si="107"/>
        <v>1201419.7248554467</v>
      </c>
    </row>
    <row r="961" spans="1:68">
      <c r="A961" s="11">
        <v>955</v>
      </c>
      <c r="C961" s="27">
        <v>0.92072585473015289</v>
      </c>
      <c r="D961" s="27">
        <v>7.9274145269847107E-2</v>
      </c>
      <c r="E961" s="27">
        <v>0</v>
      </c>
      <c r="F961" s="27">
        <v>0.85952285542673557</v>
      </c>
      <c r="G961" s="27">
        <v>0.14047714457326443</v>
      </c>
      <c r="H961" s="27">
        <v>0</v>
      </c>
      <c r="I961" s="27">
        <v>0.75152058781368147</v>
      </c>
      <c r="J961" s="27">
        <v>0.24847941218631855</v>
      </c>
      <c r="K961" s="27">
        <v>0</v>
      </c>
      <c r="L961" s="27">
        <v>0.18946738536501884</v>
      </c>
      <c r="M961" s="27">
        <v>0.42771077261090062</v>
      </c>
      <c r="N961" s="27">
        <v>0.38282184202408054</v>
      </c>
      <c r="O961" s="27">
        <v>-11.329945504024678</v>
      </c>
      <c r="P961" s="27">
        <v>3.5158941253009203E-2</v>
      </c>
      <c r="Q961" s="27">
        <v>5.2574992901177721E-5</v>
      </c>
      <c r="R961" s="27">
        <v>1.0847263712682909</v>
      </c>
      <c r="S961" s="154"/>
      <c r="T961">
        <v>0.94675394636772847</v>
      </c>
      <c r="U961">
        <v>2.2687798172933991</v>
      </c>
      <c r="V961">
        <v>3.3663963799896925</v>
      </c>
      <c r="W961">
        <v>1</v>
      </c>
      <c r="Y961" s="2">
        <v>658.83122564478685</v>
      </c>
      <c r="Z961" s="2">
        <v>4848.6149197394943</v>
      </c>
      <c r="AA961" s="2">
        <v>38.553608710057865</v>
      </c>
      <c r="AB961" s="2">
        <v>318.84071009482534</v>
      </c>
      <c r="AC961" s="2">
        <v>549.63542276472367</v>
      </c>
      <c r="AD961" s="2">
        <v>2.8247468026202904</v>
      </c>
      <c r="AE961" s="2">
        <v>499.87101289069932</v>
      </c>
      <c r="AF961" s="2">
        <v>1000.7431345718934</v>
      </c>
      <c r="AG961" s="2">
        <v>131.39809645835635</v>
      </c>
      <c r="AH961" s="2">
        <v>552.20784453331987</v>
      </c>
      <c r="AI961" s="2">
        <v>609766.473858785</v>
      </c>
      <c r="AJ961" s="2">
        <v>566582.80613594619</v>
      </c>
      <c r="AL961" s="27">
        <v>0.91779067571176998</v>
      </c>
      <c r="AM961" s="27">
        <v>0.9158987250259496</v>
      </c>
      <c r="AN961" s="27">
        <v>0.90917658142059277</v>
      </c>
      <c r="AO961" s="27">
        <v>0.85162057262791602</v>
      </c>
      <c r="AP961" s="27">
        <v>0.71414236882238447</v>
      </c>
      <c r="AQ961" s="27">
        <v>0.91779067571176998</v>
      </c>
      <c r="AR961" s="27">
        <v>0.9158987250259496</v>
      </c>
      <c r="AS961" s="27">
        <v>0.90917658142059277</v>
      </c>
      <c r="AT961" s="27">
        <v>0.85162057262791602</v>
      </c>
      <c r="AU961" s="27">
        <v>0.71414236882238447</v>
      </c>
      <c r="AW961" s="1">
        <v>13.497733896891409</v>
      </c>
      <c r="AX961" s="1">
        <v>15.426133271177592</v>
      </c>
      <c r="AY961" s="2">
        <v>2159396.2726929933</v>
      </c>
      <c r="AZ961" s="1">
        <v>15.293634551235449</v>
      </c>
      <c r="BA961" s="1">
        <v>17.199622493551079</v>
      </c>
      <c r="BB961" s="2">
        <v>1499436.1417574943</v>
      </c>
      <c r="BC961" s="2">
        <f t="shared" si="105"/>
        <v>-659960.13093549898</v>
      </c>
      <c r="BD961" s="292">
        <f t="shared" si="106"/>
        <v>1.7959006543440399</v>
      </c>
      <c r="BF961" s="170">
        <f t="shared" si="101"/>
        <v>241.15080963214859</v>
      </c>
      <c r="BG961" s="2">
        <f t="shared" si="102"/>
        <v>947545.38644017745</v>
      </c>
      <c r="BI961">
        <f t="shared" si="103"/>
        <v>0</v>
      </c>
      <c r="BJ961" s="95">
        <f t="shared" si="104"/>
        <v>1</v>
      </c>
      <c r="BP961" s="217">
        <f t="shared" si="107"/>
        <v>947545.38644017745</v>
      </c>
    </row>
    <row r="962" spans="1:68">
      <c r="A962" s="11">
        <v>956</v>
      </c>
      <c r="C962" s="27">
        <v>0.92581718422440706</v>
      </c>
      <c r="D962" s="27">
        <v>7.418281577559295E-2</v>
      </c>
      <c r="E962" s="27">
        <v>0</v>
      </c>
      <c r="F962" s="27">
        <v>0.86121324348960071</v>
      </c>
      <c r="G962" s="27">
        <v>0.13878675651039929</v>
      </c>
      <c r="H962" s="27">
        <v>0</v>
      </c>
      <c r="I962" s="27">
        <v>0.75047226639395559</v>
      </c>
      <c r="J962" s="27">
        <v>0.24952773360604444</v>
      </c>
      <c r="K962" s="27">
        <v>0</v>
      </c>
      <c r="L962" s="27">
        <v>0.13015549081463107</v>
      </c>
      <c r="M962" s="27">
        <v>0.48434227650759754</v>
      </c>
      <c r="N962" s="27">
        <v>0.38550223267777139</v>
      </c>
      <c r="O962" s="27">
        <v>-11.073160639038344</v>
      </c>
      <c r="P962" s="27">
        <v>3.3894100590933618E-2</v>
      </c>
      <c r="Q962" s="27">
        <v>6.4450800110465005E-5</v>
      </c>
      <c r="R962" s="27">
        <v>1.0686719313741102</v>
      </c>
      <c r="S962" s="154"/>
      <c r="T962">
        <v>0.99687899011134995</v>
      </c>
      <c r="U962">
        <v>2.2175778086777331</v>
      </c>
      <c r="V962">
        <v>2.9399094121244027</v>
      </c>
      <c r="W962">
        <v>1</v>
      </c>
      <c r="Y962" s="2">
        <v>121.28743753306379</v>
      </c>
      <c r="Z962" s="2">
        <v>13197.409209177802</v>
      </c>
      <c r="AA962" s="2">
        <v>1934.8863447865474</v>
      </c>
      <c r="AB962" s="2">
        <v>455.2784490520695</v>
      </c>
      <c r="AC962" s="2">
        <v>389.24998055347805</v>
      </c>
      <c r="AD962" s="2">
        <v>130.75505064796565</v>
      </c>
      <c r="AE962" s="2">
        <v>555.20795785448729</v>
      </c>
      <c r="AF962" s="2">
        <v>1078.7323957394881</v>
      </c>
      <c r="AG962" s="2">
        <v>99.777464654580086</v>
      </c>
      <c r="AH962" s="2">
        <v>400.7809570354292</v>
      </c>
      <c r="AI962" s="2">
        <v>485803.11917505402</v>
      </c>
      <c r="AJ962" s="2">
        <v>462411.76403033314</v>
      </c>
      <c r="AL962" s="27">
        <v>0.92001911474909537</v>
      </c>
      <c r="AM962" s="27">
        <v>0.90901574418990494</v>
      </c>
      <c r="AN962" s="27">
        <v>0.9115943115580285</v>
      </c>
      <c r="AO962" s="27">
        <v>0.86970703576813102</v>
      </c>
      <c r="AP962" s="27">
        <v>0.6627622109026523</v>
      </c>
      <c r="AQ962" s="27">
        <v>0.92001911474909537</v>
      </c>
      <c r="AR962" s="27">
        <v>0.90901574418990494</v>
      </c>
      <c r="AS962" s="27">
        <v>0.9115943115580285</v>
      </c>
      <c r="AT962" s="27">
        <v>0.86970703576813102</v>
      </c>
      <c r="AU962" s="27">
        <v>0.6627622109026523</v>
      </c>
      <c r="AW962" s="1">
        <v>13.554574521578653</v>
      </c>
      <c r="AX962" s="1">
        <v>15.644980661696104</v>
      </c>
      <c r="AY962" s="2">
        <v>1914207.3844201583</v>
      </c>
      <c r="AZ962" s="1">
        <v>15.38318816769036</v>
      </c>
      <c r="BA962" s="1">
        <v>17.407348707296833</v>
      </c>
      <c r="BB962" s="2">
        <v>1268847.2146581055</v>
      </c>
      <c r="BC962" s="2">
        <f t="shared" si="105"/>
        <v>-645360.16976205283</v>
      </c>
      <c r="BD962" s="292">
        <f t="shared" si="106"/>
        <v>1.8286136461117071</v>
      </c>
      <c r="BF962" s="170">
        <f t="shared" si="101"/>
        <v>254524.5390324262</v>
      </c>
      <c r="BG962" s="2">
        <f t="shared" si="102"/>
        <v>1192462.8921723522</v>
      </c>
      <c r="BI962">
        <f t="shared" si="103"/>
        <v>0</v>
      </c>
      <c r="BJ962" s="95">
        <f t="shared" si="104"/>
        <v>1</v>
      </c>
      <c r="BP962" s="217">
        <f t="shared" si="107"/>
        <v>1192462.8921723522</v>
      </c>
    </row>
    <row r="963" spans="1:68">
      <c r="A963" s="11">
        <v>957</v>
      </c>
      <c r="C963" s="27">
        <v>0.91689632263724208</v>
      </c>
      <c r="D963" s="27">
        <v>8.3103677362757922E-2</v>
      </c>
      <c r="E963" s="27">
        <v>0</v>
      </c>
      <c r="F963" s="27">
        <v>0.85586987695024552</v>
      </c>
      <c r="G963" s="27">
        <v>0.14413012304975448</v>
      </c>
      <c r="H963" s="27">
        <v>0</v>
      </c>
      <c r="I963" s="27">
        <v>0.75537304196848021</v>
      </c>
      <c r="J963" s="27">
        <v>0.24462695803151979</v>
      </c>
      <c r="K963" s="27">
        <v>0</v>
      </c>
      <c r="L963" s="27">
        <v>0.25934573938859018</v>
      </c>
      <c r="M963" s="27">
        <v>0.43998587767273434</v>
      </c>
      <c r="N963" s="27">
        <v>0.30066838293867548</v>
      </c>
      <c r="O963" s="27">
        <v>-10.741402479782117</v>
      </c>
      <c r="P963" s="27">
        <v>3.0761822177348935E-2</v>
      </c>
      <c r="Q963" s="27">
        <v>7.8736324826604118E-5</v>
      </c>
      <c r="R963" s="27">
        <v>1.0480924535063931</v>
      </c>
      <c r="S963" s="154"/>
      <c r="T963">
        <v>0.84603648881204263</v>
      </c>
      <c r="U963">
        <v>2.1431554325102957</v>
      </c>
      <c r="V963">
        <v>3.3885428530000019</v>
      </c>
      <c r="W963">
        <v>1</v>
      </c>
      <c r="Y963" s="2">
        <v>952.98683654535193</v>
      </c>
      <c r="Z963" s="2">
        <v>3957.2550345292393</v>
      </c>
      <c r="AA963" s="2">
        <v>189.9710489501069</v>
      </c>
      <c r="AB963" s="2">
        <v>7667.3665520852819</v>
      </c>
      <c r="AC963" s="2">
        <v>78.810237720934353</v>
      </c>
      <c r="AD963" s="2">
        <v>614.59515666022173</v>
      </c>
      <c r="AE963" s="2">
        <v>545.29288572578628</v>
      </c>
      <c r="AF963" s="2">
        <v>1031.6157832180022</v>
      </c>
      <c r="AG963" s="2">
        <v>96.265526109797236</v>
      </c>
      <c r="AH963" s="2">
        <v>552.25500710699373</v>
      </c>
      <c r="AI963" s="2">
        <v>480663.35059609817</v>
      </c>
      <c r="AJ963" s="2">
        <v>419140.29334969947</v>
      </c>
      <c r="AL963" s="27">
        <v>0.92059907966135501</v>
      </c>
      <c r="AM963" s="27">
        <v>0.90901949361652656</v>
      </c>
      <c r="AN963" s="27">
        <v>0.91367025536981505</v>
      </c>
      <c r="AO963" s="27">
        <v>0.87018638771478884</v>
      </c>
      <c r="AP963" s="27">
        <v>0.58844879525153504</v>
      </c>
      <c r="AQ963" s="27">
        <v>0.92059907966135501</v>
      </c>
      <c r="AR963" s="27">
        <v>0.90901949361652656</v>
      </c>
      <c r="AS963" s="27">
        <v>0.91367025536981505</v>
      </c>
      <c r="AT963" s="27">
        <v>0.87018638771478884</v>
      </c>
      <c r="AU963" s="27">
        <v>0.58844879525153504</v>
      </c>
      <c r="AW963" s="1">
        <v>13.619219023142884</v>
      </c>
      <c r="AX963" s="1">
        <v>15.997265587211983</v>
      </c>
      <c r="AY963" s="2">
        <v>1696853.5253878506</v>
      </c>
      <c r="AZ963" s="1">
        <v>15.084183773907693</v>
      </c>
      <c r="BA963" s="1">
        <v>17.351799311376688</v>
      </c>
      <c r="BB963" s="2">
        <v>1397788.823280466</v>
      </c>
      <c r="BC963" s="2">
        <f t="shared" si="105"/>
        <v>-299064.70210738457</v>
      </c>
      <c r="BD963" s="292">
        <f t="shared" si="106"/>
        <v>1.4649647507648087</v>
      </c>
      <c r="BF963" s="170">
        <f t="shared" si="101"/>
        <v>482221.5183150107</v>
      </c>
      <c r="BG963" s="2">
        <f t="shared" si="102"/>
        <v>1015680.5805447649</v>
      </c>
      <c r="BI963">
        <f t="shared" si="103"/>
        <v>0</v>
      </c>
      <c r="BJ963" s="95">
        <f t="shared" si="104"/>
        <v>1</v>
      </c>
      <c r="BP963" s="217">
        <f t="shared" si="107"/>
        <v>1015680.5805447649</v>
      </c>
    </row>
    <row r="964" spans="1:68">
      <c r="A964" s="11">
        <v>958</v>
      </c>
      <c r="C964" s="27">
        <v>0.92235281389107993</v>
      </c>
      <c r="D964" s="27">
        <v>7.7647186108920074E-2</v>
      </c>
      <c r="E964" s="27">
        <v>0</v>
      </c>
      <c r="F964" s="27">
        <v>0.85870256221785857</v>
      </c>
      <c r="G964" s="27">
        <v>0.14129743778214143</v>
      </c>
      <c r="H964" s="27">
        <v>0</v>
      </c>
      <c r="I964" s="27">
        <v>0.74471975433765514</v>
      </c>
      <c r="J964" s="27">
        <v>0.25528024566234486</v>
      </c>
      <c r="K964" s="27">
        <v>0</v>
      </c>
      <c r="L964" s="27">
        <v>-3.7784488038061781E-4</v>
      </c>
      <c r="M964" s="27">
        <v>0.59369606296504251</v>
      </c>
      <c r="N964" s="27">
        <v>0.4066817819153381</v>
      </c>
      <c r="O964" s="27">
        <v>-11.181044331355025</v>
      </c>
      <c r="P964" s="27">
        <v>3.4860004669655636E-2</v>
      </c>
      <c r="Q964" s="27">
        <v>6.0255052196243562E-5</v>
      </c>
      <c r="R964" s="27">
        <v>1.0825200287269088</v>
      </c>
      <c r="S964" s="154"/>
      <c r="T964">
        <v>0.99224598796727315</v>
      </c>
      <c r="U964">
        <v>2.1307452365322739</v>
      </c>
      <c r="V964">
        <v>2.8894545526912143</v>
      </c>
      <c r="W964">
        <v>1</v>
      </c>
      <c r="Y964" s="2">
        <v>1586.3069211605493</v>
      </c>
      <c r="Z964" s="2">
        <v>8230.2656254273697</v>
      </c>
      <c r="AA964" s="2">
        <v>1446.4989874614673</v>
      </c>
      <c r="AB964" s="2">
        <v>5700.6099644881433</v>
      </c>
      <c r="AC964" s="2">
        <v>390.17779157503918</v>
      </c>
      <c r="AD964" s="2">
        <v>684.05165328074474</v>
      </c>
      <c r="AE964" s="2">
        <v>541.62327547639848</v>
      </c>
      <c r="AF964" s="2">
        <v>1224.6781875163888</v>
      </c>
      <c r="AG964" s="2">
        <v>146.1164142441834</v>
      </c>
      <c r="AH964" s="2">
        <v>500.49190036738577</v>
      </c>
      <c r="AI964" s="2">
        <v>390995.97362266999</v>
      </c>
      <c r="AJ964" s="2">
        <v>367672.03751749924</v>
      </c>
      <c r="AL964" s="27">
        <v>0.92043778894799466</v>
      </c>
      <c r="AM964" s="27">
        <v>0.91283113989594211</v>
      </c>
      <c r="AN964" s="27">
        <v>0.91218764424606968</v>
      </c>
      <c r="AO964" s="27">
        <v>0.86317975137331771</v>
      </c>
      <c r="AP964" s="27">
        <v>0.71935113253466709</v>
      </c>
      <c r="AQ964" s="27">
        <v>0.92043778894799466</v>
      </c>
      <c r="AR964" s="27">
        <v>0.91283113989594211</v>
      </c>
      <c r="AS964" s="27">
        <v>0.91218764424606968</v>
      </c>
      <c r="AT964" s="27">
        <v>0.86317975137331771</v>
      </c>
      <c r="AU964" s="27">
        <v>0.71935113253466709</v>
      </c>
      <c r="AW964" s="1">
        <v>13.671960784340374</v>
      </c>
      <c r="AX964" s="1">
        <v>15.617706615783105</v>
      </c>
      <c r="AY964" s="2">
        <v>1599095.769404874</v>
      </c>
      <c r="AZ964" s="1">
        <v>15.403244195823456</v>
      </c>
      <c r="BA964" s="1">
        <v>17.318399899669931</v>
      </c>
      <c r="BB964" s="2">
        <v>1195784.9936967774</v>
      </c>
      <c r="BC964" s="2">
        <f t="shared" si="105"/>
        <v>-403310.77570809657</v>
      </c>
      <c r="BD964" s="292">
        <f t="shared" si="106"/>
        <v>1.7312834114830817</v>
      </c>
      <c r="BF964" s="170">
        <f t="shared" si="101"/>
        <v>588417.95608958579</v>
      </c>
      <c r="BG964" s="2">
        <f t="shared" si="102"/>
        <v>1268734.0776349755</v>
      </c>
      <c r="BI964">
        <f t="shared" si="103"/>
        <v>0</v>
      </c>
      <c r="BJ964" s="95">
        <f t="shared" si="104"/>
        <v>1</v>
      </c>
      <c r="BP964" s="217">
        <f t="shared" si="107"/>
        <v>1268734.0776349755</v>
      </c>
    </row>
    <row r="965" spans="1:68">
      <c r="A965" s="11">
        <v>959</v>
      </c>
      <c r="C965" s="27">
        <v>0.92643719399430724</v>
      </c>
      <c r="D965" s="27">
        <v>7.3562806005692705E-2</v>
      </c>
      <c r="E965" s="27">
        <v>0</v>
      </c>
      <c r="F965" s="27">
        <v>0.85539793152097698</v>
      </c>
      <c r="G965" s="27">
        <v>0.14460206847902302</v>
      </c>
      <c r="H965" s="27">
        <v>0</v>
      </c>
      <c r="I965" s="27">
        <v>0.75980605749802399</v>
      </c>
      <c r="J965" s="27">
        <v>0.24019394250197604</v>
      </c>
      <c r="K965" s="27">
        <v>0</v>
      </c>
      <c r="L965" s="27">
        <v>0.12793351867202363</v>
      </c>
      <c r="M965" s="27">
        <v>0.48192418309252089</v>
      </c>
      <c r="N965" s="27">
        <v>0.39014229823545543</v>
      </c>
      <c r="O965" s="27">
        <v>-11.090666614721654</v>
      </c>
      <c r="P965" s="27">
        <v>3.6505307564804766E-2</v>
      </c>
      <c r="Q965" s="27">
        <v>7.0673230135329419E-5</v>
      </c>
      <c r="R965" s="27">
        <v>1.0516159493087169</v>
      </c>
      <c r="S965" s="154"/>
      <c r="T965">
        <v>0.94817184742774385</v>
      </c>
      <c r="U965">
        <v>2.2909248471552068</v>
      </c>
      <c r="V965">
        <v>2.9127874251915888</v>
      </c>
      <c r="W965">
        <v>1</v>
      </c>
      <c r="Y965" s="2">
        <v>1856.6659761696167</v>
      </c>
      <c r="Z965" s="2">
        <v>1634.4745742349639</v>
      </c>
      <c r="AA965" s="2">
        <v>732.53980000693718</v>
      </c>
      <c r="AB965" s="2">
        <v>6020.7605315161782</v>
      </c>
      <c r="AC965" s="2">
        <v>1006.5077811812229</v>
      </c>
      <c r="AD965" s="2">
        <v>1876.4162589080386</v>
      </c>
      <c r="AE965" s="2">
        <v>577.44810178586431</v>
      </c>
      <c r="AF965" s="2">
        <v>1115.3045443298029</v>
      </c>
      <c r="AG965" s="2">
        <v>72.113300881450982</v>
      </c>
      <c r="AH965" s="2">
        <v>717.17452306112784</v>
      </c>
      <c r="AI965" s="2">
        <v>896939.26210406423</v>
      </c>
      <c r="AJ965" s="2">
        <v>869486.85541999433</v>
      </c>
      <c r="AL965" s="27">
        <v>0.91641424996590071</v>
      </c>
      <c r="AM965" s="27">
        <v>0.91090931847445011</v>
      </c>
      <c r="AN965" s="27">
        <v>0.91404204774761444</v>
      </c>
      <c r="AO965" s="27">
        <v>0.89189367670517883</v>
      </c>
      <c r="AP965" s="27">
        <v>0.77242978762283776</v>
      </c>
      <c r="AQ965" s="27">
        <v>0.91641424996590071</v>
      </c>
      <c r="AR965" s="27">
        <v>0.91090931847445011</v>
      </c>
      <c r="AS965" s="27">
        <v>0.91404204774761444</v>
      </c>
      <c r="AT965" s="27">
        <v>0.89189367670517883</v>
      </c>
      <c r="AU965" s="27">
        <v>0.77242978762283776</v>
      </c>
      <c r="AW965" s="1">
        <v>14.031451091620516</v>
      </c>
      <c r="AX965" s="1">
        <v>15.815324506570956</v>
      </c>
      <c r="AY965" s="2">
        <v>3294750.6382441786</v>
      </c>
      <c r="AZ965" s="1">
        <v>15.630835358032211</v>
      </c>
      <c r="BA965" s="1">
        <v>17.439012766543307</v>
      </c>
      <c r="BB965" s="2">
        <v>2483068.6692293086</v>
      </c>
      <c r="BC965" s="2">
        <f t="shared" si="105"/>
        <v>-811681.96901487</v>
      </c>
      <c r="BD965" s="292">
        <f t="shared" si="106"/>
        <v>1.5993842664116951</v>
      </c>
      <c r="BF965" s="170">
        <f t="shared" si="101"/>
        <v>-1049718.4635848962</v>
      </c>
      <c r="BG965" s="2">
        <f t="shared" si="102"/>
        <v>17864.988055845257</v>
      </c>
      <c r="BI965">
        <f t="shared" si="103"/>
        <v>0</v>
      </c>
      <c r="BJ965" s="95">
        <f t="shared" si="104"/>
        <v>1</v>
      </c>
      <c r="BP965" s="217">
        <f t="shared" si="107"/>
        <v>17864.988055845257</v>
      </c>
    </row>
    <row r="966" spans="1:68">
      <c r="A966" s="11">
        <v>960</v>
      </c>
      <c r="C966" s="27">
        <v>0.92107869137611709</v>
      </c>
      <c r="D966" s="27">
        <v>7.8921308623882913E-2</v>
      </c>
      <c r="E966" s="27">
        <v>0</v>
      </c>
      <c r="F966" s="27">
        <v>0.85787530755484409</v>
      </c>
      <c r="G966" s="27">
        <v>0.14212469244515594</v>
      </c>
      <c r="H966" s="27">
        <v>0</v>
      </c>
      <c r="I966" s="27">
        <v>0.75011619027062304</v>
      </c>
      <c r="J966" s="27">
        <v>0.2498838097293769</v>
      </c>
      <c r="K966" s="27">
        <v>0</v>
      </c>
      <c r="L966" s="27">
        <v>0.14554885654215921</v>
      </c>
      <c r="M966" s="27">
        <v>0.41851340409516119</v>
      </c>
      <c r="N966" s="27">
        <v>0.43593773936267954</v>
      </c>
      <c r="O966" s="27">
        <v>-10.918838213057594</v>
      </c>
      <c r="P966" s="27">
        <v>3.4503507275523468E-2</v>
      </c>
      <c r="Q966" s="27">
        <v>7.7155251908052648E-5</v>
      </c>
      <c r="R966" s="27">
        <v>1.040091798975729</v>
      </c>
      <c r="S966" s="154"/>
      <c r="T966">
        <v>1.1011700164463167</v>
      </c>
      <c r="U966">
        <v>2.1855276370483723</v>
      </c>
      <c r="V966">
        <v>3.2269317837779012</v>
      </c>
      <c r="W966">
        <v>1</v>
      </c>
      <c r="Y966" s="2">
        <v>209.98078019095351</v>
      </c>
      <c r="Z966" s="2">
        <v>328.43750019702225</v>
      </c>
      <c r="AA966" s="2">
        <v>52.345411159379253</v>
      </c>
      <c r="AB966" s="2">
        <v>1664.5785592010052</v>
      </c>
      <c r="AC966" s="2">
        <v>76.841309723961132</v>
      </c>
      <c r="AD966" s="2">
        <v>63.036095750115251</v>
      </c>
      <c r="AE966" s="2">
        <v>570.29418717112685</v>
      </c>
      <c r="AF966" s="2">
        <v>837.84048893124282</v>
      </c>
      <c r="AG966" s="2">
        <v>159.4992392931747</v>
      </c>
      <c r="AH966" s="2">
        <v>407.70094861711203</v>
      </c>
      <c r="AI966" s="2">
        <v>475441.59940387623</v>
      </c>
      <c r="AJ966" s="2">
        <v>455920.11322100309</v>
      </c>
      <c r="AL966" s="27">
        <v>0.91570620798744584</v>
      </c>
      <c r="AM966" s="27">
        <v>0.91205388734480386</v>
      </c>
      <c r="AN966" s="27">
        <v>0.90240295556351757</v>
      </c>
      <c r="AO966" s="27">
        <v>0.85151235532077907</v>
      </c>
      <c r="AP966" s="27">
        <v>0.64630537327070414</v>
      </c>
      <c r="AQ966" s="27">
        <v>0.91570620798744584</v>
      </c>
      <c r="AR966" s="27">
        <v>0.91205388734480386</v>
      </c>
      <c r="AS966" s="27">
        <v>0.90240295556351757</v>
      </c>
      <c r="AT966" s="27">
        <v>0.85151235532077907</v>
      </c>
      <c r="AU966" s="27">
        <v>0.64630537327070414</v>
      </c>
      <c r="AW966" s="1">
        <v>12.722431385196154</v>
      </c>
      <c r="AX966" s="1">
        <v>14.842162872647926</v>
      </c>
      <c r="AY966" s="2">
        <v>1697464.0475489104</v>
      </c>
      <c r="AZ966" s="1">
        <v>14.996424506399165</v>
      </c>
      <c r="BA966" s="1">
        <v>17.05041023578913</v>
      </c>
      <c r="BB966" s="2">
        <v>1175314.9620452363</v>
      </c>
      <c r="BC966" s="2">
        <f t="shared" si="105"/>
        <v>-522149.08550367411</v>
      </c>
      <c r="BD966" s="292">
        <f t="shared" si="106"/>
        <v>2.2739931212030111</v>
      </c>
      <c r="BF966" s="170">
        <f t="shared" si="101"/>
        <v>338124.97408247436</v>
      </c>
      <c r="BG966" s="2">
        <f t="shared" si="102"/>
        <v>1224112.9589786304</v>
      </c>
      <c r="BI966">
        <f t="shared" si="103"/>
        <v>0</v>
      </c>
      <c r="BJ966" s="95">
        <f t="shared" si="104"/>
        <v>1</v>
      </c>
      <c r="BP966" s="217">
        <f t="shared" si="107"/>
        <v>1224112.9589786304</v>
      </c>
    </row>
    <row r="967" spans="1:68">
      <c r="A967" s="11">
        <v>961</v>
      </c>
      <c r="C967" s="27">
        <v>0.92339083033476621</v>
      </c>
      <c r="D967" s="27">
        <v>7.6609169665233789E-2</v>
      </c>
      <c r="E967" s="27">
        <v>0</v>
      </c>
      <c r="F967" s="27">
        <v>0.8583618195816104</v>
      </c>
      <c r="G967" s="27">
        <v>0.14163818041838963</v>
      </c>
      <c r="H967" s="27">
        <v>0</v>
      </c>
      <c r="I967" s="27">
        <v>0.73969691118663516</v>
      </c>
      <c r="J967" s="27">
        <v>0.26030308881336484</v>
      </c>
      <c r="K967" s="27">
        <v>0</v>
      </c>
      <c r="L967" s="27">
        <v>5.2512513677444861E-2</v>
      </c>
      <c r="M967" s="27">
        <v>0.57384338518790723</v>
      </c>
      <c r="N967" s="27">
        <v>0.37364410113464791</v>
      </c>
      <c r="O967" s="27">
        <v>-11.349748054023127</v>
      </c>
      <c r="P967" s="27">
        <v>3.713318140635416E-2</v>
      </c>
      <c r="Q967" s="27">
        <v>5.6000248207830861E-5</v>
      </c>
      <c r="R967" s="27">
        <v>1.0766874135316344</v>
      </c>
      <c r="S967" s="154"/>
      <c r="T967">
        <v>1.0148753111115987</v>
      </c>
      <c r="U967">
        <v>2.2139559043929751</v>
      </c>
      <c r="V967">
        <v>2.7791058847432986</v>
      </c>
      <c r="W967">
        <v>1</v>
      </c>
      <c r="Y967" s="2">
        <v>1381.6174599835369</v>
      </c>
      <c r="Z967" s="2">
        <v>2412.2752469933944</v>
      </c>
      <c r="AA967" s="2">
        <v>1553.2007613855649</v>
      </c>
      <c r="AB967" s="2">
        <v>3234.4038909914284</v>
      </c>
      <c r="AC967" s="2">
        <v>1276.4676254835861</v>
      </c>
      <c r="AD967" s="2">
        <v>3407.0065383314436</v>
      </c>
      <c r="AE967" s="2">
        <v>451.4116313394436</v>
      </c>
      <c r="AF967" s="2">
        <v>1000.7789672163592</v>
      </c>
      <c r="AG967" s="2">
        <v>116.76907720679918</v>
      </c>
      <c r="AH967" s="2">
        <v>478.05087839673553</v>
      </c>
      <c r="AI967" s="2">
        <v>698275.99165093875</v>
      </c>
      <c r="AJ967" s="2">
        <v>669196.79933545762</v>
      </c>
      <c r="AL967" s="27">
        <v>0.91867488673158548</v>
      </c>
      <c r="AM967" s="27">
        <v>0.91501253504538438</v>
      </c>
      <c r="AN967" s="27">
        <v>0.91205972234446886</v>
      </c>
      <c r="AO967" s="27">
        <v>0.90277362305766906</v>
      </c>
      <c r="AP967" s="27">
        <v>0.81856119329665189</v>
      </c>
      <c r="AQ967" s="27">
        <v>0.91867488673158548</v>
      </c>
      <c r="AR967" s="27">
        <v>0.91501253504538438</v>
      </c>
      <c r="AS967" s="27">
        <v>0.91205972234446886</v>
      </c>
      <c r="AT967" s="27">
        <v>0.90277362305766906</v>
      </c>
      <c r="AU967" s="27">
        <v>0.81856119329665189</v>
      </c>
      <c r="AW967" s="1">
        <v>14.150439059807342</v>
      </c>
      <c r="AX967" s="1">
        <v>15.805996749489909</v>
      </c>
      <c r="AY967" s="2">
        <v>2933196.9446160104</v>
      </c>
      <c r="AZ967" s="1">
        <v>15.790832360815568</v>
      </c>
      <c r="BA967" s="1">
        <v>17.493722550807377</v>
      </c>
      <c r="BB967" s="2">
        <v>2173490.2890278203</v>
      </c>
      <c r="BC967" s="2">
        <f t="shared" si="105"/>
        <v>-759706.65558819007</v>
      </c>
      <c r="BD967" s="292">
        <f t="shared" si="106"/>
        <v>1.6403933010082259</v>
      </c>
      <c r="BF967" s="170">
        <f t="shared" ref="BF967:BF1006" si="108">AW967*Threshold-AY967</f>
        <v>-669126.69504683558</v>
      </c>
      <c r="BG967" s="2">
        <f t="shared" ref="BG967:BG1006" si="109">AZ967*Threshold-BB967</f>
        <v>353042.88870267058</v>
      </c>
      <c r="BI967">
        <f t="shared" ref="BI967:BI1006" si="110">IF(MAX($BF967:$BG967)=$BF967,1,0)</f>
        <v>0</v>
      </c>
      <c r="BJ967" s="95">
        <f t="shared" ref="BJ967:BJ1006" si="111">IF(MAX($BF967:$BG967)=$BF967,0,1)</f>
        <v>1</v>
      </c>
      <c r="BP967" s="217">
        <f t="shared" si="107"/>
        <v>353042.88870267058</v>
      </c>
    </row>
    <row r="968" spans="1:68">
      <c r="A968" s="11">
        <v>962</v>
      </c>
      <c r="C968" s="27">
        <v>0.92172805347523334</v>
      </c>
      <c r="D968" s="27">
        <v>7.8271946524766656E-2</v>
      </c>
      <c r="E968" s="27">
        <v>0</v>
      </c>
      <c r="F968" s="27">
        <v>0.85798877606352419</v>
      </c>
      <c r="G968" s="27">
        <v>0.14201122393647583</v>
      </c>
      <c r="H968" s="27">
        <v>0</v>
      </c>
      <c r="I968" s="27">
        <v>0.75005443926548554</v>
      </c>
      <c r="J968" s="27">
        <v>0.24994556073451452</v>
      </c>
      <c r="K968" s="27">
        <v>0</v>
      </c>
      <c r="L968" s="27">
        <v>0.13129180949538544</v>
      </c>
      <c r="M968" s="27">
        <v>0.45706056925710337</v>
      </c>
      <c r="N968" s="27">
        <v>0.4116476212475112</v>
      </c>
      <c r="O968" s="27">
        <v>-11.240242740470791</v>
      </c>
      <c r="P968" s="27">
        <v>3.1600055923575204E-2</v>
      </c>
      <c r="Q968" s="27">
        <v>4.9524632213810006E-5</v>
      </c>
      <c r="R968" s="27">
        <v>1.1125334821619022</v>
      </c>
      <c r="S968" s="154"/>
      <c r="T968">
        <v>1.0996953257048283</v>
      </c>
      <c r="U968">
        <v>2.1977436887289263</v>
      </c>
      <c r="V968">
        <v>2.8810558729307987</v>
      </c>
      <c r="W968">
        <v>1</v>
      </c>
      <c r="Y968" s="2">
        <v>100.4593958421756</v>
      </c>
      <c r="Z968" s="2">
        <v>1625.3928507734684</v>
      </c>
      <c r="AA968" s="2">
        <v>761.68930571825331</v>
      </c>
      <c r="AB968" s="2">
        <v>1535.5226069838875</v>
      </c>
      <c r="AC968" s="2">
        <v>32.53801688040685</v>
      </c>
      <c r="AD968" s="2">
        <v>455.15052075094201</v>
      </c>
      <c r="AE968" s="2">
        <v>635.98279333540927</v>
      </c>
      <c r="AF968" s="2">
        <v>882.69211335502052</v>
      </c>
      <c r="AG968" s="2">
        <v>117.08330475452308</v>
      </c>
      <c r="AH968" s="2">
        <v>266.28752958819524</v>
      </c>
      <c r="AI968" s="2">
        <v>448959.97128425038</v>
      </c>
      <c r="AJ968" s="2">
        <v>409253.85899835324</v>
      </c>
      <c r="AL968" s="27">
        <v>0.92203966896407585</v>
      </c>
      <c r="AM968" s="27">
        <v>0.92070592107215832</v>
      </c>
      <c r="AN968" s="27">
        <v>0.90508927477557166</v>
      </c>
      <c r="AO968" s="27">
        <v>0.84246967506146897</v>
      </c>
      <c r="AP968" s="27">
        <v>0.88364939186351132</v>
      </c>
      <c r="AQ968" s="27">
        <v>0.92203966896407585</v>
      </c>
      <c r="AR968" s="27">
        <v>0.92070592107215832</v>
      </c>
      <c r="AS968" s="27">
        <v>0.90508927477557166</v>
      </c>
      <c r="AT968" s="27">
        <v>0.84246967506146897</v>
      </c>
      <c r="AU968" s="27">
        <v>0.88364939186351132</v>
      </c>
      <c r="AW968" s="1">
        <v>13.504615955072069</v>
      </c>
      <c r="AX968" s="1">
        <v>14.843067442128934</v>
      </c>
      <c r="AY968" s="2">
        <v>1475562.9597211306</v>
      </c>
      <c r="AZ968" s="1">
        <v>15.542541186035022</v>
      </c>
      <c r="BA968" s="1">
        <v>17.021276753959167</v>
      </c>
      <c r="BB968" s="2">
        <v>1041146.4084426059</v>
      </c>
      <c r="BC968" s="2">
        <f t="shared" ref="BC968:BC1006" si="112">BB968-AY968</f>
        <v>-434416.55127852468</v>
      </c>
      <c r="BD968" s="292">
        <f t="shared" ref="BD968:BD1006" si="113">AZ968-AW968</f>
        <v>2.0379252309629532</v>
      </c>
      <c r="BF968" s="170">
        <f t="shared" si="108"/>
        <v>685175.59309040033</v>
      </c>
      <c r="BG968" s="2">
        <f t="shared" si="109"/>
        <v>1445660.1813229979</v>
      </c>
      <c r="BI968">
        <f t="shared" si="110"/>
        <v>0</v>
      </c>
      <c r="BJ968" s="95">
        <f t="shared" si="111"/>
        <v>1</v>
      </c>
      <c r="BP968" s="217">
        <f t="shared" ref="BP968:BP1006" si="114">MAX(BF968,BG968)</f>
        <v>1445660.1813229979</v>
      </c>
    </row>
    <row r="969" spans="1:68">
      <c r="A969" s="11">
        <v>963</v>
      </c>
      <c r="C969" s="27">
        <v>0.92418024078551864</v>
      </c>
      <c r="D969" s="27">
        <v>7.581975921448135E-2</v>
      </c>
      <c r="E969" s="27">
        <v>0</v>
      </c>
      <c r="F969" s="27">
        <v>0.86125901616657041</v>
      </c>
      <c r="G969" s="27">
        <v>0.13874098383342962</v>
      </c>
      <c r="H969" s="27">
        <v>0</v>
      </c>
      <c r="I969" s="27">
        <v>0.75957788833358686</v>
      </c>
      <c r="J969" s="27">
        <v>0.24042211166641314</v>
      </c>
      <c r="K969" s="27">
        <v>0</v>
      </c>
      <c r="L969" s="27">
        <v>0.12837247330961876</v>
      </c>
      <c r="M969" s="27">
        <v>0.46367480096390734</v>
      </c>
      <c r="N969" s="27">
        <v>0.4079527257264739</v>
      </c>
      <c r="O969" s="27">
        <v>-11.494263422017925</v>
      </c>
      <c r="P969" s="27">
        <v>3.6131937078270039E-2</v>
      </c>
      <c r="Q969" s="27">
        <v>4.6469142642766405E-5</v>
      </c>
      <c r="R969" s="27">
        <v>1.1157898018564516</v>
      </c>
      <c r="S969" s="154"/>
      <c r="T969">
        <v>1.0235583262726404</v>
      </c>
      <c r="U969">
        <v>2.2853206590138346</v>
      </c>
      <c r="V969">
        <v>3.132822153596635</v>
      </c>
      <c r="W969">
        <v>1</v>
      </c>
      <c r="Y969" s="2">
        <v>495.92958780915779</v>
      </c>
      <c r="Z969" s="2">
        <v>3551.8023317487796</v>
      </c>
      <c r="AA969" s="2">
        <v>2588.7943915067563</v>
      </c>
      <c r="AB969" s="2">
        <v>146.74868950968633</v>
      </c>
      <c r="AC969" s="2">
        <v>1227.9765468519879</v>
      </c>
      <c r="AD969" s="2">
        <v>9182.8253811091508</v>
      </c>
      <c r="AE969" s="2">
        <v>634.33728307168599</v>
      </c>
      <c r="AF969" s="2">
        <v>867.80378912124854</v>
      </c>
      <c r="AG969" s="2">
        <v>149.87897271411958</v>
      </c>
      <c r="AH969" s="2">
        <v>650.16085852893355</v>
      </c>
      <c r="AI969" s="2">
        <v>412533.35515267245</v>
      </c>
      <c r="AJ969" s="2">
        <v>380840.2711128252</v>
      </c>
      <c r="AL969" s="27">
        <v>0.91173514865256455</v>
      </c>
      <c r="AM969" s="27">
        <v>0.9165552469152547</v>
      </c>
      <c r="AN969" s="27">
        <v>0.90938586197957549</v>
      </c>
      <c r="AO969" s="27">
        <v>0.84894241483767818</v>
      </c>
      <c r="AP969" s="27">
        <v>0.60065753296759516</v>
      </c>
      <c r="AQ969" s="27">
        <v>0.91173514865256455</v>
      </c>
      <c r="AR969" s="27">
        <v>0.9165552469152547</v>
      </c>
      <c r="AS969" s="27">
        <v>0.90938586197957549</v>
      </c>
      <c r="AT969" s="27">
        <v>0.84894241483767818</v>
      </c>
      <c r="AU969" s="27">
        <v>0.60065753296759516</v>
      </c>
      <c r="AW969" s="1">
        <v>12.923965784301824</v>
      </c>
      <c r="AX969" s="1">
        <v>15.180406968021307</v>
      </c>
      <c r="AY969" s="2">
        <v>1401719.0553037508</v>
      </c>
      <c r="AZ969" s="1">
        <v>15.06305373334397</v>
      </c>
      <c r="BA969" s="1">
        <v>17.206864687508453</v>
      </c>
      <c r="BB969" s="2">
        <v>1125369.3188364988</v>
      </c>
      <c r="BC969" s="2">
        <f t="shared" si="112"/>
        <v>-276349.73646725202</v>
      </c>
      <c r="BD969" s="292">
        <f t="shared" si="113"/>
        <v>2.1390879490421462</v>
      </c>
      <c r="BF969" s="170">
        <f t="shared" si="108"/>
        <v>666115.47018454107</v>
      </c>
      <c r="BG969" s="2">
        <f t="shared" si="109"/>
        <v>1284719.2784985367</v>
      </c>
      <c r="BI969">
        <f t="shared" si="110"/>
        <v>0</v>
      </c>
      <c r="BJ969" s="95">
        <f t="shared" si="111"/>
        <v>1</v>
      </c>
      <c r="BP969" s="217">
        <f t="shared" si="114"/>
        <v>1284719.2784985367</v>
      </c>
    </row>
    <row r="970" spans="1:68">
      <c r="A970" s="11">
        <v>964</v>
      </c>
      <c r="C970" s="27">
        <v>0.92038996495307723</v>
      </c>
      <c r="D970" s="27">
        <v>7.9610035046922767E-2</v>
      </c>
      <c r="E970" s="27">
        <v>0</v>
      </c>
      <c r="F970" s="27">
        <v>0.85428065658614483</v>
      </c>
      <c r="G970" s="27">
        <v>0.14571934341385517</v>
      </c>
      <c r="H970" s="27">
        <v>0</v>
      </c>
      <c r="I970" s="27">
        <v>0.74857557665047891</v>
      </c>
      <c r="J970" s="27">
        <v>0.25142442334952109</v>
      </c>
      <c r="K970" s="27">
        <v>0</v>
      </c>
      <c r="L970" s="27">
        <v>6.2083048794173479E-2</v>
      </c>
      <c r="M970" s="27">
        <v>0.52329733291532754</v>
      </c>
      <c r="N970" s="27">
        <v>0.41461961829049898</v>
      </c>
      <c r="O970" s="27">
        <v>-11.285623829804216</v>
      </c>
      <c r="P970" s="27">
        <v>3.5474500301267746E-2</v>
      </c>
      <c r="Q970" s="27">
        <v>5.5690843331846424E-5</v>
      </c>
      <c r="R970" s="27">
        <v>1.0867214623357426</v>
      </c>
      <c r="S970" s="154"/>
      <c r="T970">
        <v>1.0034854063425893</v>
      </c>
      <c r="U970">
        <v>2.2223482454818191</v>
      </c>
      <c r="V970">
        <v>2.8192049645528514</v>
      </c>
      <c r="W970">
        <v>1</v>
      </c>
      <c r="Y970" s="2">
        <v>154.58011741355151</v>
      </c>
      <c r="Z970" s="2">
        <v>7282.9647551522976</v>
      </c>
      <c r="AA970" s="2">
        <v>576.87073156143538</v>
      </c>
      <c r="AB970" s="2">
        <v>12919.767876384401</v>
      </c>
      <c r="AC970" s="2">
        <v>386.63309798763066</v>
      </c>
      <c r="AD970" s="2">
        <v>184.5099886935985</v>
      </c>
      <c r="AE970" s="2">
        <v>597.94505087860932</v>
      </c>
      <c r="AF970" s="2">
        <v>950.16322373863238</v>
      </c>
      <c r="AG970" s="2">
        <v>123.52102793219763</v>
      </c>
      <c r="AH970" s="2">
        <v>404.82763840087739</v>
      </c>
      <c r="AI970" s="2">
        <v>547768.03495643742</v>
      </c>
      <c r="AJ970" s="2">
        <v>520110.98305013997</v>
      </c>
      <c r="AL970" s="27">
        <v>0.92645806390737317</v>
      </c>
      <c r="AM970" s="27">
        <v>0.91464907096299575</v>
      </c>
      <c r="AN970" s="27">
        <v>0.91176777424812094</v>
      </c>
      <c r="AO970" s="27">
        <v>0.8549426750643685</v>
      </c>
      <c r="AP970" s="27">
        <v>0.73914478722047761</v>
      </c>
      <c r="AQ970" s="27">
        <v>0.92645806390737317</v>
      </c>
      <c r="AR970" s="27">
        <v>0.91464907096299575</v>
      </c>
      <c r="AS970" s="27">
        <v>0.91176777424812094</v>
      </c>
      <c r="AT970" s="27">
        <v>0.8549426750643685</v>
      </c>
      <c r="AU970" s="27">
        <v>0.73914478722047761</v>
      </c>
      <c r="AW970" s="1">
        <v>13.534173365685763</v>
      </c>
      <c r="AX970" s="1">
        <v>15.329965600229853</v>
      </c>
      <c r="AY970" s="2">
        <v>2119360.2791899201</v>
      </c>
      <c r="AZ970" s="1">
        <v>15.35607378598878</v>
      </c>
      <c r="BA970" s="1">
        <v>17.144514675352553</v>
      </c>
      <c r="BB970" s="2">
        <v>1669772.425476488</v>
      </c>
      <c r="BC970" s="2">
        <f t="shared" si="112"/>
        <v>-449587.85371343209</v>
      </c>
      <c r="BD970" s="292">
        <f t="shared" si="113"/>
        <v>1.8219004203030167</v>
      </c>
      <c r="BF970" s="170">
        <f t="shared" si="108"/>
        <v>46107.459319802001</v>
      </c>
      <c r="BG970" s="2">
        <f t="shared" si="109"/>
        <v>787199.38028171682</v>
      </c>
      <c r="BI970">
        <f t="shared" si="110"/>
        <v>0</v>
      </c>
      <c r="BJ970" s="95">
        <f t="shared" si="111"/>
        <v>1</v>
      </c>
      <c r="BP970" s="217">
        <f t="shared" si="114"/>
        <v>787199.38028171682</v>
      </c>
    </row>
    <row r="971" spans="1:68">
      <c r="A971" s="11">
        <v>965</v>
      </c>
      <c r="C971" s="27">
        <v>0.92300715283501622</v>
      </c>
      <c r="D971" s="27">
        <v>7.699284716498378E-2</v>
      </c>
      <c r="E971" s="27">
        <v>0</v>
      </c>
      <c r="F971" s="27">
        <v>0.86065307009937109</v>
      </c>
      <c r="G971" s="27">
        <v>0.13934692990062891</v>
      </c>
      <c r="H971" s="27">
        <v>0</v>
      </c>
      <c r="I971" s="27">
        <v>0.74866234049582414</v>
      </c>
      <c r="J971" s="27">
        <v>0.25133765950417586</v>
      </c>
      <c r="K971" s="27">
        <v>0</v>
      </c>
      <c r="L971" s="27">
        <v>0.16831973797439365</v>
      </c>
      <c r="M971" s="27">
        <v>0.49809423416513371</v>
      </c>
      <c r="N971" s="27">
        <v>0.33358602786047259</v>
      </c>
      <c r="O971" s="27">
        <v>-11.106044897899578</v>
      </c>
      <c r="P971" s="27">
        <v>3.3090309883453815E-2</v>
      </c>
      <c r="Q971" s="27">
        <v>6.029557242018536E-5</v>
      </c>
      <c r="R971" s="27">
        <v>1.0719740848369324</v>
      </c>
      <c r="S971" s="154"/>
      <c r="T971">
        <v>0.96080545710935783</v>
      </c>
      <c r="U971">
        <v>2.3820758724927993</v>
      </c>
      <c r="V971">
        <v>2.9727832189689281</v>
      </c>
      <c r="W971">
        <v>1</v>
      </c>
      <c r="Y971" s="2">
        <v>629.47559271561579</v>
      </c>
      <c r="Z971" s="2">
        <v>1333.9168111464851</v>
      </c>
      <c r="AA971" s="2">
        <v>906.69418863187116</v>
      </c>
      <c r="AB971" s="2">
        <v>5477.510872317328</v>
      </c>
      <c r="AC971" s="2">
        <v>1466.7164183131331</v>
      </c>
      <c r="AD971" s="2">
        <v>121.29440199052402</v>
      </c>
      <c r="AE971" s="2">
        <v>532.42708486542006</v>
      </c>
      <c r="AF971" s="2">
        <v>1117.1877237505321</v>
      </c>
      <c r="AG971" s="2">
        <v>117.95748911802595</v>
      </c>
      <c r="AH971" s="2">
        <v>516.3905057142307</v>
      </c>
      <c r="AI971" s="2">
        <v>654363.25594369194</v>
      </c>
      <c r="AJ971" s="2">
        <v>614496.12450774491</v>
      </c>
      <c r="AL971" s="27">
        <v>0.91499881830199337</v>
      </c>
      <c r="AM971" s="27">
        <v>0.91402232578203957</v>
      </c>
      <c r="AN971" s="27">
        <v>0.91057225251879714</v>
      </c>
      <c r="AO971" s="27">
        <v>0.89174784326394507</v>
      </c>
      <c r="AP971" s="27">
        <v>0.68585631050649176</v>
      </c>
      <c r="AQ971" s="27">
        <v>0.91499881830199337</v>
      </c>
      <c r="AR971" s="27">
        <v>0.91402232578203957</v>
      </c>
      <c r="AS971" s="27">
        <v>0.91057225251879714</v>
      </c>
      <c r="AT971" s="27">
        <v>0.89174784326394507</v>
      </c>
      <c r="AU971" s="27">
        <v>0.68585631050649176</v>
      </c>
      <c r="AW971" s="1">
        <v>13.717547574143618</v>
      </c>
      <c r="AX971" s="1">
        <v>15.84951856927589</v>
      </c>
      <c r="AY971" s="2">
        <v>2569786.0610181754</v>
      </c>
      <c r="AZ971" s="1">
        <v>15.468550815088117</v>
      </c>
      <c r="BA971" s="1">
        <v>17.526141360627879</v>
      </c>
      <c r="BB971" s="2">
        <v>1910044.5413235549</v>
      </c>
      <c r="BC971" s="2">
        <f t="shared" si="112"/>
        <v>-659741.51969462051</v>
      </c>
      <c r="BD971" s="292">
        <f t="shared" si="113"/>
        <v>1.7510032409444989</v>
      </c>
      <c r="BF971" s="170">
        <f t="shared" si="108"/>
        <v>-374978.44915519655</v>
      </c>
      <c r="BG971" s="2">
        <f t="shared" si="109"/>
        <v>564923.58909054357</v>
      </c>
      <c r="BI971">
        <f t="shared" si="110"/>
        <v>0</v>
      </c>
      <c r="BJ971" s="95">
        <f t="shared" si="111"/>
        <v>1</v>
      </c>
      <c r="BP971" s="217">
        <f t="shared" si="114"/>
        <v>564923.58909054357</v>
      </c>
    </row>
    <row r="972" spans="1:68">
      <c r="A972" s="11">
        <v>966</v>
      </c>
      <c r="C972" s="27">
        <v>0.9269114650854956</v>
      </c>
      <c r="D972" s="27">
        <v>7.3088534914504399E-2</v>
      </c>
      <c r="E972" s="27">
        <v>0</v>
      </c>
      <c r="F972" s="27">
        <v>0.85379700011689896</v>
      </c>
      <c r="G972" s="27">
        <v>0.14620299988310104</v>
      </c>
      <c r="H972" s="27">
        <v>0</v>
      </c>
      <c r="I972" s="27">
        <v>0.74297168448327389</v>
      </c>
      <c r="J972" s="27">
        <v>0.25702831551672611</v>
      </c>
      <c r="K972" s="27">
        <v>0</v>
      </c>
      <c r="L972" s="27">
        <v>0.16091683436606635</v>
      </c>
      <c r="M972" s="27">
        <v>0.47601141975227629</v>
      </c>
      <c r="N972" s="27">
        <v>0.36307174588165742</v>
      </c>
      <c r="O972" s="27">
        <v>-11.131544246707261</v>
      </c>
      <c r="P972" s="27">
        <v>3.3158700897398884E-2</v>
      </c>
      <c r="Q972" s="27">
        <v>5.8946588188535957E-5</v>
      </c>
      <c r="R972" s="27">
        <v>1.0775730713294187</v>
      </c>
      <c r="S972" s="154"/>
      <c r="T972">
        <v>0.93025194624918484</v>
      </c>
      <c r="U972">
        <v>2.0772486682812721</v>
      </c>
      <c r="V972">
        <v>3.0730419721259521</v>
      </c>
      <c r="W972">
        <v>1</v>
      </c>
      <c r="Y972" s="2">
        <v>206.08740434555929</v>
      </c>
      <c r="Z972" s="2">
        <v>14989.663603191395</v>
      </c>
      <c r="AA972" s="2">
        <v>5138.9532769230691</v>
      </c>
      <c r="AB972" s="2">
        <v>5783.7646111922504</v>
      </c>
      <c r="AC972" s="2">
        <v>1784.8052554064625</v>
      </c>
      <c r="AD972" s="2">
        <v>285.21645924697822</v>
      </c>
      <c r="AE972" s="2">
        <v>580.85220804529865</v>
      </c>
      <c r="AF972" s="2">
        <v>1212.4722421525978</v>
      </c>
      <c r="AG972" s="2">
        <v>103.44096868222341</v>
      </c>
      <c r="AH972" s="2">
        <v>478.87746249026128</v>
      </c>
      <c r="AI972" s="2">
        <v>384707.55736576399</v>
      </c>
      <c r="AJ972" s="2">
        <v>349374.28912447451</v>
      </c>
      <c r="AL972" s="27">
        <v>0.91665147361298949</v>
      </c>
      <c r="AM972" s="27">
        <v>0.91844827475186119</v>
      </c>
      <c r="AN972" s="27">
        <v>0.91085701179068956</v>
      </c>
      <c r="AO972" s="27">
        <v>0.84691791986132658</v>
      </c>
      <c r="AP972" s="27">
        <v>0.67134432478139183</v>
      </c>
      <c r="AQ972" s="27">
        <v>0.91665147361298949</v>
      </c>
      <c r="AR972" s="27">
        <v>0.91844827475186119</v>
      </c>
      <c r="AS972" s="27">
        <v>0.91085701179068956</v>
      </c>
      <c r="AT972" s="27">
        <v>0.84691791986132658</v>
      </c>
      <c r="AU972" s="27">
        <v>0.67134432478139183</v>
      </c>
      <c r="AW972" s="1">
        <v>13.837798653972223</v>
      </c>
      <c r="AX972" s="1">
        <v>15.937509253802759</v>
      </c>
      <c r="AY972" s="2">
        <v>1520738.4623134304</v>
      </c>
      <c r="AZ972" s="1">
        <v>15.359320233568841</v>
      </c>
      <c r="BA972" s="1">
        <v>17.391150727768668</v>
      </c>
      <c r="BB972" s="2">
        <v>1156141.3426912252</v>
      </c>
      <c r="BC972" s="2">
        <f t="shared" si="112"/>
        <v>-364597.11962220515</v>
      </c>
      <c r="BD972" s="292">
        <f t="shared" si="113"/>
        <v>1.5215215795966177</v>
      </c>
      <c r="BF972" s="170">
        <f t="shared" si="108"/>
        <v>693309.32232212555</v>
      </c>
      <c r="BG972" s="2">
        <f t="shared" si="109"/>
        <v>1301349.8946797892</v>
      </c>
      <c r="BI972">
        <f t="shared" si="110"/>
        <v>0</v>
      </c>
      <c r="BJ972" s="95">
        <f t="shared" si="111"/>
        <v>1</v>
      </c>
      <c r="BP972" s="217">
        <f t="shared" si="114"/>
        <v>1301349.8946797892</v>
      </c>
    </row>
    <row r="973" spans="1:68">
      <c r="A973" s="11">
        <v>967</v>
      </c>
      <c r="C973" s="27">
        <v>0.92485370810620127</v>
      </c>
      <c r="D973" s="27">
        <v>7.5146291893798706E-2</v>
      </c>
      <c r="E973" s="27">
        <v>0</v>
      </c>
      <c r="F973" s="27">
        <v>0.85799645700453253</v>
      </c>
      <c r="G973" s="27">
        <v>0.14200354299546747</v>
      </c>
      <c r="H973" s="27">
        <v>0</v>
      </c>
      <c r="I973" s="27">
        <v>0.74681151049857497</v>
      </c>
      <c r="J973" s="27">
        <v>0.25318848950142503</v>
      </c>
      <c r="K973" s="27">
        <v>0</v>
      </c>
      <c r="L973" s="27">
        <v>0.17445081950746721</v>
      </c>
      <c r="M973" s="27">
        <v>0.50201416482790751</v>
      </c>
      <c r="N973" s="27">
        <v>0.32353501566462528</v>
      </c>
      <c r="O973" s="27">
        <v>-10.673240762872135</v>
      </c>
      <c r="P973" s="27">
        <v>3.3429840255116729E-2</v>
      </c>
      <c r="Q973" s="27">
        <v>9.428509198714549E-5</v>
      </c>
      <c r="R973" s="27">
        <v>1.0203920378015572</v>
      </c>
      <c r="S973" s="154"/>
      <c r="T973">
        <v>1.0744132081801767</v>
      </c>
      <c r="U973">
        <v>2.285829870016999</v>
      </c>
      <c r="V973">
        <v>2.9101461653010037</v>
      </c>
      <c r="W973">
        <v>1</v>
      </c>
      <c r="Y973" s="2">
        <v>849.91785258360551</v>
      </c>
      <c r="Z973" s="2">
        <v>1793.9645499310639</v>
      </c>
      <c r="AA973" s="2">
        <v>2986.6483218421804</v>
      </c>
      <c r="AB973" s="2">
        <v>3739.4384887542096</v>
      </c>
      <c r="AC973" s="2">
        <v>768.30802265356579</v>
      </c>
      <c r="AD973" s="2">
        <v>600.97490250418809</v>
      </c>
      <c r="AE973" s="2">
        <v>588.00917846557638</v>
      </c>
      <c r="AF973" s="2">
        <v>1100.8348185708585</v>
      </c>
      <c r="AG973" s="2">
        <v>140.29711013885105</v>
      </c>
      <c r="AH973" s="2">
        <v>521.447659469477</v>
      </c>
      <c r="AI973" s="2">
        <v>496014.11140013236</v>
      </c>
      <c r="AJ973" s="2">
        <v>475313.34319314873</v>
      </c>
      <c r="AL973" s="27">
        <v>0.91202852678184521</v>
      </c>
      <c r="AM973" s="27">
        <v>0.91126549654510547</v>
      </c>
      <c r="AN973" s="27">
        <v>0.90756060413228157</v>
      </c>
      <c r="AO973" s="27">
        <v>0.87117269079360216</v>
      </c>
      <c r="AP973" s="27">
        <v>0.76465578451973593</v>
      </c>
      <c r="AQ973" s="27">
        <v>0.91202852678184521</v>
      </c>
      <c r="AR973" s="27">
        <v>0.91126549654510547</v>
      </c>
      <c r="AS973" s="27">
        <v>0.90756060413228157</v>
      </c>
      <c r="AT973" s="27">
        <v>0.87117269079360216</v>
      </c>
      <c r="AU973" s="27">
        <v>0.76465578451973593</v>
      </c>
      <c r="AW973" s="1">
        <v>13.813589541879823</v>
      </c>
      <c r="AX973" s="1">
        <v>15.760920741570589</v>
      </c>
      <c r="AY973" s="2">
        <v>2146646.987416245</v>
      </c>
      <c r="AZ973" s="1">
        <v>15.683735034733921</v>
      </c>
      <c r="BA973" s="1">
        <v>17.626973661967565</v>
      </c>
      <c r="BB973" s="2">
        <v>1566142.8154826919</v>
      </c>
      <c r="BC973" s="2">
        <f t="shared" si="112"/>
        <v>-580504.17193355318</v>
      </c>
      <c r="BD973" s="292">
        <f t="shared" si="113"/>
        <v>1.8701454928540979</v>
      </c>
      <c r="BF973" s="170">
        <f t="shared" si="108"/>
        <v>63527.33928452665</v>
      </c>
      <c r="BG973" s="2">
        <f t="shared" si="109"/>
        <v>943254.79007473541</v>
      </c>
      <c r="BI973">
        <f t="shared" si="110"/>
        <v>0</v>
      </c>
      <c r="BJ973" s="95">
        <f t="shared" si="111"/>
        <v>1</v>
      </c>
      <c r="BP973" s="217">
        <f t="shared" si="114"/>
        <v>943254.79007473541</v>
      </c>
    </row>
    <row r="974" spans="1:68">
      <c r="A974" s="11">
        <v>968</v>
      </c>
      <c r="C974" s="27">
        <v>0.92189242533320037</v>
      </c>
      <c r="D974" s="27">
        <v>7.8107574666799628E-2</v>
      </c>
      <c r="E974" s="27">
        <v>0</v>
      </c>
      <c r="F974" s="27">
        <v>0.86109978828566369</v>
      </c>
      <c r="G974" s="27">
        <v>0.13890021171433628</v>
      </c>
      <c r="H974" s="27">
        <v>0</v>
      </c>
      <c r="I974" s="27">
        <v>0.75093798651718502</v>
      </c>
      <c r="J974" s="27">
        <v>0.24906201348281504</v>
      </c>
      <c r="K974" s="27">
        <v>0</v>
      </c>
      <c r="L974" s="27">
        <v>0.16272395580177407</v>
      </c>
      <c r="M974" s="27">
        <v>0.52330840658030919</v>
      </c>
      <c r="N974" s="27">
        <v>0.31396763761791674</v>
      </c>
      <c r="O974" s="27">
        <v>-11.369255782647366</v>
      </c>
      <c r="P974" s="27">
        <v>3.6611832892023778E-2</v>
      </c>
      <c r="Q974" s="27">
        <v>5.3728938952649191E-5</v>
      </c>
      <c r="R974" s="27">
        <v>1.0917570038829509</v>
      </c>
      <c r="S974" s="154"/>
      <c r="T974">
        <v>1.0377486377078584</v>
      </c>
      <c r="U974">
        <v>2.2360044023823997</v>
      </c>
      <c r="V974">
        <v>3.2078842695098144</v>
      </c>
      <c r="W974">
        <v>1</v>
      </c>
      <c r="Y974" s="2">
        <v>1217.0340608275451</v>
      </c>
      <c r="Z974" s="2">
        <v>4332.6744525307204</v>
      </c>
      <c r="AA974" s="2">
        <v>1532.2183237765694</v>
      </c>
      <c r="AB974" s="2">
        <v>1366.5759533814344</v>
      </c>
      <c r="AC974" s="2">
        <v>224.32089317302268</v>
      </c>
      <c r="AD974" s="2">
        <v>517.73590258488082</v>
      </c>
      <c r="AE974" s="2">
        <v>566.90883531651264</v>
      </c>
      <c r="AF974" s="2">
        <v>912.59827915880635</v>
      </c>
      <c r="AG974" s="2">
        <v>105.16982354136152</v>
      </c>
      <c r="AH974" s="2">
        <v>587.4235483357711</v>
      </c>
      <c r="AI974" s="2">
        <v>350248.94711004605</v>
      </c>
      <c r="AJ974" s="2">
        <v>315037.02454564703</v>
      </c>
      <c r="AL974" s="27">
        <v>0.92031861090768874</v>
      </c>
      <c r="AM974" s="27">
        <v>0.91827839359908348</v>
      </c>
      <c r="AN974" s="27">
        <v>0.90423368926636472</v>
      </c>
      <c r="AO974" s="27">
        <v>0.8798495896220353</v>
      </c>
      <c r="AP974" s="27">
        <v>0.7790499660199468</v>
      </c>
      <c r="AQ974" s="27">
        <v>0.92031861090768874</v>
      </c>
      <c r="AR974" s="27">
        <v>0.91827839359908348</v>
      </c>
      <c r="AS974" s="27">
        <v>0.90423368926636472</v>
      </c>
      <c r="AT974" s="27">
        <v>0.8798495896220353</v>
      </c>
      <c r="AU974" s="27">
        <v>0.7790499660199468</v>
      </c>
      <c r="AW974" s="1">
        <v>13.894103047236223</v>
      </c>
      <c r="AX974" s="1">
        <v>15.684343930175082</v>
      </c>
      <c r="AY974" s="2">
        <v>1443955.5121545156</v>
      </c>
      <c r="AZ974" s="1">
        <v>15.748940555259288</v>
      </c>
      <c r="BA974" s="1">
        <v>17.547652747751695</v>
      </c>
      <c r="BB974" s="2">
        <v>1008930.1713068698</v>
      </c>
      <c r="BC974" s="2">
        <f t="shared" si="112"/>
        <v>-435025.34084764577</v>
      </c>
      <c r="BD974" s="292">
        <f t="shared" si="113"/>
        <v>1.8548375080230652</v>
      </c>
      <c r="BF974" s="170">
        <f t="shared" si="108"/>
        <v>779100.97540328023</v>
      </c>
      <c r="BG974" s="2">
        <f t="shared" si="109"/>
        <v>1510900.3175346162</v>
      </c>
      <c r="BI974">
        <f t="shared" si="110"/>
        <v>0</v>
      </c>
      <c r="BJ974" s="95">
        <f t="shared" si="111"/>
        <v>1</v>
      </c>
      <c r="BP974" s="217">
        <f t="shared" si="114"/>
        <v>1510900.3175346162</v>
      </c>
    </row>
    <row r="975" spans="1:68">
      <c r="A975" s="11">
        <v>969</v>
      </c>
      <c r="C975" s="27">
        <v>0.92281727265982749</v>
      </c>
      <c r="D975" s="27">
        <v>7.7182727340172508E-2</v>
      </c>
      <c r="E975" s="27">
        <v>0</v>
      </c>
      <c r="F975" s="27">
        <v>0.85777127619022486</v>
      </c>
      <c r="G975" s="27">
        <v>0.14222872380977511</v>
      </c>
      <c r="H975" s="27">
        <v>0</v>
      </c>
      <c r="I975" s="27">
        <v>0.75851987533232812</v>
      </c>
      <c r="J975" s="27">
        <v>0.24148012466767182</v>
      </c>
      <c r="K975" s="27">
        <v>0</v>
      </c>
      <c r="L975" s="27">
        <v>0.14524363685276015</v>
      </c>
      <c r="M975" s="27">
        <v>0.52407761604486502</v>
      </c>
      <c r="N975" s="27">
        <v>0.33067874710237483</v>
      </c>
      <c r="O975" s="27">
        <v>-10.824686317811789</v>
      </c>
      <c r="P975" s="27">
        <v>3.2467777817109099E-2</v>
      </c>
      <c r="Q975" s="27">
        <v>7.7825637556171195E-5</v>
      </c>
      <c r="R975" s="27">
        <v>1.0502768894395418</v>
      </c>
      <c r="S975" s="154"/>
      <c r="T975">
        <v>1.0053728347483728</v>
      </c>
      <c r="U975">
        <v>2.1639030465742843</v>
      </c>
      <c r="V975">
        <v>3.0508287256144864</v>
      </c>
      <c r="W975">
        <v>1</v>
      </c>
      <c r="Y975" s="2">
        <v>248.8792130269978</v>
      </c>
      <c r="Z975" s="2">
        <v>68.744787735463177</v>
      </c>
      <c r="AA975" s="2">
        <v>1913.3336800330414</v>
      </c>
      <c r="AB975" s="2">
        <v>9605.1220302843722</v>
      </c>
      <c r="AC975" s="2">
        <v>1539.3400254842225</v>
      </c>
      <c r="AD975" s="2">
        <v>455.69903592219129</v>
      </c>
      <c r="AE975" s="2">
        <v>565.39953911532859</v>
      </c>
      <c r="AF975" s="2">
        <v>995.49440296379248</v>
      </c>
      <c r="AG975" s="2">
        <v>134.64478154478675</v>
      </c>
      <c r="AH975" s="2">
        <v>370.91135687819144</v>
      </c>
      <c r="AI975" s="2">
        <v>587858.20624235424</v>
      </c>
      <c r="AJ975" s="2">
        <v>555507.36261587439</v>
      </c>
      <c r="AL975" s="27">
        <v>0.91986948385618172</v>
      </c>
      <c r="AM975" s="27">
        <v>0.9152890071925579</v>
      </c>
      <c r="AN975" s="27">
        <v>0.90861755630638097</v>
      </c>
      <c r="AO975" s="27">
        <v>0.8507341625094158</v>
      </c>
      <c r="AP975" s="27">
        <v>0.7675145973535743</v>
      </c>
      <c r="AQ975" s="27">
        <v>0.91986948385618172</v>
      </c>
      <c r="AR975" s="27">
        <v>0.9152890071925579</v>
      </c>
      <c r="AS975" s="27">
        <v>0.90861755630638097</v>
      </c>
      <c r="AT975" s="27">
        <v>0.8507341625094158</v>
      </c>
      <c r="AU975" s="27">
        <v>0.7675145973535743</v>
      </c>
      <c r="AW975" s="1">
        <v>13.965374250126885</v>
      </c>
      <c r="AX975" s="1">
        <v>15.813585058810361</v>
      </c>
      <c r="AY975" s="2">
        <v>2346829.2381098368</v>
      </c>
      <c r="AZ975" s="1">
        <v>15.699748864406255</v>
      </c>
      <c r="BA975" s="1">
        <v>17.544504733835783</v>
      </c>
      <c r="BB975" s="2">
        <v>1841391.9247994984</v>
      </c>
      <c r="BC975" s="2">
        <f t="shared" si="112"/>
        <v>-505437.31331033842</v>
      </c>
      <c r="BD975" s="292">
        <f t="shared" si="113"/>
        <v>1.7343746142793695</v>
      </c>
      <c r="BF975" s="170">
        <f t="shared" si="108"/>
        <v>-112369.35808953503</v>
      </c>
      <c r="BG975" s="2">
        <f t="shared" si="109"/>
        <v>670567.89350550226</v>
      </c>
      <c r="BI975">
        <f t="shared" si="110"/>
        <v>0</v>
      </c>
      <c r="BJ975" s="95">
        <f t="shared" si="111"/>
        <v>1</v>
      </c>
      <c r="BP975" s="217">
        <f t="shared" si="114"/>
        <v>670567.89350550226</v>
      </c>
    </row>
    <row r="976" spans="1:68">
      <c r="A976" s="11">
        <v>970</v>
      </c>
      <c r="C976" s="27">
        <v>0.92343106702503142</v>
      </c>
      <c r="D976" s="27">
        <v>7.656893297496864E-2</v>
      </c>
      <c r="E976" s="27">
        <v>0</v>
      </c>
      <c r="F976" s="27">
        <v>0.86290130923155139</v>
      </c>
      <c r="G976" s="27">
        <v>0.13709869076844863</v>
      </c>
      <c r="H976" s="27">
        <v>0</v>
      </c>
      <c r="I976" s="27">
        <v>0.75420815039040956</v>
      </c>
      <c r="J976" s="27">
        <v>0.24579184960959044</v>
      </c>
      <c r="K976" s="27">
        <v>0</v>
      </c>
      <c r="L976" s="27">
        <v>0.24110430813824085</v>
      </c>
      <c r="M976" s="27">
        <v>0.44853484713646113</v>
      </c>
      <c r="N976" s="27">
        <v>0.31036084472529796</v>
      </c>
      <c r="O976" s="27">
        <v>-10.959998700779986</v>
      </c>
      <c r="P976" s="27">
        <v>3.4475257620551612E-2</v>
      </c>
      <c r="Q976" s="27">
        <v>7.3956174202035956E-5</v>
      </c>
      <c r="R976" s="27">
        <v>1.0421680932988462</v>
      </c>
      <c r="S976" s="154"/>
      <c r="T976">
        <v>0.9810739923280708</v>
      </c>
      <c r="U976">
        <v>2.2560637317759116</v>
      </c>
      <c r="V976">
        <v>3.0503879054052474</v>
      </c>
      <c r="W976">
        <v>1</v>
      </c>
      <c r="Y976" s="2">
        <v>1810.8483122724604</v>
      </c>
      <c r="Z976" s="2">
        <v>1859.0602833607991</v>
      </c>
      <c r="AA976" s="2">
        <v>576.01342988130591</v>
      </c>
      <c r="AB976" s="2">
        <v>4753.6707061868501</v>
      </c>
      <c r="AC976" s="2">
        <v>924.63334914430573</v>
      </c>
      <c r="AD976" s="2">
        <v>571.17309669336555</v>
      </c>
      <c r="AE976" s="2">
        <v>640.27440483627583</v>
      </c>
      <c r="AF976" s="2">
        <v>1169.5022761499454</v>
      </c>
      <c r="AG976" s="2">
        <v>99.742042510929082</v>
      </c>
      <c r="AH976" s="2">
        <v>403.57958972950365</v>
      </c>
      <c r="AI976" s="2">
        <v>522923.61488319677</v>
      </c>
      <c r="AJ976" s="2">
        <v>501064.82032052707</v>
      </c>
      <c r="AL976" s="27">
        <v>0.91951368610556627</v>
      </c>
      <c r="AM976" s="27">
        <v>0.91461488223676257</v>
      </c>
      <c r="AN976" s="27">
        <v>0.91257781089987744</v>
      </c>
      <c r="AO976" s="27">
        <v>0.87440638394383319</v>
      </c>
      <c r="AP976" s="27">
        <v>0.59315429202180636</v>
      </c>
      <c r="AQ976" s="27">
        <v>0.91951368610556627</v>
      </c>
      <c r="AR976" s="27">
        <v>0.91461488223676257</v>
      </c>
      <c r="AS976" s="27">
        <v>0.91257781089987744</v>
      </c>
      <c r="AT976" s="27">
        <v>0.87440638394383319</v>
      </c>
      <c r="AU976" s="27">
        <v>0.59315429202180636</v>
      </c>
      <c r="AW976" s="1">
        <v>13.539948531353518</v>
      </c>
      <c r="AX976" s="1">
        <v>15.96765499374008</v>
      </c>
      <c r="AY976" s="2">
        <v>2140582.3930025268</v>
      </c>
      <c r="AZ976" s="1">
        <v>15.395866642247473</v>
      </c>
      <c r="BA976" s="1">
        <v>17.642967664383644</v>
      </c>
      <c r="BB976" s="2">
        <v>1566969.5982084344</v>
      </c>
      <c r="BC976" s="2">
        <f t="shared" si="112"/>
        <v>-573612.79479409242</v>
      </c>
      <c r="BD976" s="292">
        <f t="shared" si="113"/>
        <v>1.8559181108939544</v>
      </c>
      <c r="BF976" s="170">
        <f t="shared" si="108"/>
        <v>25809.372014035936</v>
      </c>
      <c r="BG976" s="2">
        <f t="shared" si="109"/>
        <v>896369.06455116114</v>
      </c>
      <c r="BI976">
        <f t="shared" si="110"/>
        <v>0</v>
      </c>
      <c r="BJ976" s="95">
        <f t="shared" si="111"/>
        <v>1</v>
      </c>
      <c r="BP976" s="217">
        <f t="shared" si="114"/>
        <v>896369.06455116114</v>
      </c>
    </row>
    <row r="977" spans="1:68">
      <c r="A977" s="11">
        <v>971</v>
      </c>
      <c r="C977" s="27">
        <v>0.92182295924458146</v>
      </c>
      <c r="D977" s="27">
        <v>7.8177040755418536E-2</v>
      </c>
      <c r="E977" s="27">
        <v>0</v>
      </c>
      <c r="F977" s="27">
        <v>0.85603290643944596</v>
      </c>
      <c r="G977" s="27">
        <v>0.14396709356055404</v>
      </c>
      <c r="H977" s="27">
        <v>0</v>
      </c>
      <c r="I977" s="27">
        <v>0.75161491500337507</v>
      </c>
      <c r="J977" s="27">
        <v>0.24838508499662496</v>
      </c>
      <c r="K977" s="27">
        <v>0</v>
      </c>
      <c r="L977" s="27">
        <v>0.13390949806173741</v>
      </c>
      <c r="M977" s="27">
        <v>0.53210507381576655</v>
      </c>
      <c r="N977" s="27">
        <v>0.33398542812249604</v>
      </c>
      <c r="O977" s="27">
        <v>-10.798410760681161</v>
      </c>
      <c r="P977" s="27">
        <v>3.2071327764490259E-2</v>
      </c>
      <c r="Q977" s="27">
        <v>7.8578298703377305E-5</v>
      </c>
      <c r="R977" s="27">
        <v>1.0416329196986773</v>
      </c>
      <c r="S977" s="154"/>
      <c r="T977">
        <v>1.0721916524452584</v>
      </c>
      <c r="U977">
        <v>2.2838706826983413</v>
      </c>
      <c r="V977">
        <v>3.0943376973332306</v>
      </c>
      <c r="W977">
        <v>1</v>
      </c>
      <c r="Y977" s="2">
        <v>79.982440555534438</v>
      </c>
      <c r="Z977" s="2">
        <v>1683.0919011334574</v>
      </c>
      <c r="AA977" s="2">
        <v>3833.8790172507147</v>
      </c>
      <c r="AB977" s="2">
        <v>6547.3839685290159</v>
      </c>
      <c r="AC977" s="2">
        <v>1317.556306987063</v>
      </c>
      <c r="AD977" s="2">
        <v>427.91895780874972</v>
      </c>
      <c r="AE977" s="2">
        <v>575.47281414445308</v>
      </c>
      <c r="AF977" s="2">
        <v>1153.4096628846169</v>
      </c>
      <c r="AG977" s="2">
        <v>90.853233711587094</v>
      </c>
      <c r="AH977" s="2">
        <v>540.393973412332</v>
      </c>
      <c r="AI977" s="2">
        <v>607442.59927785594</v>
      </c>
      <c r="AJ977" s="2">
        <v>577441.53872508754</v>
      </c>
      <c r="AL977" s="27">
        <v>0.9165138109437474</v>
      </c>
      <c r="AM977" s="27">
        <v>0.91574829615002962</v>
      </c>
      <c r="AN977" s="27">
        <v>0.90937669305708657</v>
      </c>
      <c r="AO977" s="27">
        <v>0.89121251022735792</v>
      </c>
      <c r="AP977" s="27">
        <v>0.60692402445934179</v>
      </c>
      <c r="AQ977" s="27">
        <v>0.9165138109437474</v>
      </c>
      <c r="AR977" s="27">
        <v>0.91574829615002962</v>
      </c>
      <c r="AS977" s="27">
        <v>0.90937669305708657</v>
      </c>
      <c r="AT977" s="27">
        <v>0.89121251022735792</v>
      </c>
      <c r="AU977" s="27">
        <v>0.60692402445934179</v>
      </c>
      <c r="AW977" s="1">
        <v>13.148516873342864</v>
      </c>
      <c r="AX977" s="1">
        <v>15.6150488883449</v>
      </c>
      <c r="AY977" s="2">
        <v>2659424.2888094503</v>
      </c>
      <c r="AZ977" s="1">
        <v>15.269859637981146</v>
      </c>
      <c r="BA977" s="1">
        <v>17.540727203528679</v>
      </c>
      <c r="BB977" s="2">
        <v>1972792.6295485599</v>
      </c>
      <c r="BC977" s="2">
        <f t="shared" si="112"/>
        <v>-686631.65926089045</v>
      </c>
      <c r="BD977" s="292">
        <f t="shared" si="113"/>
        <v>2.1213427646382819</v>
      </c>
      <c r="BF977" s="170">
        <f t="shared" si="108"/>
        <v>-555661.58907459211</v>
      </c>
      <c r="BG977" s="2">
        <f t="shared" si="109"/>
        <v>470384.91252842359</v>
      </c>
      <c r="BI977">
        <f t="shared" si="110"/>
        <v>0</v>
      </c>
      <c r="BJ977" s="95">
        <f t="shared" si="111"/>
        <v>1</v>
      </c>
      <c r="BP977" s="217">
        <f t="shared" si="114"/>
        <v>470384.91252842359</v>
      </c>
    </row>
    <row r="978" spans="1:68">
      <c r="A978" s="11">
        <v>972</v>
      </c>
      <c r="C978" s="27">
        <v>0.92369846021515212</v>
      </c>
      <c r="D978" s="27">
        <v>7.6301539784847869E-2</v>
      </c>
      <c r="E978" s="27">
        <v>0</v>
      </c>
      <c r="F978" s="27">
        <v>0.85643732606565004</v>
      </c>
      <c r="G978" s="27">
        <v>0.14356267393434996</v>
      </c>
      <c r="H978" s="27">
        <v>0</v>
      </c>
      <c r="I978" s="27">
        <v>0.74211567343493723</v>
      </c>
      <c r="J978" s="27">
        <v>0.25788432656506277</v>
      </c>
      <c r="K978" s="27">
        <v>0</v>
      </c>
      <c r="L978" s="27">
        <v>0.11930815106907566</v>
      </c>
      <c r="M978" s="27">
        <v>0.52793251527407059</v>
      </c>
      <c r="N978" s="27">
        <v>0.35275933365685375</v>
      </c>
      <c r="O978" s="27">
        <v>-11.108419513758095</v>
      </c>
      <c r="P978" s="27">
        <v>3.2668040834963726E-2</v>
      </c>
      <c r="Q978" s="27">
        <v>5.9095144239869698E-5</v>
      </c>
      <c r="R978" s="27">
        <v>1.0815469886981595</v>
      </c>
      <c r="S978" s="154"/>
      <c r="T978">
        <v>0.90007796021991315</v>
      </c>
      <c r="U978">
        <v>2.2400607202683047</v>
      </c>
      <c r="V978">
        <v>3.0819677991486247</v>
      </c>
      <c r="W978">
        <v>1</v>
      </c>
      <c r="Y978" s="2">
        <v>260.53942498765952</v>
      </c>
      <c r="Z978" s="2">
        <v>2291.1647319194226</v>
      </c>
      <c r="AA978" s="2">
        <v>2206.2908356905664</v>
      </c>
      <c r="AB978" s="2">
        <v>6110.024746494676</v>
      </c>
      <c r="AC978" s="2">
        <v>841.5083691539138</v>
      </c>
      <c r="AD978" s="2">
        <v>255.30323709392465</v>
      </c>
      <c r="AE978" s="2">
        <v>523.84232056084636</v>
      </c>
      <c r="AF978" s="2">
        <v>922.63266144481565</v>
      </c>
      <c r="AG978" s="2">
        <v>133.53923837550283</v>
      </c>
      <c r="AH978" s="2">
        <v>264.96102903719424</v>
      </c>
      <c r="AI978" s="2">
        <v>511509.81799550692</v>
      </c>
      <c r="AJ978" s="2">
        <v>486568.14648186602</v>
      </c>
      <c r="AL978" s="27">
        <v>0.91855957204573557</v>
      </c>
      <c r="AM978" s="27">
        <v>0.91643643941880892</v>
      </c>
      <c r="AN978" s="27">
        <v>0.91046938538625277</v>
      </c>
      <c r="AO978" s="27">
        <v>0.89634297795856654</v>
      </c>
      <c r="AP978" s="27">
        <v>0.77870309758528578</v>
      </c>
      <c r="AQ978" s="27">
        <v>0.91855957204573557</v>
      </c>
      <c r="AR978" s="27">
        <v>0.91643643941880892</v>
      </c>
      <c r="AS978" s="27">
        <v>0.91046938538625277</v>
      </c>
      <c r="AT978" s="27">
        <v>0.89634297795856654</v>
      </c>
      <c r="AU978" s="27">
        <v>0.77870309758528578</v>
      </c>
      <c r="AW978" s="1">
        <v>14.191884420482859</v>
      </c>
      <c r="AX978" s="1">
        <v>15.953547514721365</v>
      </c>
      <c r="AY978" s="2">
        <v>1924869.5892484621</v>
      </c>
      <c r="AZ978" s="1">
        <v>15.625571345487799</v>
      </c>
      <c r="BA978" s="1">
        <v>17.405605667583234</v>
      </c>
      <c r="BB978" s="2">
        <v>1550912.5517095497</v>
      </c>
      <c r="BC978" s="2">
        <f t="shared" si="112"/>
        <v>-373957.03753891238</v>
      </c>
      <c r="BD978" s="292">
        <f t="shared" si="113"/>
        <v>1.43368692500494</v>
      </c>
      <c r="BF978" s="170">
        <f t="shared" si="108"/>
        <v>345831.91802879516</v>
      </c>
      <c r="BG978" s="2">
        <f t="shared" si="109"/>
        <v>949178.86356849805</v>
      </c>
      <c r="BI978">
        <f t="shared" si="110"/>
        <v>0</v>
      </c>
      <c r="BJ978" s="95">
        <f t="shared" si="111"/>
        <v>1</v>
      </c>
      <c r="BP978" s="217">
        <f t="shared" si="114"/>
        <v>949178.86356849805</v>
      </c>
    </row>
    <row r="979" spans="1:68">
      <c r="A979" s="11">
        <v>973</v>
      </c>
      <c r="C979" s="27">
        <v>0.92295026724587459</v>
      </c>
      <c r="D979" s="27">
        <v>7.7049732754125411E-2</v>
      </c>
      <c r="E979" s="27">
        <v>0</v>
      </c>
      <c r="F979" s="27">
        <v>0.85870681403200733</v>
      </c>
      <c r="G979" s="27">
        <v>0.14129318596799265</v>
      </c>
      <c r="H979" s="27">
        <v>0</v>
      </c>
      <c r="I979" s="27">
        <v>0.7470406786560374</v>
      </c>
      <c r="J979" s="27">
        <v>0.2529593213439626</v>
      </c>
      <c r="K979" s="27">
        <v>0</v>
      </c>
      <c r="L979" s="27">
        <v>0.14201886337769187</v>
      </c>
      <c r="M979" s="27">
        <v>0.5084746413284813</v>
      </c>
      <c r="N979" s="27">
        <v>0.34950649529382682</v>
      </c>
      <c r="O979" s="27">
        <v>-11.599158405644346</v>
      </c>
      <c r="P979" s="27">
        <v>3.7859277708054639E-2</v>
      </c>
      <c r="Q979" s="27">
        <v>4.4990070778555049E-5</v>
      </c>
      <c r="R979" s="27">
        <v>1.1025135062357339</v>
      </c>
      <c r="S979" s="154"/>
      <c r="T979">
        <v>1.0104485304580269</v>
      </c>
      <c r="U979">
        <v>2.3212724338684918</v>
      </c>
      <c r="V979">
        <v>3.0753903082365937</v>
      </c>
      <c r="W979">
        <v>1</v>
      </c>
      <c r="Y979" s="2">
        <v>292.96620513866281</v>
      </c>
      <c r="Z979" s="2">
        <v>1343.9766417718167</v>
      </c>
      <c r="AA979" s="2">
        <v>2060.7551752633849</v>
      </c>
      <c r="AB979" s="2">
        <v>9660.3573078344143</v>
      </c>
      <c r="AC979" s="2">
        <v>30.787447332001349</v>
      </c>
      <c r="AD979" s="2">
        <v>2484.5129012411189</v>
      </c>
      <c r="AE979" s="2">
        <v>526.8177728188067</v>
      </c>
      <c r="AF979" s="2">
        <v>1225.5123297952168</v>
      </c>
      <c r="AG979" s="2">
        <v>81.949724249269622</v>
      </c>
      <c r="AH979" s="2">
        <v>281.40421638993132</v>
      </c>
      <c r="AI979" s="2">
        <v>498926.21171987359</v>
      </c>
      <c r="AJ979" s="2">
        <v>464085.04424571653</v>
      </c>
      <c r="AL979" s="27">
        <v>0.91491609193858048</v>
      </c>
      <c r="AM979" s="27">
        <v>0.92154923848580284</v>
      </c>
      <c r="AN979" s="27">
        <v>0.90951738502482948</v>
      </c>
      <c r="AO979" s="27">
        <v>0.85534447675430181</v>
      </c>
      <c r="AP979" s="27">
        <v>0.76952089378921851</v>
      </c>
      <c r="AQ979" s="27">
        <v>0.91491609193858048</v>
      </c>
      <c r="AR979" s="27">
        <v>0.92154923848580284</v>
      </c>
      <c r="AS979" s="27">
        <v>0.90951738502482948</v>
      </c>
      <c r="AT979" s="27">
        <v>0.85534447675430181</v>
      </c>
      <c r="AU979" s="27">
        <v>0.76952089378921851</v>
      </c>
      <c r="AW979" s="1">
        <v>13.795439496792882</v>
      </c>
      <c r="AX979" s="1">
        <v>15.650653556103622</v>
      </c>
      <c r="AY979" s="2">
        <v>1961852.6505662412</v>
      </c>
      <c r="AZ979" s="1">
        <v>15.615884802349701</v>
      </c>
      <c r="BA979" s="1">
        <v>17.45991361424236</v>
      </c>
      <c r="BB979" s="2">
        <v>1596261.986122255</v>
      </c>
      <c r="BC979" s="2">
        <f t="shared" si="112"/>
        <v>-365590.66444398626</v>
      </c>
      <c r="BD979" s="292">
        <f t="shared" si="113"/>
        <v>1.8204453055568184</v>
      </c>
      <c r="BF979" s="170">
        <f t="shared" si="108"/>
        <v>245417.66892061988</v>
      </c>
      <c r="BG979" s="2">
        <f t="shared" si="109"/>
        <v>902279.5822536971</v>
      </c>
      <c r="BI979">
        <f t="shared" si="110"/>
        <v>0</v>
      </c>
      <c r="BJ979" s="95">
        <f t="shared" si="111"/>
        <v>1</v>
      </c>
      <c r="BP979" s="217">
        <f t="shared" si="114"/>
        <v>902279.5822536971</v>
      </c>
    </row>
    <row r="980" spans="1:68">
      <c r="A980" s="11">
        <v>974</v>
      </c>
      <c r="C980" s="27">
        <v>0.92203007342379772</v>
      </c>
      <c r="D980" s="27">
        <v>7.7969926576202275E-2</v>
      </c>
      <c r="E980" s="27">
        <v>0</v>
      </c>
      <c r="F980" s="27">
        <v>0.85468838552256388</v>
      </c>
      <c r="G980" s="27">
        <v>0.14531161447743612</v>
      </c>
      <c r="H980" s="27">
        <v>0</v>
      </c>
      <c r="I980" s="27">
        <v>0.75959940696814998</v>
      </c>
      <c r="J980" s="27">
        <v>0.24040059303185007</v>
      </c>
      <c r="K980" s="27">
        <v>0</v>
      </c>
      <c r="L980" s="27">
        <v>0.16118867262416969</v>
      </c>
      <c r="M980" s="27">
        <v>0.45886236713874845</v>
      </c>
      <c r="N980" s="27">
        <v>0.37994896023708191</v>
      </c>
      <c r="O980" s="27">
        <v>-11.518242712447996</v>
      </c>
      <c r="P980" s="27">
        <v>3.4674441433503581E-2</v>
      </c>
      <c r="Q980" s="27">
        <v>4.267419417741497E-5</v>
      </c>
      <c r="R980" s="27">
        <v>1.1190686327521291</v>
      </c>
      <c r="S980" s="154"/>
      <c r="T980">
        <v>1.0108058224927154</v>
      </c>
      <c r="U980">
        <v>2.2941698691056933</v>
      </c>
      <c r="V980">
        <v>3.2142161004913463</v>
      </c>
      <c r="W980">
        <v>1</v>
      </c>
      <c r="Y980" s="2">
        <v>885.54471858202498</v>
      </c>
      <c r="Z980" s="2">
        <v>888.96238160471239</v>
      </c>
      <c r="AA980" s="2">
        <v>4281.4719759134714</v>
      </c>
      <c r="AB980" s="2">
        <v>272.96089575174898</v>
      </c>
      <c r="AC980" s="2">
        <v>379.83554787381775</v>
      </c>
      <c r="AD980" s="2">
        <v>1193.909440688825</v>
      </c>
      <c r="AE980" s="2">
        <v>614.48359215171342</v>
      </c>
      <c r="AF980" s="2">
        <v>987.03066428534419</v>
      </c>
      <c r="AG980" s="2">
        <v>134.1368857376026</v>
      </c>
      <c r="AH980" s="2">
        <v>230.72598515462991</v>
      </c>
      <c r="AI980" s="2">
        <v>385537.55255803157</v>
      </c>
      <c r="AJ980" s="2">
        <v>363430.97978707688</v>
      </c>
      <c r="AL980" s="27">
        <v>0.91382736425293298</v>
      </c>
      <c r="AM980" s="27">
        <v>0.91371875637110012</v>
      </c>
      <c r="AN980" s="27">
        <v>0.91314162421849732</v>
      </c>
      <c r="AO980" s="27">
        <v>0.89400674706377536</v>
      </c>
      <c r="AP980" s="27">
        <v>0.78986767068022257</v>
      </c>
      <c r="AQ980" s="27">
        <v>0.91382736425293298</v>
      </c>
      <c r="AR980" s="27">
        <v>0.91371875637110012</v>
      </c>
      <c r="AS980" s="27">
        <v>0.91314162421849732</v>
      </c>
      <c r="AT980" s="27">
        <v>0.89400674706377536</v>
      </c>
      <c r="AU980" s="27">
        <v>0.78986767068022257</v>
      </c>
      <c r="AW980" s="1">
        <v>13.526809355046645</v>
      </c>
      <c r="AX980" s="1">
        <v>15.228442144257667</v>
      </c>
      <c r="AY980" s="2">
        <v>1383271.1873064036</v>
      </c>
      <c r="AZ980" s="1">
        <v>15.434540087388681</v>
      </c>
      <c r="BA980" s="1">
        <v>17.1891135734786</v>
      </c>
      <c r="BB980" s="2">
        <v>1043214.2695078822</v>
      </c>
      <c r="BC980" s="2">
        <f t="shared" si="112"/>
        <v>-340056.91779852146</v>
      </c>
      <c r="BD980" s="292">
        <f t="shared" si="113"/>
        <v>1.9077307323420367</v>
      </c>
      <c r="BF980" s="170">
        <f t="shared" si="108"/>
        <v>781018.30950105935</v>
      </c>
      <c r="BG980" s="2">
        <f t="shared" si="109"/>
        <v>1426312.1444743066</v>
      </c>
      <c r="BI980">
        <f t="shared" si="110"/>
        <v>0</v>
      </c>
      <c r="BJ980" s="95">
        <f t="shared" si="111"/>
        <v>1</v>
      </c>
      <c r="BP980" s="217">
        <f t="shared" si="114"/>
        <v>1426312.1444743066</v>
      </c>
    </row>
    <row r="981" spans="1:68">
      <c r="A981" s="11">
        <v>975</v>
      </c>
      <c r="C981" s="27">
        <v>0.92263791815317997</v>
      </c>
      <c r="D981" s="27">
        <v>7.736208184682003E-2</v>
      </c>
      <c r="E981" s="27">
        <v>0</v>
      </c>
      <c r="F981" s="27">
        <v>0.85709549924279205</v>
      </c>
      <c r="G981" s="27">
        <v>0.14290450075720795</v>
      </c>
      <c r="H981" s="27">
        <v>0</v>
      </c>
      <c r="I981" s="27">
        <v>0.74594154157623682</v>
      </c>
      <c r="J981" s="27">
        <v>0.25405845842376318</v>
      </c>
      <c r="K981" s="27">
        <v>0</v>
      </c>
      <c r="L981" s="27">
        <v>1.092305056571119E-2</v>
      </c>
      <c r="M981" s="27">
        <v>0.50327756397604673</v>
      </c>
      <c r="N981" s="27">
        <v>0.48579938545824208</v>
      </c>
      <c r="O981" s="27">
        <v>-11.179081566808849</v>
      </c>
      <c r="P981" s="27">
        <v>3.7179332569282214E-2</v>
      </c>
      <c r="Q981" s="27">
        <v>6.6550493418446799E-5</v>
      </c>
      <c r="R981" s="27">
        <v>1.0543444457818385</v>
      </c>
      <c r="S981" s="154"/>
      <c r="T981">
        <v>1.0235387340750328</v>
      </c>
      <c r="U981">
        <v>2.2903935345471877</v>
      </c>
      <c r="V981">
        <v>2.7058745862155669</v>
      </c>
      <c r="W981">
        <v>1</v>
      </c>
      <c r="Y981" s="2">
        <v>1116.5368227616664</v>
      </c>
      <c r="Z981" s="2">
        <v>4900.0290756875693</v>
      </c>
      <c r="AA981" s="2">
        <v>3520.3681772427299</v>
      </c>
      <c r="AB981" s="2">
        <v>894.80251843973417</v>
      </c>
      <c r="AC981" s="2">
        <v>2020.1437328052784</v>
      </c>
      <c r="AD981" s="2">
        <v>308.75118278767241</v>
      </c>
      <c r="AE981" s="2">
        <v>534.73977519148855</v>
      </c>
      <c r="AF981" s="2">
        <v>916.83101622558479</v>
      </c>
      <c r="AG981" s="2">
        <v>133.57690987645677</v>
      </c>
      <c r="AH981" s="2">
        <v>375.00633339582805</v>
      </c>
      <c r="AI981" s="2">
        <v>545873.57361805544</v>
      </c>
      <c r="AJ981" s="2">
        <v>507212.04973608122</v>
      </c>
      <c r="AL981" s="27">
        <v>0.91929313188665884</v>
      </c>
      <c r="AM981" s="27">
        <v>0.91505935549323136</v>
      </c>
      <c r="AN981" s="27">
        <v>0.90725309115556785</v>
      </c>
      <c r="AO981" s="27">
        <v>0.89410312028521566</v>
      </c>
      <c r="AP981" s="27">
        <v>0.66283715981515923</v>
      </c>
      <c r="AQ981" s="27">
        <v>0.91929313188665884</v>
      </c>
      <c r="AR981" s="27">
        <v>0.91505935549323136</v>
      </c>
      <c r="AS981" s="27">
        <v>0.90725309115556785</v>
      </c>
      <c r="AT981" s="27">
        <v>0.89410312028521566</v>
      </c>
      <c r="AU981" s="27">
        <v>0.66283715981515923</v>
      </c>
      <c r="AW981" s="1">
        <v>13.173250072763045</v>
      </c>
      <c r="AX981" s="1">
        <v>15.204700143153167</v>
      </c>
      <c r="AY981" s="2">
        <v>1994994.9274312342</v>
      </c>
      <c r="AZ981" s="1">
        <v>15.13348283559006</v>
      </c>
      <c r="BA981" s="1">
        <v>17.106583670154837</v>
      </c>
      <c r="BB981" s="2">
        <v>1411638.1207818158</v>
      </c>
      <c r="BC981" s="2">
        <f t="shared" si="112"/>
        <v>-583356.80664941831</v>
      </c>
      <c r="BD981" s="292">
        <f t="shared" si="113"/>
        <v>1.9602327628270153</v>
      </c>
      <c r="BF981" s="170">
        <f t="shared" si="108"/>
        <v>112725.08421085309</v>
      </c>
      <c r="BG981" s="2">
        <f t="shared" si="109"/>
        <v>1009719.1329125937</v>
      </c>
      <c r="BI981">
        <f t="shared" si="110"/>
        <v>0</v>
      </c>
      <c r="BJ981" s="95">
        <f t="shared" si="111"/>
        <v>1</v>
      </c>
      <c r="BP981" s="217">
        <f t="shared" si="114"/>
        <v>1009719.1329125937</v>
      </c>
    </row>
    <row r="982" spans="1:68">
      <c r="A982" s="11">
        <v>976</v>
      </c>
      <c r="C982" s="27">
        <v>0.92398692478302435</v>
      </c>
      <c r="D982" s="27">
        <v>7.601307521697559E-2</v>
      </c>
      <c r="E982" s="27">
        <v>0</v>
      </c>
      <c r="F982" s="27">
        <v>0.85715791063625479</v>
      </c>
      <c r="G982" s="27">
        <v>0.14284208936374521</v>
      </c>
      <c r="H982" s="27">
        <v>0</v>
      </c>
      <c r="I982" s="27">
        <v>0.75410349170685753</v>
      </c>
      <c r="J982" s="27">
        <v>0.24589650829314247</v>
      </c>
      <c r="K982" s="27">
        <v>0</v>
      </c>
      <c r="L982" s="27">
        <v>4.7670259895454592E-2</v>
      </c>
      <c r="M982" s="27">
        <v>0.5457546333709673</v>
      </c>
      <c r="N982" s="27">
        <v>0.40657510673357811</v>
      </c>
      <c r="O982" s="27">
        <v>-10.990347255034996</v>
      </c>
      <c r="P982" s="27">
        <v>3.3367004344482233E-2</v>
      </c>
      <c r="Q982" s="27">
        <v>6.8482448447835885E-5</v>
      </c>
      <c r="R982" s="27">
        <v>1.0639752866772201</v>
      </c>
      <c r="S982" s="154"/>
      <c r="T982">
        <v>1.0531795211637549</v>
      </c>
      <c r="U982">
        <v>2.2293737771477322</v>
      </c>
      <c r="V982">
        <v>3.1228280128646584</v>
      </c>
      <c r="W982">
        <v>1</v>
      </c>
      <c r="Y982" s="2">
        <v>1527.8530299892359</v>
      </c>
      <c r="Z982" s="2">
        <v>1143.0857475314331</v>
      </c>
      <c r="AA982" s="2">
        <v>324.5561921714754</v>
      </c>
      <c r="AB982" s="2">
        <v>9791.7283659363075</v>
      </c>
      <c r="AC982" s="2">
        <v>1844.7893481429353</v>
      </c>
      <c r="AD982" s="2">
        <v>1381.7944704922559</v>
      </c>
      <c r="AE982" s="2">
        <v>589.7723902091451</v>
      </c>
      <c r="AF982" s="2">
        <v>906.00656577070265</v>
      </c>
      <c r="AG982" s="2">
        <v>158.37274341800497</v>
      </c>
      <c r="AH982" s="2">
        <v>199.11601053796775</v>
      </c>
      <c r="AI982" s="2">
        <v>455640.95762404223</v>
      </c>
      <c r="AJ982" s="2">
        <v>417247.82613558334</v>
      </c>
      <c r="AL982" s="27">
        <v>0.91361579887335975</v>
      </c>
      <c r="AM982" s="27">
        <v>0.91679665783959186</v>
      </c>
      <c r="AN982" s="27">
        <v>0.91420746579373646</v>
      </c>
      <c r="AO982" s="27">
        <v>0.91639367376898906</v>
      </c>
      <c r="AP982" s="27">
        <v>0.71628302864294291</v>
      </c>
      <c r="AQ982" s="27">
        <v>0.91361579887335975</v>
      </c>
      <c r="AR982" s="27">
        <v>0.91679665783959186</v>
      </c>
      <c r="AS982" s="27">
        <v>0.91420746579373646</v>
      </c>
      <c r="AT982" s="27">
        <v>0.91639367376898906</v>
      </c>
      <c r="AU982" s="27">
        <v>0.71628302864294291</v>
      </c>
      <c r="AW982" s="1">
        <v>13.431146062434246</v>
      </c>
      <c r="AX982" s="1">
        <v>15.397511820058648</v>
      </c>
      <c r="AY982" s="2">
        <v>1741674.15083856</v>
      </c>
      <c r="AZ982" s="1">
        <v>15.428073810801601</v>
      </c>
      <c r="BA982" s="1">
        <v>17.357395741820433</v>
      </c>
      <c r="BB982" s="2">
        <v>1350440.5903284398</v>
      </c>
      <c r="BC982" s="2">
        <f t="shared" si="112"/>
        <v>-391233.56051012012</v>
      </c>
      <c r="BD982" s="292">
        <f t="shared" si="113"/>
        <v>1.9969277483673551</v>
      </c>
      <c r="BF982" s="170">
        <f t="shared" si="108"/>
        <v>407309.21915091947</v>
      </c>
      <c r="BG982" s="2">
        <f t="shared" si="109"/>
        <v>1118051.2193998166</v>
      </c>
      <c r="BI982">
        <f t="shared" si="110"/>
        <v>0</v>
      </c>
      <c r="BJ982" s="95">
        <f t="shared" si="111"/>
        <v>1</v>
      </c>
      <c r="BP982" s="217">
        <f t="shared" si="114"/>
        <v>1118051.2193998166</v>
      </c>
    </row>
    <row r="983" spans="1:68">
      <c r="A983" s="11">
        <v>977</v>
      </c>
      <c r="C983" s="27">
        <v>0.92362825848985119</v>
      </c>
      <c r="D983" s="27">
        <v>7.6371741510148805E-2</v>
      </c>
      <c r="E983" s="27">
        <v>0</v>
      </c>
      <c r="F983" s="27">
        <v>0.8614224403799996</v>
      </c>
      <c r="G983" s="27">
        <v>0.13857755962000037</v>
      </c>
      <c r="H983" s="27">
        <v>0</v>
      </c>
      <c r="I983" s="27">
        <v>0.75806482361712413</v>
      </c>
      <c r="J983" s="27">
        <v>0.24193517638287582</v>
      </c>
      <c r="K983" s="27">
        <v>0</v>
      </c>
      <c r="L983" s="27">
        <v>0.11137436327812567</v>
      </c>
      <c r="M983" s="27">
        <v>0.52079396065060635</v>
      </c>
      <c r="N983" s="27">
        <v>0.36783167607126799</v>
      </c>
      <c r="O983" s="27">
        <v>-11.166048764988368</v>
      </c>
      <c r="P983" s="27">
        <v>3.3767648995773655E-2</v>
      </c>
      <c r="Q983" s="27">
        <v>5.842261457776878E-5</v>
      </c>
      <c r="R983" s="27">
        <v>1.0840297242545163</v>
      </c>
      <c r="S983" s="154"/>
      <c r="T983">
        <v>0.98288418727446925</v>
      </c>
      <c r="U983">
        <v>2.2317271187589318</v>
      </c>
      <c r="V983">
        <v>2.7452818456285404</v>
      </c>
      <c r="W983">
        <v>1</v>
      </c>
      <c r="Y983" s="2">
        <v>838.53162508201353</v>
      </c>
      <c r="Z983" s="2">
        <v>5192.041075849389</v>
      </c>
      <c r="AA983" s="2">
        <v>535.41881738192842</v>
      </c>
      <c r="AB983" s="2">
        <v>7980.6086259732683</v>
      </c>
      <c r="AC983" s="2">
        <v>3579.0686251157604</v>
      </c>
      <c r="AD983" s="2">
        <v>696.18638240241478</v>
      </c>
      <c r="AE983" s="2">
        <v>567.82525079564743</v>
      </c>
      <c r="AF983" s="2">
        <v>912.09716482458487</v>
      </c>
      <c r="AG983" s="2">
        <v>103.35368354453576</v>
      </c>
      <c r="AH983" s="2">
        <v>422.22826230018552</v>
      </c>
      <c r="AI983" s="2">
        <v>487788.16575754969</v>
      </c>
      <c r="AJ983" s="2">
        <v>465386.79491170915</v>
      </c>
      <c r="AL983" s="27">
        <v>0.92572290432653126</v>
      </c>
      <c r="AM983" s="27">
        <v>0.90952098400663239</v>
      </c>
      <c r="AN983" s="27">
        <v>0.9125938473619094</v>
      </c>
      <c r="AO983" s="27">
        <v>0.86477638684694713</v>
      </c>
      <c r="AP983" s="27">
        <v>0.78675139371101399</v>
      </c>
      <c r="AQ983" s="27">
        <v>0.92572290432653126</v>
      </c>
      <c r="AR983" s="27">
        <v>0.90952098400663239</v>
      </c>
      <c r="AS983" s="27">
        <v>0.9125938473619094</v>
      </c>
      <c r="AT983" s="27">
        <v>0.86477638684694713</v>
      </c>
      <c r="AU983" s="27">
        <v>0.78675139371101399</v>
      </c>
      <c r="AW983" s="1">
        <v>14.053485821101907</v>
      </c>
      <c r="AX983" s="1">
        <v>15.739012561127364</v>
      </c>
      <c r="AY983" s="2">
        <v>1924721.882412517</v>
      </c>
      <c r="AZ983" s="1">
        <v>15.724703799333886</v>
      </c>
      <c r="BA983" s="1">
        <v>17.446538572035678</v>
      </c>
      <c r="BB983" s="2">
        <v>1435607.6502645714</v>
      </c>
      <c r="BC983" s="2">
        <f t="shared" si="112"/>
        <v>-489114.23214794556</v>
      </c>
      <c r="BD983" s="292">
        <f t="shared" si="113"/>
        <v>1.6712179782319794</v>
      </c>
      <c r="BF983" s="170">
        <f t="shared" si="108"/>
        <v>323835.84896378824</v>
      </c>
      <c r="BG983" s="2">
        <f t="shared" si="109"/>
        <v>1080344.9576288504</v>
      </c>
      <c r="BI983">
        <f t="shared" si="110"/>
        <v>0</v>
      </c>
      <c r="BJ983" s="95">
        <f t="shared" si="111"/>
        <v>1</v>
      </c>
      <c r="BP983" s="217">
        <f t="shared" si="114"/>
        <v>1080344.9576288504</v>
      </c>
    </row>
    <row r="984" spans="1:68">
      <c r="A984" s="11">
        <v>978</v>
      </c>
      <c r="C984" s="27">
        <v>0.92480753186363973</v>
      </c>
      <c r="D984" s="27">
        <v>7.5192468136360255E-2</v>
      </c>
      <c r="E984" s="27">
        <v>0</v>
      </c>
      <c r="F984" s="27">
        <v>0.8565011762887399</v>
      </c>
      <c r="G984" s="27">
        <v>0.1434988237112601</v>
      </c>
      <c r="H984" s="27">
        <v>0</v>
      </c>
      <c r="I984" s="27">
        <v>0.74732117440832735</v>
      </c>
      <c r="J984" s="27">
        <v>0.25267882559167265</v>
      </c>
      <c r="K984" s="27">
        <v>0</v>
      </c>
      <c r="L984" s="27">
        <v>0.11290855698650692</v>
      </c>
      <c r="M984" s="27">
        <v>0.44865764234605798</v>
      </c>
      <c r="N984" s="27">
        <v>0.43843380066743509</v>
      </c>
      <c r="O984" s="27">
        <v>-11.168088438290759</v>
      </c>
      <c r="P984" s="27">
        <v>3.7189056873908777E-2</v>
      </c>
      <c r="Q984" s="27">
        <v>6.7313614264071165E-5</v>
      </c>
      <c r="R984" s="27">
        <v>1.0531590741872792</v>
      </c>
      <c r="S984" s="154"/>
      <c r="T984">
        <v>0.8475380881705693</v>
      </c>
      <c r="U984">
        <v>2.3412287820812741</v>
      </c>
      <c r="V984">
        <v>2.9409178718391247</v>
      </c>
      <c r="W984">
        <v>1</v>
      </c>
      <c r="Y984" s="2">
        <v>1811.8372113896435</v>
      </c>
      <c r="Z984" s="2">
        <v>2589.1257868209477</v>
      </c>
      <c r="AA984" s="2">
        <v>223.15546075162186</v>
      </c>
      <c r="AB984" s="2">
        <v>3560.995286810492</v>
      </c>
      <c r="AC984" s="2">
        <v>307.8433553862838</v>
      </c>
      <c r="AD984" s="2">
        <v>1659.9712270307205</v>
      </c>
      <c r="AE984" s="2">
        <v>591.80728270639929</v>
      </c>
      <c r="AF984" s="2">
        <v>1018.0510166421199</v>
      </c>
      <c r="AG984" s="2">
        <v>150.50960466710188</v>
      </c>
      <c r="AH984" s="2">
        <v>550.83739011931857</v>
      </c>
      <c r="AI984" s="2">
        <v>507184.09220930154</v>
      </c>
      <c r="AJ984" s="2">
        <v>471139.42408108362</v>
      </c>
      <c r="AL984" s="27">
        <v>0.92107211379045562</v>
      </c>
      <c r="AM984" s="27">
        <v>0.91613511956760418</v>
      </c>
      <c r="AN984" s="27">
        <v>0.9060268666880924</v>
      </c>
      <c r="AO984" s="27">
        <v>0.8635582157015077</v>
      </c>
      <c r="AP984" s="27">
        <v>0.65790410438199265</v>
      </c>
      <c r="AQ984" s="27">
        <v>0.92107211379045562</v>
      </c>
      <c r="AR984" s="27">
        <v>0.91613511956760418</v>
      </c>
      <c r="AS984" s="27">
        <v>0.9060268666880924</v>
      </c>
      <c r="AT984" s="27">
        <v>0.8635582157015077</v>
      </c>
      <c r="AU984" s="27">
        <v>0.65790410438199265</v>
      </c>
      <c r="AW984" s="1">
        <v>13.800690653090463</v>
      </c>
      <c r="AX984" s="1">
        <v>15.8091155930356</v>
      </c>
      <c r="AY984" s="2">
        <v>1635488.6966138401</v>
      </c>
      <c r="AZ984" s="1">
        <v>15.213751712735412</v>
      </c>
      <c r="BA984" s="1">
        <v>17.185929859379424</v>
      </c>
      <c r="BB984" s="2">
        <v>1301882.8126405766</v>
      </c>
      <c r="BC984" s="2">
        <f t="shared" si="112"/>
        <v>-333605.88397326344</v>
      </c>
      <c r="BD984" s="292">
        <f t="shared" si="113"/>
        <v>1.4130610596449493</v>
      </c>
      <c r="BF984" s="170">
        <f t="shared" si="108"/>
        <v>572621.80788063421</v>
      </c>
      <c r="BG984" s="2">
        <f t="shared" si="109"/>
        <v>1132317.4613970895</v>
      </c>
      <c r="BI984">
        <f t="shared" si="110"/>
        <v>0</v>
      </c>
      <c r="BJ984" s="95">
        <f t="shared" si="111"/>
        <v>1</v>
      </c>
      <c r="BP984" s="217">
        <f t="shared" si="114"/>
        <v>1132317.4613970895</v>
      </c>
    </row>
    <row r="985" spans="1:68">
      <c r="A985" s="11">
        <v>979</v>
      </c>
      <c r="C985" s="27">
        <v>0.92462808842488886</v>
      </c>
      <c r="D985" s="27">
        <v>7.5371911575111153E-2</v>
      </c>
      <c r="E985" s="27">
        <v>0</v>
      </c>
      <c r="F985" s="27">
        <v>0.86192684202241354</v>
      </c>
      <c r="G985" s="27">
        <v>0.1380731579775864</v>
      </c>
      <c r="H985" s="27">
        <v>0</v>
      </c>
      <c r="I985" s="27">
        <v>0.75015852073707456</v>
      </c>
      <c r="J985" s="27">
        <v>0.24984147926292541</v>
      </c>
      <c r="K985" s="27">
        <v>0</v>
      </c>
      <c r="L985" s="27">
        <v>0.18469657678316143</v>
      </c>
      <c r="M985" s="27">
        <v>0.43268874528352924</v>
      </c>
      <c r="N985" s="27">
        <v>0.38261467793330928</v>
      </c>
      <c r="O985" s="27">
        <v>-10.951506149279407</v>
      </c>
      <c r="P985" s="27">
        <v>3.1753352782221002E-2</v>
      </c>
      <c r="Q985" s="27">
        <v>6.6529484513210124E-5</v>
      </c>
      <c r="R985" s="27">
        <v>1.0716071060462149</v>
      </c>
      <c r="S985" s="154"/>
      <c r="T985">
        <v>0.94826286431636797</v>
      </c>
      <c r="U985">
        <v>2.1821900612541008</v>
      </c>
      <c r="V985">
        <v>2.7490673207400391</v>
      </c>
      <c r="W985">
        <v>1</v>
      </c>
      <c r="Y985" s="2">
        <v>107.29908952291498</v>
      </c>
      <c r="Z985" s="2">
        <v>6448.4663103860321</v>
      </c>
      <c r="AA985" s="2">
        <v>5021.7465008692425</v>
      </c>
      <c r="AB985" s="2">
        <v>2423.3797265431504</v>
      </c>
      <c r="AC985" s="2">
        <v>1846.2878948565583</v>
      </c>
      <c r="AD985" s="2">
        <v>84.236418706854693</v>
      </c>
      <c r="AE985" s="2">
        <v>513.21323275387306</v>
      </c>
      <c r="AF985" s="2">
        <v>907.65548027546606</v>
      </c>
      <c r="AG985" s="2">
        <v>133.99617943379283</v>
      </c>
      <c r="AH985" s="2">
        <v>612.99575067700596</v>
      </c>
      <c r="AI985" s="2">
        <v>437244.5994917822</v>
      </c>
      <c r="AJ985" s="2">
        <v>413499.22997186432</v>
      </c>
      <c r="AL985" s="27">
        <v>0.91839189829305012</v>
      </c>
      <c r="AM985" s="27">
        <v>0.91275068021904104</v>
      </c>
      <c r="AN985" s="27">
        <v>0.9054483301098476</v>
      </c>
      <c r="AO985" s="27">
        <v>0.87247733947875827</v>
      </c>
      <c r="AP985" s="27">
        <v>0.6893488381790307</v>
      </c>
      <c r="AQ985" s="27">
        <v>0.91839189829305012</v>
      </c>
      <c r="AR985" s="27">
        <v>0.91275068021904104</v>
      </c>
      <c r="AS985" s="27">
        <v>0.9054483301098476</v>
      </c>
      <c r="AT985" s="27">
        <v>0.87247733947875827</v>
      </c>
      <c r="AU985" s="27">
        <v>0.6893488381790307</v>
      </c>
      <c r="AW985" s="1">
        <v>13.669182582116774</v>
      </c>
      <c r="AX985" s="1">
        <v>15.623663858694313</v>
      </c>
      <c r="AY985" s="2">
        <v>1511565.5228328535</v>
      </c>
      <c r="AZ985" s="1">
        <v>15.323660370337766</v>
      </c>
      <c r="BA985" s="1">
        <v>17.259478943452951</v>
      </c>
      <c r="BB985" s="2">
        <v>1154806.5204285751</v>
      </c>
      <c r="BC985" s="2">
        <f t="shared" si="112"/>
        <v>-356759.00240427838</v>
      </c>
      <c r="BD985" s="292">
        <f t="shared" si="113"/>
        <v>1.6544777882209925</v>
      </c>
      <c r="BF985" s="170">
        <f t="shared" si="108"/>
        <v>675503.69030583021</v>
      </c>
      <c r="BG985" s="2">
        <f t="shared" si="109"/>
        <v>1296979.1388254673</v>
      </c>
      <c r="BI985">
        <f t="shared" si="110"/>
        <v>0</v>
      </c>
      <c r="BJ985" s="95">
        <f t="shared" si="111"/>
        <v>1</v>
      </c>
      <c r="BP985" s="217">
        <f t="shared" si="114"/>
        <v>1296979.1388254673</v>
      </c>
    </row>
    <row r="986" spans="1:68">
      <c r="A986" s="11">
        <v>980</v>
      </c>
      <c r="C986" s="27">
        <v>0.91744393127663471</v>
      </c>
      <c r="D986" s="27">
        <v>8.2556068723365295E-2</v>
      </c>
      <c r="E986" s="27">
        <v>0</v>
      </c>
      <c r="F986" s="27">
        <v>0.86250601798067739</v>
      </c>
      <c r="G986" s="27">
        <v>0.13749398201932267</v>
      </c>
      <c r="H986" s="27">
        <v>0</v>
      </c>
      <c r="I986" s="27">
        <v>0.75159918100520573</v>
      </c>
      <c r="J986" s="27">
        <v>0.24840081899479427</v>
      </c>
      <c r="K986" s="27">
        <v>0</v>
      </c>
      <c r="L986" s="27">
        <v>0.10773070137091401</v>
      </c>
      <c r="M986" s="27">
        <v>0.51020778885524465</v>
      </c>
      <c r="N986" s="27">
        <v>0.38206150977384135</v>
      </c>
      <c r="O986" s="27">
        <v>-11.118988713701576</v>
      </c>
      <c r="P986" s="27">
        <v>3.7709308499333065E-2</v>
      </c>
      <c r="Q986" s="27">
        <v>7.22630404406914E-5</v>
      </c>
      <c r="R986" s="27">
        <v>1.0455519254023018</v>
      </c>
      <c r="S986" s="154"/>
      <c r="T986">
        <v>0.93880885296748284</v>
      </c>
      <c r="U986">
        <v>2.2543487824455246</v>
      </c>
      <c r="V986">
        <v>3.0416740379008038</v>
      </c>
      <c r="W986">
        <v>1</v>
      </c>
      <c r="Y986" s="2">
        <v>590.46720206795919</v>
      </c>
      <c r="Z986" s="2">
        <v>10312.45210276402</v>
      </c>
      <c r="AA986" s="2">
        <v>2701.6770872464417</v>
      </c>
      <c r="AB986" s="2">
        <v>465.1890287150656</v>
      </c>
      <c r="AC986" s="2">
        <v>51.470509955073695</v>
      </c>
      <c r="AD986" s="2">
        <v>2923.0704863213459</v>
      </c>
      <c r="AE986" s="2">
        <v>619.94603454701337</v>
      </c>
      <c r="AF986" s="2">
        <v>998.64930061723635</v>
      </c>
      <c r="AG986" s="2">
        <v>163.3321093419126</v>
      </c>
      <c r="AH986" s="2">
        <v>353.81353587497011</v>
      </c>
      <c r="AI986" s="2">
        <v>553197.76789390226</v>
      </c>
      <c r="AJ986" s="2">
        <v>523952.27061925875</v>
      </c>
      <c r="AL986" s="27">
        <v>0.92227050783393039</v>
      </c>
      <c r="AM986" s="27">
        <v>0.90970633024527858</v>
      </c>
      <c r="AN986" s="27">
        <v>0.91428070066866907</v>
      </c>
      <c r="AO986" s="27">
        <v>0.89011665907262305</v>
      </c>
      <c r="AP986" s="27">
        <v>0.68534218023096427</v>
      </c>
      <c r="AQ986" s="27">
        <v>0.92227050783393039</v>
      </c>
      <c r="AR986" s="27">
        <v>0.90970633024527858</v>
      </c>
      <c r="AS986" s="27">
        <v>0.91428070066866907</v>
      </c>
      <c r="AT986" s="27">
        <v>0.89011665907262305</v>
      </c>
      <c r="AU986" s="27">
        <v>0.68534218023096427</v>
      </c>
      <c r="AW986" s="1">
        <v>13.629911206717075</v>
      </c>
      <c r="AX986" s="1">
        <v>15.688180026697976</v>
      </c>
      <c r="AY986" s="2">
        <v>2301668.9908276391</v>
      </c>
      <c r="AZ986" s="1">
        <v>15.351133841054054</v>
      </c>
      <c r="BA986" s="1">
        <v>17.349876711340826</v>
      </c>
      <c r="BB986" s="2">
        <v>1658457.6931149841</v>
      </c>
      <c r="BC986" s="2">
        <f t="shared" si="112"/>
        <v>-643211.29771265504</v>
      </c>
      <c r="BD986" s="292">
        <f t="shared" si="113"/>
        <v>1.7212226343369785</v>
      </c>
      <c r="BF986" s="170">
        <f t="shared" si="108"/>
        <v>-120883.19775290694</v>
      </c>
      <c r="BG986" s="2">
        <f t="shared" si="109"/>
        <v>797723.72145366459</v>
      </c>
      <c r="BI986">
        <f t="shared" si="110"/>
        <v>0</v>
      </c>
      <c r="BJ986" s="95">
        <f t="shared" si="111"/>
        <v>1</v>
      </c>
      <c r="BP986" s="217">
        <f t="shared" si="114"/>
        <v>797723.72145366459</v>
      </c>
    </row>
    <row r="987" spans="1:68">
      <c r="A987" s="11">
        <v>981</v>
      </c>
      <c r="C987" s="27">
        <v>0.91998576395823306</v>
      </c>
      <c r="D987" s="27">
        <v>8.001423604176694E-2</v>
      </c>
      <c r="E987" s="27">
        <v>0</v>
      </c>
      <c r="F987" s="27">
        <v>0.85767162882706705</v>
      </c>
      <c r="G987" s="27">
        <v>0.14232837117293298</v>
      </c>
      <c r="H987" s="27">
        <v>0</v>
      </c>
      <c r="I987" s="27">
        <v>0.74687083693368006</v>
      </c>
      <c r="J987" s="27">
        <v>0.25312916306631994</v>
      </c>
      <c r="K987" s="27">
        <v>0</v>
      </c>
      <c r="L987" s="27">
        <v>0.16180254978905251</v>
      </c>
      <c r="M987" s="27">
        <v>0.45573134190079895</v>
      </c>
      <c r="N987" s="27">
        <v>0.3824661083101486</v>
      </c>
      <c r="O987" s="27">
        <v>-11.577663011748825</v>
      </c>
      <c r="P987" s="27">
        <v>3.4161696297761605E-2</v>
      </c>
      <c r="Q987" s="27">
        <v>3.9355620205330925E-5</v>
      </c>
      <c r="R987" s="27">
        <v>1.129926598177216</v>
      </c>
      <c r="S987" s="154"/>
      <c r="T987">
        <v>0.97935832244802334</v>
      </c>
      <c r="U987">
        <v>2.2355323502194198</v>
      </c>
      <c r="V987">
        <v>3.1750726749379901</v>
      </c>
      <c r="W987">
        <v>1</v>
      </c>
      <c r="Y987" s="2">
        <v>33.509715568659914</v>
      </c>
      <c r="Z987" s="2">
        <v>7403.5173614963669</v>
      </c>
      <c r="AA987" s="2">
        <v>150.80033032269696</v>
      </c>
      <c r="AB987" s="2">
        <v>4049.8665125676462</v>
      </c>
      <c r="AC987" s="2">
        <v>2969.7304435872525</v>
      </c>
      <c r="AD987" s="2">
        <v>903.01112222884024</v>
      </c>
      <c r="AE987" s="2">
        <v>608.11095089726791</v>
      </c>
      <c r="AF987" s="2">
        <v>1044.5825853035894</v>
      </c>
      <c r="AG987" s="2">
        <v>134.45770527957851</v>
      </c>
      <c r="AH987" s="2">
        <v>244.53841982152545</v>
      </c>
      <c r="AI987" s="2">
        <v>389325.22186940658</v>
      </c>
      <c r="AJ987" s="2">
        <v>346674.55031106266</v>
      </c>
      <c r="AL987" s="27">
        <v>0.91937458226629454</v>
      </c>
      <c r="AM987" s="27">
        <v>0.92001889470374376</v>
      </c>
      <c r="AN987" s="27">
        <v>0.90200958270021214</v>
      </c>
      <c r="AO987" s="27">
        <v>0.87932107385762759</v>
      </c>
      <c r="AP987" s="27">
        <v>0.59591491284603548</v>
      </c>
      <c r="AQ987" s="27">
        <v>0.91937458226629454</v>
      </c>
      <c r="AR987" s="27">
        <v>0.92001889470374376</v>
      </c>
      <c r="AS987" s="27">
        <v>0.90200958270021214</v>
      </c>
      <c r="AT987" s="27">
        <v>0.87932107385762759</v>
      </c>
      <c r="AU987" s="27">
        <v>0.59591491284603548</v>
      </c>
      <c r="AW987" s="1">
        <v>13.007266071262512</v>
      </c>
      <c r="AX987" s="1">
        <v>15.230907758840228</v>
      </c>
      <c r="AY987" s="2">
        <v>1404936.0997488927</v>
      </c>
      <c r="AZ987" s="1">
        <v>14.971426123775352</v>
      </c>
      <c r="BA987" s="1">
        <v>17.082687149892827</v>
      </c>
      <c r="BB987" s="2">
        <v>993117.96088973247</v>
      </c>
      <c r="BC987" s="2">
        <f t="shared" si="112"/>
        <v>-411818.13885916024</v>
      </c>
      <c r="BD987" s="292">
        <f t="shared" si="113"/>
        <v>1.96416005251284</v>
      </c>
      <c r="BF987" s="170">
        <f t="shared" si="108"/>
        <v>676226.47165310918</v>
      </c>
      <c r="BG987" s="2">
        <f t="shared" si="109"/>
        <v>1402310.218914324</v>
      </c>
      <c r="BI987">
        <f t="shared" si="110"/>
        <v>0</v>
      </c>
      <c r="BJ987" s="95">
        <f t="shared" si="111"/>
        <v>1</v>
      </c>
      <c r="BP987" s="217">
        <f t="shared" si="114"/>
        <v>1402310.218914324</v>
      </c>
    </row>
    <row r="988" spans="1:68">
      <c r="A988" s="11">
        <v>982</v>
      </c>
      <c r="C988" s="27">
        <v>0.92460226511185739</v>
      </c>
      <c r="D988" s="27">
        <v>7.5397734888142651E-2</v>
      </c>
      <c r="E988" s="27">
        <v>0</v>
      </c>
      <c r="F988" s="27">
        <v>0.85339003483150155</v>
      </c>
      <c r="G988" s="27">
        <v>0.14660996516849845</v>
      </c>
      <c r="H988" s="27">
        <v>0</v>
      </c>
      <c r="I988" s="27">
        <v>0.74417358215565288</v>
      </c>
      <c r="J988" s="27">
        <v>0.25582641784434712</v>
      </c>
      <c r="K988" s="27">
        <v>0</v>
      </c>
      <c r="L988" s="27">
        <v>7.364399579722003E-2</v>
      </c>
      <c r="M988" s="27">
        <v>0.5298702522604688</v>
      </c>
      <c r="N988" s="27">
        <v>0.39648575194231117</v>
      </c>
      <c r="O988" s="27">
        <v>-11.113504663640638</v>
      </c>
      <c r="P988" s="27">
        <v>3.3503395898904206E-2</v>
      </c>
      <c r="Q988" s="27">
        <v>6.0894844872531931E-5</v>
      </c>
      <c r="R988" s="27">
        <v>1.0781285693216471</v>
      </c>
      <c r="S988" s="154"/>
      <c r="T988">
        <v>1.0200918493569635</v>
      </c>
      <c r="U988">
        <v>2.2065003811054362</v>
      </c>
      <c r="V988">
        <v>3.1158298724245714</v>
      </c>
      <c r="W988">
        <v>1</v>
      </c>
      <c r="Y988" s="2">
        <v>739.24852990449745</v>
      </c>
      <c r="Z988" s="2">
        <v>6783.1837649275512</v>
      </c>
      <c r="AA988" s="2">
        <v>1597.9627746781039</v>
      </c>
      <c r="AB988" s="2">
        <v>10963.427193565938</v>
      </c>
      <c r="AC988" s="2">
        <v>2615.3037958732716</v>
      </c>
      <c r="AD988" s="2">
        <v>1361.2013005828435</v>
      </c>
      <c r="AE988" s="2">
        <v>534.41057083847602</v>
      </c>
      <c r="AF988" s="2">
        <v>990.139987286571</v>
      </c>
      <c r="AG988" s="2">
        <v>47.335950336298083</v>
      </c>
      <c r="AH988" s="2">
        <v>331.66960130254404</v>
      </c>
      <c r="AI988" s="2">
        <v>568717.25874704123</v>
      </c>
      <c r="AJ988" s="2">
        <v>545147.06777076528</v>
      </c>
      <c r="AL988" s="27">
        <v>0.91898673195350633</v>
      </c>
      <c r="AM988" s="27">
        <v>0.91231617376739005</v>
      </c>
      <c r="AN988" s="27">
        <v>0.90307049417567042</v>
      </c>
      <c r="AO988" s="27">
        <v>0.83284571259981965</v>
      </c>
      <c r="AP988" s="27">
        <v>0.7310133988619737</v>
      </c>
      <c r="AQ988" s="27">
        <v>0.91898673195350633</v>
      </c>
      <c r="AR988" s="27">
        <v>0.91231617376739005</v>
      </c>
      <c r="AS988" s="27">
        <v>0.90307049417567042</v>
      </c>
      <c r="AT988" s="27">
        <v>0.83284571259981965</v>
      </c>
      <c r="AU988" s="27">
        <v>0.7310133988619737</v>
      </c>
      <c r="AW988" s="1">
        <v>13.531402850067849</v>
      </c>
      <c r="AX988" s="1">
        <v>15.459910673388944</v>
      </c>
      <c r="AY988" s="2">
        <v>2270390.6261046762</v>
      </c>
      <c r="AZ988" s="1">
        <v>15.369739401169388</v>
      </c>
      <c r="BA988" s="1">
        <v>17.287415480593168</v>
      </c>
      <c r="BB988" s="2">
        <v>1743435.6746505261</v>
      </c>
      <c r="BC988" s="2">
        <f t="shared" si="112"/>
        <v>-526954.95145415002</v>
      </c>
      <c r="BD988" s="292">
        <f t="shared" si="113"/>
        <v>1.8383365511015395</v>
      </c>
      <c r="BF988" s="170">
        <f t="shared" si="108"/>
        <v>-105366.17009382043</v>
      </c>
      <c r="BG988" s="2">
        <f t="shared" si="109"/>
        <v>715722.6295365761</v>
      </c>
      <c r="BI988">
        <f t="shared" si="110"/>
        <v>0</v>
      </c>
      <c r="BJ988" s="95">
        <f t="shared" si="111"/>
        <v>1</v>
      </c>
      <c r="BP988" s="217">
        <f t="shared" si="114"/>
        <v>715722.6295365761</v>
      </c>
    </row>
    <row r="989" spans="1:68">
      <c r="A989" s="11">
        <v>983</v>
      </c>
      <c r="C989" s="27">
        <v>0.92333893104378273</v>
      </c>
      <c r="D989" s="27">
        <v>7.6661068956217271E-2</v>
      </c>
      <c r="E989" s="27">
        <v>0</v>
      </c>
      <c r="F989" s="27">
        <v>0.85119812243705584</v>
      </c>
      <c r="G989" s="27">
        <v>0.14880187756294416</v>
      </c>
      <c r="H989" s="27">
        <v>0</v>
      </c>
      <c r="I989" s="27">
        <v>0.74275249522593934</v>
      </c>
      <c r="J989" s="27">
        <v>0.25724750477406066</v>
      </c>
      <c r="K989" s="27">
        <v>0</v>
      </c>
      <c r="L989" s="27">
        <v>0.19915698719660158</v>
      </c>
      <c r="M989" s="27">
        <v>0.4206888369877797</v>
      </c>
      <c r="N989" s="27">
        <v>0.38015417581561872</v>
      </c>
      <c r="O989" s="27">
        <v>-11.715589566175804</v>
      </c>
      <c r="P989" s="27">
        <v>3.9648097197254067E-2</v>
      </c>
      <c r="Q989" s="27">
        <v>4.3169795569197468E-5</v>
      </c>
      <c r="R989" s="27">
        <v>1.112885489202847</v>
      </c>
      <c r="S989" s="154"/>
      <c r="T989">
        <v>1.0453796093652143</v>
      </c>
      <c r="U989">
        <v>2.2600365299221066</v>
      </c>
      <c r="V989">
        <v>3.1965883749746826</v>
      </c>
      <c r="W989">
        <v>1</v>
      </c>
      <c r="Y989" s="2">
        <v>327.78776178112759</v>
      </c>
      <c r="Z989" s="2">
        <v>3364.4355520971217</v>
      </c>
      <c r="AA989" s="2">
        <v>1255.2116869830443</v>
      </c>
      <c r="AB989" s="2">
        <v>232.5914943079554</v>
      </c>
      <c r="AC989" s="2">
        <v>392.963758974803</v>
      </c>
      <c r="AD989" s="2">
        <v>2166.4679060141489</v>
      </c>
      <c r="AE989" s="2">
        <v>484.64096100688761</v>
      </c>
      <c r="AF989" s="2">
        <v>948.21708749636855</v>
      </c>
      <c r="AG989" s="2">
        <v>124.61113712047411</v>
      </c>
      <c r="AH989" s="2">
        <v>709.23206506872816</v>
      </c>
      <c r="AI989" s="2">
        <v>407808.76449658221</v>
      </c>
      <c r="AJ989" s="2">
        <v>370379.48112863034</v>
      </c>
      <c r="AL989" s="27">
        <v>0.91650226230665877</v>
      </c>
      <c r="AM989" s="27">
        <v>0.91890641135800522</v>
      </c>
      <c r="AN989" s="27">
        <v>0.90640376601420081</v>
      </c>
      <c r="AO989" s="27">
        <v>0.8594833459161868</v>
      </c>
      <c r="AP989" s="27">
        <v>0.72029921201865765</v>
      </c>
      <c r="AQ989" s="27">
        <v>0.91650226230665877</v>
      </c>
      <c r="AR989" s="27">
        <v>0.91890641135800522</v>
      </c>
      <c r="AS989" s="27">
        <v>0.90640376601420081</v>
      </c>
      <c r="AT989" s="27">
        <v>0.8594833459161868</v>
      </c>
      <c r="AU989" s="27">
        <v>0.72029921201865765</v>
      </c>
      <c r="AW989" s="1">
        <v>13.203476624199366</v>
      </c>
      <c r="AX989" s="1">
        <v>15.094251041501012</v>
      </c>
      <c r="AY989" s="2">
        <v>1420690.9762791924</v>
      </c>
      <c r="AZ989" s="1">
        <v>15.214653578445306</v>
      </c>
      <c r="BA989" s="1">
        <v>17.090818143301991</v>
      </c>
      <c r="BB989" s="2">
        <v>1024822.5005548968</v>
      </c>
      <c r="BC989" s="2">
        <f t="shared" si="112"/>
        <v>-395868.4757242956</v>
      </c>
      <c r="BD989" s="292">
        <f t="shared" si="113"/>
        <v>2.0111769542459399</v>
      </c>
      <c r="BF989" s="170">
        <f t="shared" si="108"/>
        <v>691865.28359270631</v>
      </c>
      <c r="BG989" s="2">
        <f t="shared" si="109"/>
        <v>1409522.0719963522</v>
      </c>
      <c r="BI989">
        <f t="shared" si="110"/>
        <v>0</v>
      </c>
      <c r="BJ989" s="95">
        <f t="shared" si="111"/>
        <v>1</v>
      </c>
      <c r="BP989" s="217">
        <f t="shared" si="114"/>
        <v>1409522.0719963522</v>
      </c>
    </row>
    <row r="990" spans="1:68">
      <c r="A990" s="11">
        <v>984</v>
      </c>
      <c r="C990" s="27">
        <v>0.92382588104009156</v>
      </c>
      <c r="D990" s="27">
        <v>7.6174118959908457E-2</v>
      </c>
      <c r="E990" s="27">
        <v>0</v>
      </c>
      <c r="F990" s="27">
        <v>0.86163337953652408</v>
      </c>
      <c r="G990" s="27">
        <v>0.13836662046347586</v>
      </c>
      <c r="H990" s="27">
        <v>0</v>
      </c>
      <c r="I990" s="27">
        <v>0.7562619595134632</v>
      </c>
      <c r="J990" s="27">
        <v>0.24373804048653683</v>
      </c>
      <c r="K990" s="27">
        <v>0</v>
      </c>
      <c r="L990" s="27">
        <v>7.3664326348425124E-2</v>
      </c>
      <c r="M990" s="27">
        <v>0.56363620136645642</v>
      </c>
      <c r="N990" s="27">
        <v>0.36269947228511845</v>
      </c>
      <c r="O990" s="27">
        <v>-11.213679918514003</v>
      </c>
      <c r="P990" s="27">
        <v>3.6527139521109232E-2</v>
      </c>
      <c r="Q990" s="27">
        <v>6.2550266615185579E-5</v>
      </c>
      <c r="R990" s="27">
        <v>1.0600436117016039</v>
      </c>
      <c r="S990" s="154"/>
      <c r="T990">
        <v>1.0206071279173459</v>
      </c>
      <c r="U990">
        <v>2.2415961169703205</v>
      </c>
      <c r="V990">
        <v>2.7274320607202749</v>
      </c>
      <c r="W990">
        <v>1</v>
      </c>
      <c r="Y990" s="2">
        <v>1280.6424035086693</v>
      </c>
      <c r="Z990" s="2">
        <v>2866.9959326315361</v>
      </c>
      <c r="AA990" s="2">
        <v>434.64187496467298</v>
      </c>
      <c r="AB990" s="2">
        <v>10563.071479399214</v>
      </c>
      <c r="AC990" s="2">
        <v>457.30925078278983</v>
      </c>
      <c r="AD990" s="2">
        <v>2165.614109159972</v>
      </c>
      <c r="AE990" s="2">
        <v>557.77379734554415</v>
      </c>
      <c r="AF990" s="2">
        <v>941.03272095569548</v>
      </c>
      <c r="AG990" s="2">
        <v>82.955328098655215</v>
      </c>
      <c r="AH990" s="2">
        <v>568.47637892477178</v>
      </c>
      <c r="AI990" s="2">
        <v>451650.77006004681</v>
      </c>
      <c r="AJ990" s="2">
        <v>406146.28874901473</v>
      </c>
      <c r="AL990" s="27">
        <v>0.91192716899017834</v>
      </c>
      <c r="AM990" s="27">
        <v>0.9122474977866265</v>
      </c>
      <c r="AN990" s="27">
        <v>0.9097458179397252</v>
      </c>
      <c r="AO990" s="27">
        <v>0.88026428875471097</v>
      </c>
      <c r="AP990" s="27">
        <v>0.61333569374494945</v>
      </c>
      <c r="AQ990" s="27">
        <v>0.91192716899017834</v>
      </c>
      <c r="AR990" s="27">
        <v>0.9122474977866265</v>
      </c>
      <c r="AS990" s="27">
        <v>0.9097458179397252</v>
      </c>
      <c r="AT990" s="27">
        <v>0.88026428875471097</v>
      </c>
      <c r="AU990" s="27">
        <v>0.61333569374494945</v>
      </c>
      <c r="AW990" s="1">
        <v>13.467794329579156</v>
      </c>
      <c r="AX990" s="1">
        <v>15.943291159286129</v>
      </c>
      <c r="AY990" s="2">
        <v>1832784.9167073234</v>
      </c>
      <c r="AZ990" s="1">
        <v>15.3461687447153</v>
      </c>
      <c r="BA990" s="1">
        <v>17.651858888446299</v>
      </c>
      <c r="BB990" s="2">
        <v>1463910.1592279992</v>
      </c>
      <c r="BC990" s="2">
        <f t="shared" si="112"/>
        <v>-368874.75747932424</v>
      </c>
      <c r="BD990" s="292">
        <f t="shared" si="113"/>
        <v>1.8783744151361432</v>
      </c>
      <c r="BF990" s="170">
        <f t="shared" si="108"/>
        <v>322062.17602534173</v>
      </c>
      <c r="BG990" s="2">
        <f t="shared" si="109"/>
        <v>991476.83992644888</v>
      </c>
      <c r="BI990">
        <f t="shared" si="110"/>
        <v>0</v>
      </c>
      <c r="BJ990" s="95">
        <f t="shared" si="111"/>
        <v>1</v>
      </c>
      <c r="BP990" s="217">
        <f t="shared" si="114"/>
        <v>991476.83992644888</v>
      </c>
    </row>
    <row r="991" spans="1:68">
      <c r="A991" s="11">
        <v>985</v>
      </c>
      <c r="C991" s="27">
        <v>0.92273517825413121</v>
      </c>
      <c r="D991" s="27">
        <v>7.7264821745868795E-2</v>
      </c>
      <c r="E991" s="27">
        <v>0</v>
      </c>
      <c r="F991" s="27">
        <v>0.8587176208023537</v>
      </c>
      <c r="G991" s="27">
        <v>0.14128237919764636</v>
      </c>
      <c r="H991" s="27">
        <v>0</v>
      </c>
      <c r="I991" s="27">
        <v>0.75329980004894037</v>
      </c>
      <c r="J991" s="27">
        <v>0.24670019995105963</v>
      </c>
      <c r="K991" s="27">
        <v>0</v>
      </c>
      <c r="L991" s="27">
        <v>9.5698526967837982E-2</v>
      </c>
      <c r="M991" s="27">
        <v>0.50883208416782244</v>
      </c>
      <c r="N991" s="27">
        <v>0.39546938886433958</v>
      </c>
      <c r="O991" s="27">
        <v>-11.3107497776821</v>
      </c>
      <c r="P991" s="27">
        <v>3.3371505105588506E-2</v>
      </c>
      <c r="Q991" s="27">
        <v>4.9717848566406898E-5</v>
      </c>
      <c r="R991" s="27">
        <v>1.1029917463640273</v>
      </c>
      <c r="S991" s="154"/>
      <c r="T991">
        <v>0.98439762361454963</v>
      </c>
      <c r="U991">
        <v>2.1960474144640174</v>
      </c>
      <c r="V991">
        <v>3.1835783379203431</v>
      </c>
      <c r="W991">
        <v>1</v>
      </c>
      <c r="Y991" s="2">
        <v>3353.9489926123761</v>
      </c>
      <c r="Z991" s="2">
        <v>3116.4413571776531</v>
      </c>
      <c r="AA991" s="2">
        <v>3638.8041462775627</v>
      </c>
      <c r="AB991" s="2">
        <v>4401.874127040739</v>
      </c>
      <c r="AC991" s="2">
        <v>70.72247119313981</v>
      </c>
      <c r="AD991" s="2">
        <v>970.22509533283971</v>
      </c>
      <c r="AE991" s="2">
        <v>545.57747660266921</v>
      </c>
      <c r="AF991" s="2">
        <v>949.3041796390462</v>
      </c>
      <c r="AG991" s="2">
        <v>126.5735662280881</v>
      </c>
      <c r="AH991" s="2">
        <v>428.7279400272227</v>
      </c>
      <c r="AI991" s="2">
        <v>632244.4025509503</v>
      </c>
      <c r="AJ991" s="2">
        <v>604412.35053666087</v>
      </c>
      <c r="AL991" s="27">
        <v>0.91549245515347555</v>
      </c>
      <c r="AM991" s="27">
        <v>0.91653483151046089</v>
      </c>
      <c r="AN991" s="27">
        <v>0.90304329084602186</v>
      </c>
      <c r="AO991" s="27">
        <v>0.86333021237560303</v>
      </c>
      <c r="AP991" s="27">
        <v>0.74677715913174192</v>
      </c>
      <c r="AQ991" s="27">
        <v>0.91549245515347555</v>
      </c>
      <c r="AR991" s="27">
        <v>0.91653483151046089</v>
      </c>
      <c r="AS991" s="27">
        <v>0.90304329084602186</v>
      </c>
      <c r="AT991" s="27">
        <v>0.86333021237560303</v>
      </c>
      <c r="AU991" s="27">
        <v>0.74677715913174192</v>
      </c>
      <c r="AW991" s="1">
        <v>13.597674141142502</v>
      </c>
      <c r="AX991" s="1">
        <v>15.457271345963957</v>
      </c>
      <c r="AY991" s="2">
        <v>2347101.736939027</v>
      </c>
      <c r="AZ991" s="1">
        <v>15.395087495232367</v>
      </c>
      <c r="BA991" s="1">
        <v>17.263193398540491</v>
      </c>
      <c r="BB991" s="2">
        <v>1756821.0122548104</v>
      </c>
      <c r="BC991" s="2">
        <f t="shared" si="112"/>
        <v>-590280.72468421655</v>
      </c>
      <c r="BD991" s="292">
        <f t="shared" si="113"/>
        <v>1.7974133540898656</v>
      </c>
      <c r="BF991" s="170">
        <f t="shared" si="108"/>
        <v>-171473.87435622653</v>
      </c>
      <c r="BG991" s="2">
        <f t="shared" si="109"/>
        <v>706392.9869823684</v>
      </c>
      <c r="BI991">
        <f t="shared" si="110"/>
        <v>0</v>
      </c>
      <c r="BJ991" s="95">
        <f t="shared" si="111"/>
        <v>1</v>
      </c>
      <c r="BP991" s="217">
        <f t="shared" si="114"/>
        <v>706392.9869823684</v>
      </c>
    </row>
    <row r="992" spans="1:68">
      <c r="A992" s="11">
        <v>986</v>
      </c>
      <c r="C992" s="27">
        <v>0.91969032400269235</v>
      </c>
      <c r="D992" s="27">
        <v>8.030967599730765E-2</v>
      </c>
      <c r="E992" s="27">
        <v>0</v>
      </c>
      <c r="F992" s="27">
        <v>0.85915716148314392</v>
      </c>
      <c r="G992" s="27">
        <v>0.14084283851685606</v>
      </c>
      <c r="H992" s="27">
        <v>0</v>
      </c>
      <c r="I992" s="27">
        <v>0.75260520081303595</v>
      </c>
      <c r="J992" s="27">
        <v>0.24739479918696405</v>
      </c>
      <c r="K992" s="27">
        <v>0</v>
      </c>
      <c r="L992" s="27">
        <v>0.10991550927619664</v>
      </c>
      <c r="M992" s="27">
        <v>0.51362025483618956</v>
      </c>
      <c r="N992" s="27">
        <v>0.3764642358876138</v>
      </c>
      <c r="O992" s="27">
        <v>-11.434880090472584</v>
      </c>
      <c r="P992" s="27">
        <v>3.7482632102368851E-2</v>
      </c>
      <c r="Q992" s="27">
        <v>5.2190527650657833E-5</v>
      </c>
      <c r="R992" s="27">
        <v>1.0864458003533557</v>
      </c>
      <c r="S992" s="154"/>
      <c r="T992">
        <v>0.94003068069334172</v>
      </c>
      <c r="U992">
        <v>2.2080112785613877</v>
      </c>
      <c r="V992">
        <v>2.8797110577543243</v>
      </c>
      <c r="W992">
        <v>1</v>
      </c>
      <c r="Y992" s="2">
        <v>275.9553884418508</v>
      </c>
      <c r="Z992" s="2">
        <v>983.72590372863692</v>
      </c>
      <c r="AA992" s="2">
        <v>1235.4740784534958</v>
      </c>
      <c r="AB992" s="2">
        <v>10691.014371247837</v>
      </c>
      <c r="AC992" s="2">
        <v>1376.1867738321346</v>
      </c>
      <c r="AD992" s="2">
        <v>59.774306684430556</v>
      </c>
      <c r="AE992" s="2">
        <v>516.03768713442537</v>
      </c>
      <c r="AF992" s="2">
        <v>1195.5229533181155</v>
      </c>
      <c r="AG992" s="2">
        <v>141.19051833289129</v>
      </c>
      <c r="AH992" s="2">
        <v>540.43412073795298</v>
      </c>
      <c r="AI992" s="2">
        <v>533068.69531069149</v>
      </c>
      <c r="AJ992" s="2">
        <v>505064.9102248642</v>
      </c>
      <c r="AL992" s="27">
        <v>0.91208598650473083</v>
      </c>
      <c r="AM992" s="27">
        <v>0.9133585839792675</v>
      </c>
      <c r="AN992" s="27">
        <v>0.90798374262923454</v>
      </c>
      <c r="AO992" s="27">
        <v>0.86006917221351464</v>
      </c>
      <c r="AP992" s="27">
        <v>0.79402395463011599</v>
      </c>
      <c r="AQ992" s="27">
        <v>0.91208598650473083</v>
      </c>
      <c r="AR992" s="27">
        <v>0.9133585839792675</v>
      </c>
      <c r="AS992" s="27">
        <v>0.90798374262923454</v>
      </c>
      <c r="AT992" s="27">
        <v>0.86006917221351464</v>
      </c>
      <c r="AU992" s="27">
        <v>0.79402395463011599</v>
      </c>
      <c r="AW992" s="1">
        <v>13.939388649300261</v>
      </c>
      <c r="AX992" s="1">
        <v>15.735891035658634</v>
      </c>
      <c r="AY992" s="2">
        <v>2039027.4075055528</v>
      </c>
      <c r="AZ992" s="1">
        <v>15.506914317156419</v>
      </c>
      <c r="BA992" s="1">
        <v>17.337040761803184</v>
      </c>
      <c r="BB992" s="2">
        <v>1670965.5287628442</v>
      </c>
      <c r="BC992" s="2">
        <f t="shared" si="112"/>
        <v>-368061.87874270859</v>
      </c>
      <c r="BD992" s="292">
        <f t="shared" si="113"/>
        <v>1.5675256678561578</v>
      </c>
      <c r="BF992" s="170">
        <f t="shared" si="108"/>
        <v>191274.77638248913</v>
      </c>
      <c r="BG992" s="2">
        <f t="shared" si="109"/>
        <v>810140.76198218274</v>
      </c>
      <c r="BI992">
        <f t="shared" si="110"/>
        <v>0</v>
      </c>
      <c r="BJ992" s="95">
        <f t="shared" si="111"/>
        <v>1</v>
      </c>
      <c r="BP992" s="217">
        <f t="shared" si="114"/>
        <v>810140.76198218274</v>
      </c>
    </row>
    <row r="993" spans="1:68">
      <c r="A993" s="11">
        <v>987</v>
      </c>
      <c r="C993" s="27">
        <v>0.92591875368678989</v>
      </c>
      <c r="D993" s="27">
        <v>7.40812463132101E-2</v>
      </c>
      <c r="E993" s="27">
        <v>0</v>
      </c>
      <c r="F993" s="27">
        <v>0.8529109889142148</v>
      </c>
      <c r="G993" s="27">
        <v>0.1470890110857852</v>
      </c>
      <c r="H993" s="27">
        <v>0</v>
      </c>
      <c r="I993" s="27">
        <v>0.74790341394344861</v>
      </c>
      <c r="J993" s="27">
        <v>0.25209658605655139</v>
      </c>
      <c r="K993" s="27">
        <v>0</v>
      </c>
      <c r="L993" s="27">
        <v>0.11627329570322364</v>
      </c>
      <c r="M993" s="27">
        <v>0.49404908145072818</v>
      </c>
      <c r="N993" s="27">
        <v>0.38967762284604823</v>
      </c>
      <c r="O993" s="27">
        <v>-11.217714328925252</v>
      </c>
      <c r="P993" s="27">
        <v>3.610266120751128E-2</v>
      </c>
      <c r="Q993" s="27">
        <v>6.1197601633452371E-5</v>
      </c>
      <c r="R993" s="27">
        <v>1.0711778037639044</v>
      </c>
      <c r="S993" s="154"/>
      <c r="T993">
        <v>1.0095276999710945</v>
      </c>
      <c r="U993">
        <v>2.2187512485324432</v>
      </c>
      <c r="V993">
        <v>3.1661794252196462</v>
      </c>
      <c r="W993">
        <v>1</v>
      </c>
      <c r="Y993" s="2">
        <v>204.02668432330123</v>
      </c>
      <c r="Z993" s="2">
        <v>4131.0311877130289</v>
      </c>
      <c r="AA993" s="2">
        <v>39.072561221774258</v>
      </c>
      <c r="AB993" s="2">
        <v>984.13009479031609</v>
      </c>
      <c r="AC993" s="2">
        <v>445.02948601175882</v>
      </c>
      <c r="AD993" s="2">
        <v>2008.9205904130849</v>
      </c>
      <c r="AE993" s="2">
        <v>538.38209046708312</v>
      </c>
      <c r="AF993" s="2">
        <v>1019.7864431517655</v>
      </c>
      <c r="AG993" s="2">
        <v>161.7218324335997</v>
      </c>
      <c r="AH993" s="2">
        <v>443.40316335747497</v>
      </c>
      <c r="AI993" s="2">
        <v>514194.68704584264</v>
      </c>
      <c r="AJ993" s="2">
        <v>490999.15966379875</v>
      </c>
      <c r="AL993" s="27">
        <v>0.91633683746402372</v>
      </c>
      <c r="AM993" s="27">
        <v>0.91489595160622417</v>
      </c>
      <c r="AN993" s="27">
        <v>0.90346040650582471</v>
      </c>
      <c r="AO993" s="27">
        <v>0.89207310325920675</v>
      </c>
      <c r="AP993" s="27">
        <v>0.74771733394354123</v>
      </c>
      <c r="AQ993" s="27">
        <v>0.91633683746402372</v>
      </c>
      <c r="AR993" s="27">
        <v>0.91489595160622417</v>
      </c>
      <c r="AS993" s="27">
        <v>0.90346040650582471</v>
      </c>
      <c r="AT993" s="27">
        <v>0.89207310325920675</v>
      </c>
      <c r="AU993" s="27">
        <v>0.74771733394354123</v>
      </c>
      <c r="AW993" s="1">
        <v>13.691911644579179</v>
      </c>
      <c r="AX993" s="1">
        <v>15.549687829476609</v>
      </c>
      <c r="AY993" s="2">
        <v>1965089.6625143064</v>
      </c>
      <c r="AZ993" s="1">
        <v>15.477896875506945</v>
      </c>
      <c r="BA993" s="1">
        <v>17.343306288306071</v>
      </c>
      <c r="BB993" s="2">
        <v>1399534.6014886324</v>
      </c>
      <c r="BC993" s="2">
        <f t="shared" si="112"/>
        <v>-565555.06102567399</v>
      </c>
      <c r="BD993" s="292">
        <f t="shared" si="113"/>
        <v>1.785985230927766</v>
      </c>
      <c r="BF993" s="170">
        <f t="shared" si="108"/>
        <v>225616.20061836229</v>
      </c>
      <c r="BG993" s="2">
        <f t="shared" si="109"/>
        <v>1076928.8985924788</v>
      </c>
      <c r="BI993">
        <f t="shared" si="110"/>
        <v>0</v>
      </c>
      <c r="BJ993" s="95">
        <f t="shared" si="111"/>
        <v>1</v>
      </c>
      <c r="BP993" s="217">
        <f t="shared" si="114"/>
        <v>1076928.8985924788</v>
      </c>
    </row>
    <row r="994" spans="1:68">
      <c r="A994" s="11">
        <v>988</v>
      </c>
      <c r="C994" s="27">
        <v>0.92241860564889688</v>
      </c>
      <c r="D994" s="27">
        <v>7.7581394351103117E-2</v>
      </c>
      <c r="E994" s="27">
        <v>0</v>
      </c>
      <c r="F994" s="27">
        <v>0.8515264047778599</v>
      </c>
      <c r="G994" s="27">
        <v>0.1484735952221401</v>
      </c>
      <c r="H994" s="27">
        <v>0</v>
      </c>
      <c r="I994" s="27">
        <v>0.74684426503985601</v>
      </c>
      <c r="J994" s="27">
        <v>0.25315573496014399</v>
      </c>
      <c r="K994" s="27">
        <v>0</v>
      </c>
      <c r="L994" s="27">
        <v>0.12689843359144726</v>
      </c>
      <c r="M994" s="27">
        <v>0.50357261159175026</v>
      </c>
      <c r="N994" s="27">
        <v>0.36952895481680248</v>
      </c>
      <c r="O994" s="27">
        <v>-11.035867350629907</v>
      </c>
      <c r="P994" s="27">
        <v>3.3857162830869252E-2</v>
      </c>
      <c r="Q994" s="27">
        <v>6.6796056624375181E-5</v>
      </c>
      <c r="R994" s="27">
        <v>1.0691008605100079</v>
      </c>
      <c r="S994" s="154"/>
      <c r="T994">
        <v>1.0594098998578658</v>
      </c>
      <c r="U994">
        <v>2.2872517233114005</v>
      </c>
      <c r="V994">
        <v>3.0532690121460027</v>
      </c>
      <c r="W994">
        <v>1</v>
      </c>
      <c r="Y994" s="2">
        <v>36.575679676932126</v>
      </c>
      <c r="Z994" s="2">
        <v>9247.7232005869191</v>
      </c>
      <c r="AA994" s="2">
        <v>71.413974478201567</v>
      </c>
      <c r="AB994" s="2">
        <v>10994.658946717162</v>
      </c>
      <c r="AC994" s="2">
        <v>75.692218441146665</v>
      </c>
      <c r="AD994" s="2">
        <v>188.3488447150996</v>
      </c>
      <c r="AE994" s="2">
        <v>562.45821249908397</v>
      </c>
      <c r="AF994" s="2">
        <v>896.06807019705843</v>
      </c>
      <c r="AG994" s="2">
        <v>95.91363149727421</v>
      </c>
      <c r="AH994" s="2">
        <v>605.87269629281855</v>
      </c>
      <c r="AI994" s="2">
        <v>861144.08874847833</v>
      </c>
      <c r="AJ994" s="2">
        <v>824544.06329329778</v>
      </c>
      <c r="AL994" s="27">
        <v>0.91476168477770881</v>
      </c>
      <c r="AM994" s="27">
        <v>0.91814592703591891</v>
      </c>
      <c r="AN994" s="27">
        <v>0.90363951011322186</v>
      </c>
      <c r="AO994" s="27">
        <v>0.88160412282590994</v>
      </c>
      <c r="AP994" s="27">
        <v>0.77164492722359657</v>
      </c>
      <c r="AQ994" s="27">
        <v>0.91476168477770881</v>
      </c>
      <c r="AR994" s="27">
        <v>0.91814592703591891</v>
      </c>
      <c r="AS994" s="27">
        <v>0.90363951011322186</v>
      </c>
      <c r="AT994" s="27">
        <v>0.88160412282590994</v>
      </c>
      <c r="AU994" s="27">
        <v>0.77164492722359657</v>
      </c>
      <c r="AW994" s="1">
        <v>13.477330359804979</v>
      </c>
      <c r="AX994" s="1">
        <v>15.27840322579627</v>
      </c>
      <c r="AY994" s="2">
        <v>3476705.9675256494</v>
      </c>
      <c r="AZ994" s="1">
        <v>15.430419109296761</v>
      </c>
      <c r="BA994" s="1">
        <v>17.255074767279233</v>
      </c>
      <c r="BB994" s="2">
        <v>2510224.8839357039</v>
      </c>
      <c r="BC994" s="2">
        <f t="shared" si="112"/>
        <v>-966481.08358994545</v>
      </c>
      <c r="BD994" s="292">
        <f t="shared" si="113"/>
        <v>1.9530887494917817</v>
      </c>
      <c r="BF994" s="170">
        <f t="shared" si="108"/>
        <v>-1320333.1099568526</v>
      </c>
      <c r="BG994" s="2">
        <f t="shared" si="109"/>
        <v>-41357.826448222157</v>
      </c>
      <c r="BI994">
        <f t="shared" si="110"/>
        <v>0</v>
      </c>
      <c r="BJ994" s="95">
        <f t="shared" si="111"/>
        <v>1</v>
      </c>
      <c r="BP994" s="217">
        <f t="shared" si="114"/>
        <v>-41357.826448222157</v>
      </c>
    </row>
    <row r="995" spans="1:68">
      <c r="A995" s="11">
        <v>989</v>
      </c>
      <c r="C995" s="27">
        <v>0.92697395100256719</v>
      </c>
      <c r="D995" s="27">
        <v>7.3026048997432869E-2</v>
      </c>
      <c r="E995" s="27">
        <v>0</v>
      </c>
      <c r="F995" s="27">
        <v>0.85799944072842504</v>
      </c>
      <c r="G995" s="27">
        <v>0.1420005592715749</v>
      </c>
      <c r="H995" s="27">
        <v>0</v>
      </c>
      <c r="I995" s="27">
        <v>0.75014011442921469</v>
      </c>
      <c r="J995" s="27">
        <v>0.24985988557078528</v>
      </c>
      <c r="K995" s="27">
        <v>0</v>
      </c>
      <c r="L995" s="27">
        <v>0.15605462417933647</v>
      </c>
      <c r="M995" s="27">
        <v>0.47865836335430456</v>
      </c>
      <c r="N995" s="27">
        <v>0.36528701246635897</v>
      </c>
      <c r="O995" s="27">
        <v>-11.160904784731549</v>
      </c>
      <c r="P995" s="27">
        <v>3.4706096753920508E-2</v>
      </c>
      <c r="Q995" s="27">
        <v>6.1084725120645115E-5</v>
      </c>
      <c r="R995" s="27">
        <v>1.072858474390388</v>
      </c>
      <c r="S995" s="154"/>
      <c r="T995">
        <v>1.0121376189121778</v>
      </c>
      <c r="U995">
        <v>2.1944205540633548</v>
      </c>
      <c r="V995">
        <v>3.1669233415527103</v>
      </c>
      <c r="W995">
        <v>1</v>
      </c>
      <c r="Y995" s="2">
        <v>132.45926787264818</v>
      </c>
      <c r="Z995" s="2">
        <v>1861.3647632758652</v>
      </c>
      <c r="AA995" s="2">
        <v>2458.531299478354</v>
      </c>
      <c r="AB995" s="2">
        <v>499.1381052454721</v>
      </c>
      <c r="AC995" s="2">
        <v>5292.9434919907926</v>
      </c>
      <c r="AD995" s="2">
        <v>137.89844428351986</v>
      </c>
      <c r="AE995" s="2">
        <v>653.19059659438619</v>
      </c>
      <c r="AF995" s="2">
        <v>816.70495157448272</v>
      </c>
      <c r="AG995" s="2">
        <v>161.45929401258954</v>
      </c>
      <c r="AH995" s="2">
        <v>361.22204571030903</v>
      </c>
      <c r="AI995" s="2">
        <v>496198.78798299679</v>
      </c>
      <c r="AJ995" s="2">
        <v>465874.59622092976</v>
      </c>
      <c r="AL995" s="27">
        <v>0.91947292846328676</v>
      </c>
      <c r="AM995" s="27">
        <v>0.92067339342969623</v>
      </c>
      <c r="AN995" s="27">
        <v>0.90963814974866408</v>
      </c>
      <c r="AO995" s="27">
        <v>0.82446082940954946</v>
      </c>
      <c r="AP995" s="27">
        <v>0.68195553858580982</v>
      </c>
      <c r="AQ995" s="27">
        <v>0.91947292846328676</v>
      </c>
      <c r="AR995" s="27">
        <v>0.92067339342969623</v>
      </c>
      <c r="AS995" s="27">
        <v>0.90963814974866408</v>
      </c>
      <c r="AT995" s="27">
        <v>0.82446082940954946</v>
      </c>
      <c r="AU995" s="27">
        <v>0.68195553858580982</v>
      </c>
      <c r="AW995" s="1">
        <v>13.612497445277857</v>
      </c>
      <c r="AX995" s="1">
        <v>15.682234530226792</v>
      </c>
      <c r="AY995" s="2">
        <v>1891358.2123021593</v>
      </c>
      <c r="AZ995" s="1">
        <v>15.477975778678267</v>
      </c>
      <c r="BA995" s="1">
        <v>17.463835759595849</v>
      </c>
      <c r="BB995" s="2">
        <v>1308590.2134799236</v>
      </c>
      <c r="BC995" s="2">
        <f t="shared" si="112"/>
        <v>-582767.99882223574</v>
      </c>
      <c r="BD995" s="292">
        <f t="shared" si="113"/>
        <v>1.8654783334004108</v>
      </c>
      <c r="BF995" s="170">
        <f t="shared" si="108"/>
        <v>286641.378942298</v>
      </c>
      <c r="BG995" s="2">
        <f t="shared" si="109"/>
        <v>1167885.911108599</v>
      </c>
      <c r="BI995">
        <f t="shared" si="110"/>
        <v>0</v>
      </c>
      <c r="BJ995" s="95">
        <f t="shared" si="111"/>
        <v>1</v>
      </c>
      <c r="BP995" s="217">
        <f t="shared" si="114"/>
        <v>1167885.911108599</v>
      </c>
    </row>
    <row r="996" spans="1:68">
      <c r="A996" s="11">
        <v>990</v>
      </c>
      <c r="C996" s="27">
        <v>0.92594510219067727</v>
      </c>
      <c r="D996" s="27">
        <v>7.4054897809322687E-2</v>
      </c>
      <c r="E996" s="27">
        <v>0</v>
      </c>
      <c r="F996" s="27">
        <v>0.85802518708737252</v>
      </c>
      <c r="G996" s="27">
        <v>0.14197481291262751</v>
      </c>
      <c r="H996" s="27">
        <v>0</v>
      </c>
      <c r="I996" s="27">
        <v>0.75030766528817361</v>
      </c>
      <c r="J996" s="27">
        <v>0.24969233471182636</v>
      </c>
      <c r="K996" s="27">
        <v>0</v>
      </c>
      <c r="L996" s="27">
        <v>8.6902883855785595E-2</v>
      </c>
      <c r="M996" s="27">
        <v>0.50253483627657725</v>
      </c>
      <c r="N996" s="27">
        <v>0.41056227986763716</v>
      </c>
      <c r="O996" s="27">
        <v>-11.095047970772235</v>
      </c>
      <c r="P996" s="27">
        <v>3.1963958255500712E-2</v>
      </c>
      <c r="Q996" s="27">
        <v>5.8145520003413647E-5</v>
      </c>
      <c r="R996" s="27">
        <v>1.0858913062301347</v>
      </c>
      <c r="S996" s="154"/>
      <c r="T996">
        <v>1.100260110598299</v>
      </c>
      <c r="U996">
        <v>2.2318152173744448</v>
      </c>
      <c r="V996">
        <v>3.1561125752405292</v>
      </c>
      <c r="W996">
        <v>1</v>
      </c>
      <c r="Y996" s="2">
        <v>230.24613585490295</v>
      </c>
      <c r="Z996" s="2">
        <v>4240.0805260050083</v>
      </c>
      <c r="AA996" s="2">
        <v>816.9987413671646</v>
      </c>
      <c r="AB996" s="2">
        <v>4162.2525943272767</v>
      </c>
      <c r="AC996" s="2">
        <v>96.559621941912667</v>
      </c>
      <c r="AD996" s="2">
        <v>766.59747538134536</v>
      </c>
      <c r="AE996" s="2">
        <v>662.04461508006307</v>
      </c>
      <c r="AF996" s="2">
        <v>945.08595124583815</v>
      </c>
      <c r="AG996" s="2">
        <v>170.96938717845958</v>
      </c>
      <c r="AH996" s="2">
        <v>256.67574613039108</v>
      </c>
      <c r="AI996" s="2">
        <v>465877.19617129548</v>
      </c>
      <c r="AJ996" s="2">
        <v>440668.87923345383</v>
      </c>
      <c r="AL996" s="27">
        <v>0.92011678669901131</v>
      </c>
      <c r="AM996" s="27">
        <v>0.90944971635834848</v>
      </c>
      <c r="AN996" s="27">
        <v>0.90869730464184795</v>
      </c>
      <c r="AO996" s="27">
        <v>0.86109857866349737</v>
      </c>
      <c r="AP996" s="27">
        <v>0.60258712714087959</v>
      </c>
      <c r="AQ996" s="27">
        <v>0.92011678669901131</v>
      </c>
      <c r="AR996" s="27">
        <v>0.90944971635834848</v>
      </c>
      <c r="AS996" s="27">
        <v>0.90869730464184795</v>
      </c>
      <c r="AT996" s="27">
        <v>0.86109857866349737</v>
      </c>
      <c r="AU996" s="27">
        <v>0.60258712714087959</v>
      </c>
      <c r="AW996" s="1">
        <v>12.906107134639427</v>
      </c>
      <c r="AX996" s="1">
        <v>15.169809897822008</v>
      </c>
      <c r="AY996" s="2">
        <v>1742952.2552848328</v>
      </c>
      <c r="AZ996" s="1">
        <v>15.157639651903995</v>
      </c>
      <c r="BA996" s="1">
        <v>17.29039799906127</v>
      </c>
      <c r="BB996" s="2">
        <v>1231975.133197445</v>
      </c>
      <c r="BC996" s="2">
        <f t="shared" si="112"/>
        <v>-510977.12208738783</v>
      </c>
      <c r="BD996" s="292">
        <f t="shared" si="113"/>
        <v>2.2515325172645682</v>
      </c>
      <c r="BF996" s="170">
        <f t="shared" si="108"/>
        <v>322024.88625747547</v>
      </c>
      <c r="BG996" s="2">
        <f t="shared" si="109"/>
        <v>1193247.2111071944</v>
      </c>
      <c r="BI996">
        <f t="shared" si="110"/>
        <v>0</v>
      </c>
      <c r="BJ996" s="95">
        <f t="shared" si="111"/>
        <v>1</v>
      </c>
      <c r="BP996" s="217">
        <f t="shared" si="114"/>
        <v>1193247.2111071944</v>
      </c>
    </row>
    <row r="997" spans="1:68">
      <c r="A997" s="11">
        <v>991</v>
      </c>
      <c r="C997" s="27">
        <v>0.92250603306664536</v>
      </c>
      <c r="D997" s="27">
        <v>7.7493966933354641E-2</v>
      </c>
      <c r="E997" s="27">
        <v>0</v>
      </c>
      <c r="F997" s="27">
        <v>0.85387884921768265</v>
      </c>
      <c r="G997" s="27">
        <v>0.14612115078231735</v>
      </c>
      <c r="H997" s="27">
        <v>0</v>
      </c>
      <c r="I997" s="27">
        <v>0.74549068288068965</v>
      </c>
      <c r="J997" s="27">
        <v>0.25450931711931035</v>
      </c>
      <c r="K997" s="27">
        <v>0</v>
      </c>
      <c r="L997" s="27">
        <v>6.3702339522686002E-2</v>
      </c>
      <c r="M997" s="27">
        <v>0.50077383733909797</v>
      </c>
      <c r="N997" s="27">
        <v>0.43552382313821603</v>
      </c>
      <c r="O997" s="27">
        <v>-11.212691412818359</v>
      </c>
      <c r="P997" s="27">
        <v>3.4453058445084499E-2</v>
      </c>
      <c r="Q997" s="27">
        <v>5.7388710330295418E-5</v>
      </c>
      <c r="R997" s="27">
        <v>1.0736775913621521</v>
      </c>
      <c r="S997" s="154"/>
      <c r="T997">
        <v>1.0333448736913926</v>
      </c>
      <c r="U997">
        <v>2.2116820221956384</v>
      </c>
      <c r="V997">
        <v>3.1787141205323617</v>
      </c>
      <c r="W997">
        <v>1</v>
      </c>
      <c r="Y997" s="2">
        <v>719.7795485575806</v>
      </c>
      <c r="Z997" s="2">
        <v>1026.3871137646274</v>
      </c>
      <c r="AA997" s="2">
        <v>2026.0600502596733</v>
      </c>
      <c r="AB997" s="2">
        <v>3940.3824841542946</v>
      </c>
      <c r="AC997" s="2">
        <v>775.38398343368465</v>
      </c>
      <c r="AD997" s="2">
        <v>313.52477854019475</v>
      </c>
      <c r="AE997" s="2">
        <v>603.83861367624615</v>
      </c>
      <c r="AF997" s="2">
        <v>1116.1334526990615</v>
      </c>
      <c r="AG997" s="2">
        <v>109.64196174613517</v>
      </c>
      <c r="AH997" s="2">
        <v>596.050910739394</v>
      </c>
      <c r="AI997" s="2">
        <v>716375.71830476262</v>
      </c>
      <c r="AJ997" s="2">
        <v>673432.54815932864</v>
      </c>
      <c r="AL997" s="27">
        <v>0.91877708772802136</v>
      </c>
      <c r="AM997" s="27">
        <v>0.91407109664601582</v>
      </c>
      <c r="AN997" s="27">
        <v>0.90296349718195978</v>
      </c>
      <c r="AO997" s="27">
        <v>0.86409337771759143</v>
      </c>
      <c r="AP997" s="27">
        <v>0.736065664280525</v>
      </c>
      <c r="AQ997" s="27">
        <v>0.91877708772802136</v>
      </c>
      <c r="AR997" s="27">
        <v>0.91407109664601582</v>
      </c>
      <c r="AS997" s="27">
        <v>0.90296349718195978</v>
      </c>
      <c r="AT997" s="27">
        <v>0.86409337771759143</v>
      </c>
      <c r="AU997" s="27">
        <v>0.736065664280525</v>
      </c>
      <c r="AW997" s="1">
        <v>13.368565162648041</v>
      </c>
      <c r="AX997" s="1">
        <v>15.23733793042868</v>
      </c>
      <c r="AY997" s="2">
        <v>2656461.8725535753</v>
      </c>
      <c r="AZ997" s="1">
        <v>15.294208179157632</v>
      </c>
      <c r="BA997" s="1">
        <v>17.163956842168709</v>
      </c>
      <c r="BB997" s="2">
        <v>1945472.2268942762</v>
      </c>
      <c r="BC997" s="2">
        <f t="shared" si="112"/>
        <v>-710989.6456592991</v>
      </c>
      <c r="BD997" s="292">
        <f t="shared" si="113"/>
        <v>1.925643016509591</v>
      </c>
      <c r="BF997" s="170">
        <f t="shared" si="108"/>
        <v>-517491.44652988855</v>
      </c>
      <c r="BG997" s="2">
        <f t="shared" si="109"/>
        <v>501601.08177094487</v>
      </c>
      <c r="BI997">
        <f t="shared" si="110"/>
        <v>0</v>
      </c>
      <c r="BJ997" s="95">
        <f t="shared" si="111"/>
        <v>1</v>
      </c>
      <c r="BP997" s="217">
        <f t="shared" si="114"/>
        <v>501601.08177094487</v>
      </c>
    </row>
    <row r="998" spans="1:68">
      <c r="A998" s="11">
        <v>992</v>
      </c>
      <c r="C998" s="27">
        <v>0.92275632913347116</v>
      </c>
      <c r="D998" s="27">
        <v>7.7243670866528835E-2</v>
      </c>
      <c r="E998" s="27">
        <v>0</v>
      </c>
      <c r="F998" s="27">
        <v>0.85852805325410697</v>
      </c>
      <c r="G998" s="27">
        <v>0.14147194674589306</v>
      </c>
      <c r="H998" s="27">
        <v>0</v>
      </c>
      <c r="I998" s="27">
        <v>0.74468266985643472</v>
      </c>
      <c r="J998" s="27">
        <v>0.25531733014356528</v>
      </c>
      <c r="K998" s="27">
        <v>0</v>
      </c>
      <c r="L998" s="27">
        <v>5.1587317879597472E-2</v>
      </c>
      <c r="M998" s="27">
        <v>0.53883762296888449</v>
      </c>
      <c r="N998" s="27">
        <v>0.40957505915151804</v>
      </c>
      <c r="O998" s="27">
        <v>-11.226330845849391</v>
      </c>
      <c r="P998" s="27">
        <v>3.4366777581392026E-2</v>
      </c>
      <c r="Q998" s="27">
        <v>5.6406498332790372E-5</v>
      </c>
      <c r="R998" s="27">
        <v>1.0842433353700776</v>
      </c>
      <c r="S998" s="154"/>
      <c r="T998">
        <v>0.94378627201623333</v>
      </c>
      <c r="U998">
        <v>2.3280005826409487</v>
      </c>
      <c r="V998">
        <v>3.1255736092394035</v>
      </c>
      <c r="W998">
        <v>1</v>
      </c>
      <c r="Y998" s="2">
        <v>338.17277665003041</v>
      </c>
      <c r="Z998" s="2">
        <v>1105.8147928895169</v>
      </c>
      <c r="AA998" s="2">
        <v>129.15433723658867</v>
      </c>
      <c r="AB998" s="2">
        <v>5568.7230305707853</v>
      </c>
      <c r="AC998" s="2">
        <v>75.395671256975149</v>
      </c>
      <c r="AD998" s="2">
        <v>523.76352214183726</v>
      </c>
      <c r="AE998" s="2">
        <v>575.59678169328993</v>
      </c>
      <c r="AF998" s="2">
        <v>1199.1912182427543</v>
      </c>
      <c r="AG998" s="2">
        <v>126.8521326980873</v>
      </c>
      <c r="AH998" s="2">
        <v>371.53337039956619</v>
      </c>
      <c r="AI998" s="2">
        <v>452786.05175513768</v>
      </c>
      <c r="AJ998" s="2">
        <v>412271.24130470288</v>
      </c>
      <c r="AL998" s="27">
        <v>0.92346891584862423</v>
      </c>
      <c r="AM998" s="27">
        <v>0.90852345157474723</v>
      </c>
      <c r="AN998" s="27">
        <v>0.90205689602504069</v>
      </c>
      <c r="AO998" s="27">
        <v>0.84141354886940223</v>
      </c>
      <c r="AP998" s="27">
        <v>0.70618589979215962</v>
      </c>
      <c r="AQ998" s="27">
        <v>0.92346891584862423</v>
      </c>
      <c r="AR998" s="27">
        <v>0.90852345157474723</v>
      </c>
      <c r="AS998" s="27">
        <v>0.90205689602504069</v>
      </c>
      <c r="AT998" s="27">
        <v>0.84141354886940223</v>
      </c>
      <c r="AU998" s="27">
        <v>0.70618589979215962</v>
      </c>
      <c r="AW998" s="1">
        <v>13.624990253163856</v>
      </c>
      <c r="AX998" s="1">
        <v>15.586121034933084</v>
      </c>
      <c r="AY998" s="2">
        <v>1605890.6766953105</v>
      </c>
      <c r="AZ998" s="1">
        <v>15.335805575093122</v>
      </c>
      <c r="BA998" s="1">
        <v>17.281171683190227</v>
      </c>
      <c r="BB998" s="2">
        <v>1259332.7926257614</v>
      </c>
      <c r="BC998" s="2">
        <f t="shared" si="112"/>
        <v>-346557.88406954915</v>
      </c>
      <c r="BD998" s="292">
        <f t="shared" si="113"/>
        <v>1.7108153219292657</v>
      </c>
      <c r="BF998" s="170">
        <f t="shared" si="108"/>
        <v>574107.76381090656</v>
      </c>
      <c r="BG998" s="2">
        <f t="shared" si="109"/>
        <v>1194396.0993891384</v>
      </c>
      <c r="BI998">
        <f t="shared" si="110"/>
        <v>0</v>
      </c>
      <c r="BJ998" s="95">
        <f t="shared" si="111"/>
        <v>1</v>
      </c>
      <c r="BP998" s="217">
        <f t="shared" si="114"/>
        <v>1194396.0993891384</v>
      </c>
    </row>
    <row r="999" spans="1:68">
      <c r="A999" s="11">
        <v>993</v>
      </c>
      <c r="C999" s="27">
        <v>0.92329345512166472</v>
      </c>
      <c r="D999" s="27">
        <v>7.6706544878335323E-2</v>
      </c>
      <c r="E999" s="27">
        <v>0</v>
      </c>
      <c r="F999" s="27">
        <v>0.84876195791067566</v>
      </c>
      <c r="G999" s="27">
        <v>0.15123804208932434</v>
      </c>
      <c r="H999" s="27">
        <v>0</v>
      </c>
      <c r="I999" s="27">
        <v>0.75939489091078038</v>
      </c>
      <c r="J999" s="27">
        <v>0.24060510908921959</v>
      </c>
      <c r="K999" s="27">
        <v>0</v>
      </c>
      <c r="L999" s="27">
        <v>0.22429439882511137</v>
      </c>
      <c r="M999" s="27">
        <v>0.44891541218590242</v>
      </c>
      <c r="N999" s="27">
        <v>0.32679018898898615</v>
      </c>
      <c r="O999" s="27">
        <v>-10.993155052603012</v>
      </c>
      <c r="P999" s="27">
        <v>3.5303050537293067E-2</v>
      </c>
      <c r="Q999" s="27">
        <v>7.407540996684732E-5</v>
      </c>
      <c r="R999" s="27">
        <v>1.0503068936468964</v>
      </c>
      <c r="S999" s="154"/>
      <c r="T999">
        <v>0.86272258302644877</v>
      </c>
      <c r="U999">
        <v>2.2891373981157201</v>
      </c>
      <c r="V999">
        <v>3.0003041134941015</v>
      </c>
      <c r="W999">
        <v>1</v>
      </c>
      <c r="Y999" s="2">
        <v>402.40453429709532</v>
      </c>
      <c r="Z999" s="2">
        <v>3216.8034010567571</v>
      </c>
      <c r="AA999" s="2">
        <v>6027.9548238481448</v>
      </c>
      <c r="AB999" s="2">
        <v>2276.0152107675303</v>
      </c>
      <c r="AC999" s="2">
        <v>137.72506361185575</v>
      </c>
      <c r="AD999" s="2">
        <v>209.33641250421633</v>
      </c>
      <c r="AE999" s="2">
        <v>566.36813447016721</v>
      </c>
      <c r="AF999" s="2">
        <v>898.28409031705564</v>
      </c>
      <c r="AG999" s="2">
        <v>77.693118327509708</v>
      </c>
      <c r="AH999" s="2">
        <v>379.82638368235291</v>
      </c>
      <c r="AI999" s="2">
        <v>510939.39611779299</v>
      </c>
      <c r="AJ999" s="2">
        <v>483036.596835459</v>
      </c>
      <c r="AL999" s="27">
        <v>0.91038728671716118</v>
      </c>
      <c r="AM999" s="27">
        <v>0.91049378044011242</v>
      </c>
      <c r="AN999" s="27">
        <v>0.9024565847788163</v>
      </c>
      <c r="AO999" s="27">
        <v>0.90072916959999794</v>
      </c>
      <c r="AP999" s="27">
        <v>0.77073692635327329</v>
      </c>
      <c r="AQ999" s="27">
        <v>0.91038728671716118</v>
      </c>
      <c r="AR999" s="27">
        <v>0.91049378044011242</v>
      </c>
      <c r="AS999" s="27">
        <v>0.9024565847788163</v>
      </c>
      <c r="AT999" s="27">
        <v>0.90072916959999794</v>
      </c>
      <c r="AU999" s="27">
        <v>0.77073692635327329</v>
      </c>
      <c r="AW999" s="1">
        <v>14.182992319040798</v>
      </c>
      <c r="AX999" s="1">
        <v>16.060034875470006</v>
      </c>
      <c r="AY999" s="2">
        <v>1866326.4532875752</v>
      </c>
      <c r="AZ999" s="1">
        <v>15.505606183807718</v>
      </c>
      <c r="BA999" s="1">
        <v>17.41075511314774</v>
      </c>
      <c r="BB999" s="2">
        <v>1529015.2299376465</v>
      </c>
      <c r="BC999" s="2">
        <f t="shared" si="112"/>
        <v>-337311.22334992862</v>
      </c>
      <c r="BD999" s="292">
        <f t="shared" si="113"/>
        <v>1.3226138647669199</v>
      </c>
      <c r="BF999" s="170">
        <f t="shared" si="108"/>
        <v>402952.3177589525</v>
      </c>
      <c r="BG999" s="2">
        <f t="shared" si="109"/>
        <v>951881.7594715883</v>
      </c>
      <c r="BI999">
        <f t="shared" si="110"/>
        <v>0</v>
      </c>
      <c r="BJ999" s="95">
        <f t="shared" si="111"/>
        <v>1</v>
      </c>
      <c r="BP999" s="217">
        <f t="shared" si="114"/>
        <v>951881.7594715883</v>
      </c>
    </row>
    <row r="1000" spans="1:68">
      <c r="A1000" s="11">
        <v>994</v>
      </c>
      <c r="C1000" s="27">
        <v>0.92463950352322877</v>
      </c>
      <c r="D1000" s="27">
        <v>7.5360496476771233E-2</v>
      </c>
      <c r="E1000" s="27">
        <v>0</v>
      </c>
      <c r="F1000" s="27">
        <v>0.85501654441933661</v>
      </c>
      <c r="G1000" s="27">
        <v>0.14498345558066339</v>
      </c>
      <c r="H1000" s="27">
        <v>0</v>
      </c>
      <c r="I1000" s="27">
        <v>0.75753933216253455</v>
      </c>
      <c r="J1000" s="27">
        <v>0.24246066783746545</v>
      </c>
      <c r="K1000" s="27">
        <v>0</v>
      </c>
      <c r="L1000" s="27">
        <v>5.8043007265501823E-2</v>
      </c>
      <c r="M1000" s="27">
        <v>0.57703108796952529</v>
      </c>
      <c r="N1000" s="27">
        <v>0.36492590476497289</v>
      </c>
      <c r="O1000" s="27">
        <v>-11.092390402111842</v>
      </c>
      <c r="P1000" s="27">
        <v>3.3792787423631614E-2</v>
      </c>
      <c r="Q1000" s="27">
        <v>6.295481379142839E-5</v>
      </c>
      <c r="R1000" s="27">
        <v>1.0742955013974409</v>
      </c>
      <c r="S1000" s="154"/>
      <c r="T1000">
        <v>0.9398482222046266</v>
      </c>
      <c r="U1000">
        <v>2.2685194470203989</v>
      </c>
      <c r="V1000">
        <v>3.0938522851925883</v>
      </c>
      <c r="W1000">
        <v>1</v>
      </c>
      <c r="Y1000" s="2">
        <v>352.68318356962004</v>
      </c>
      <c r="Z1000" s="2">
        <v>2817.168742053997</v>
      </c>
      <c r="AA1000" s="2">
        <v>331.26655492905888</v>
      </c>
      <c r="AB1000" s="2">
        <v>574.29846777469277</v>
      </c>
      <c r="AC1000" s="2">
        <v>174.5812471803128</v>
      </c>
      <c r="AD1000" s="2">
        <v>145.72362701297772</v>
      </c>
      <c r="AE1000" s="2">
        <v>569.53252003262696</v>
      </c>
      <c r="AF1000" s="2">
        <v>956.60686097921712</v>
      </c>
      <c r="AG1000" s="2">
        <v>67.831405270977598</v>
      </c>
      <c r="AH1000" s="2">
        <v>190.91108487963228</v>
      </c>
      <c r="AI1000" s="2">
        <v>463162.20776266494</v>
      </c>
      <c r="AJ1000" s="2">
        <v>428928.60849577805</v>
      </c>
      <c r="AL1000" s="27">
        <v>0.92085989120483647</v>
      </c>
      <c r="AM1000" s="27">
        <v>0.92086425157058849</v>
      </c>
      <c r="AN1000" s="27">
        <v>0.90432805948800266</v>
      </c>
      <c r="AO1000" s="27">
        <v>0.79904987628916258</v>
      </c>
      <c r="AP1000" s="27">
        <v>0.54219355550016013</v>
      </c>
      <c r="AQ1000" s="27">
        <v>0.92085989120483647</v>
      </c>
      <c r="AR1000" s="27">
        <v>0.92086425157058849</v>
      </c>
      <c r="AS1000" s="27">
        <v>0.90432805948800266</v>
      </c>
      <c r="AT1000" s="27">
        <v>0.79904987628916258</v>
      </c>
      <c r="AU1000" s="27">
        <v>0.54219355550016013</v>
      </c>
      <c r="AW1000" s="1">
        <v>13.338859994813557</v>
      </c>
      <c r="AX1000" s="1">
        <v>15.924254233598671</v>
      </c>
      <c r="AY1000" s="2">
        <v>1777547.664329849</v>
      </c>
      <c r="AZ1000" s="1">
        <v>15.1362128706308</v>
      </c>
      <c r="BA1000" s="1">
        <v>17.510918296007493</v>
      </c>
      <c r="BB1000" s="2">
        <v>1277401.7463412117</v>
      </c>
      <c r="BC1000" s="2">
        <f t="shared" si="112"/>
        <v>-500145.91798863723</v>
      </c>
      <c r="BD1000" s="292">
        <f t="shared" si="113"/>
        <v>1.7973528758172428</v>
      </c>
      <c r="BF1000" s="170">
        <f t="shared" si="108"/>
        <v>356669.93484032038</v>
      </c>
      <c r="BG1000" s="2">
        <f t="shared" si="109"/>
        <v>1144392.3129597162</v>
      </c>
      <c r="BI1000">
        <f t="shared" si="110"/>
        <v>0</v>
      </c>
      <c r="BJ1000" s="95">
        <f t="shared" si="111"/>
        <v>1</v>
      </c>
      <c r="BP1000" s="217">
        <f t="shared" si="114"/>
        <v>1144392.3129597162</v>
      </c>
    </row>
    <row r="1001" spans="1:68">
      <c r="A1001" s="11">
        <v>995</v>
      </c>
      <c r="C1001" s="27">
        <v>0.92330195959245343</v>
      </c>
      <c r="D1001" s="27">
        <v>7.6698040407546603E-2</v>
      </c>
      <c r="E1001" s="27">
        <v>0</v>
      </c>
      <c r="F1001" s="27">
        <v>0.85514621343257147</v>
      </c>
      <c r="G1001" s="27">
        <v>0.14485378656742853</v>
      </c>
      <c r="H1001" s="27">
        <v>0</v>
      </c>
      <c r="I1001" s="27">
        <v>0.75136483526825359</v>
      </c>
      <c r="J1001" s="27">
        <v>0.24863516473174643</v>
      </c>
      <c r="K1001" s="27">
        <v>0</v>
      </c>
      <c r="L1001" s="27">
        <v>7.2232990524802865E-2</v>
      </c>
      <c r="M1001" s="27">
        <v>0.58255862571906314</v>
      </c>
      <c r="N1001" s="27">
        <v>0.345208383756134</v>
      </c>
      <c r="O1001" s="27">
        <v>-11.195585727518839</v>
      </c>
      <c r="P1001" s="27">
        <v>3.8903828529988263E-2</v>
      </c>
      <c r="Q1001" s="27">
        <v>7.0378345865032329E-5</v>
      </c>
      <c r="R1001" s="27">
        <v>1.0485355059458241</v>
      </c>
      <c r="S1001" s="154"/>
      <c r="T1001">
        <v>1.1120475941808885</v>
      </c>
      <c r="U1001">
        <v>2.1971249948924805</v>
      </c>
      <c r="V1001">
        <v>3.1443160147371838</v>
      </c>
      <c r="W1001">
        <v>1</v>
      </c>
      <c r="Y1001" s="2">
        <v>1686.5856117056276</v>
      </c>
      <c r="Z1001" s="2">
        <v>1768.242631266168</v>
      </c>
      <c r="AA1001" s="2">
        <v>387.08088009797638</v>
      </c>
      <c r="AB1001" s="2">
        <v>81.795048512398836</v>
      </c>
      <c r="AC1001" s="2">
        <v>1686.6782419274041</v>
      </c>
      <c r="AD1001" s="2">
        <v>1371.6504992682308</v>
      </c>
      <c r="AE1001" s="2">
        <v>566.68857539632791</v>
      </c>
      <c r="AF1001" s="2">
        <v>1113.3994411461047</v>
      </c>
      <c r="AG1001" s="2">
        <v>87.454107266324826</v>
      </c>
      <c r="AH1001" s="2">
        <v>490.50482105293378</v>
      </c>
      <c r="AI1001" s="2">
        <v>450085.63146240561</v>
      </c>
      <c r="AJ1001" s="2">
        <v>411919.23327485175</v>
      </c>
      <c r="AL1001" s="27">
        <v>0.92186195894446699</v>
      </c>
      <c r="AM1001" s="27">
        <v>0.91833464945969245</v>
      </c>
      <c r="AN1001" s="27">
        <v>0.91422285050100305</v>
      </c>
      <c r="AO1001" s="27">
        <v>0.88189291163033656</v>
      </c>
      <c r="AP1001" s="27">
        <v>0.60673985885347559</v>
      </c>
      <c r="AQ1001" s="27">
        <v>0.92186195894446699</v>
      </c>
      <c r="AR1001" s="27">
        <v>0.91833464945969245</v>
      </c>
      <c r="AS1001" s="27">
        <v>0.91422285050100305</v>
      </c>
      <c r="AT1001" s="27">
        <v>0.88189291163033656</v>
      </c>
      <c r="AU1001" s="27">
        <v>0.60673985885347559</v>
      </c>
      <c r="AW1001" s="1">
        <v>13.227395374840119</v>
      </c>
      <c r="AX1001" s="1">
        <v>15.705145873459585</v>
      </c>
      <c r="AY1001" s="2">
        <v>2028595.9888265587</v>
      </c>
      <c r="AZ1001" s="1">
        <v>15.396037541553126</v>
      </c>
      <c r="BA1001" s="1">
        <v>17.637659729565737</v>
      </c>
      <c r="BB1001" s="2">
        <v>1361746.5005152442</v>
      </c>
      <c r="BC1001" s="2">
        <f t="shared" si="112"/>
        <v>-666849.48831131449</v>
      </c>
      <c r="BD1001" s="292">
        <f t="shared" si="113"/>
        <v>2.1686421667130062</v>
      </c>
      <c r="BF1001" s="170">
        <f t="shared" si="108"/>
        <v>87787.271147860447</v>
      </c>
      <c r="BG1001" s="2">
        <f t="shared" si="109"/>
        <v>1101619.5061332558</v>
      </c>
      <c r="BI1001">
        <f t="shared" si="110"/>
        <v>0</v>
      </c>
      <c r="BJ1001" s="95">
        <f t="shared" si="111"/>
        <v>1</v>
      </c>
      <c r="BP1001" s="217">
        <f t="shared" si="114"/>
        <v>1101619.5061332558</v>
      </c>
    </row>
    <row r="1002" spans="1:68">
      <c r="A1002" s="11">
        <v>996</v>
      </c>
      <c r="C1002" s="27">
        <v>0.92064911615644218</v>
      </c>
      <c r="D1002" s="27">
        <v>7.9350883843557818E-2</v>
      </c>
      <c r="E1002" s="27">
        <v>0</v>
      </c>
      <c r="F1002" s="27">
        <v>0.85355341706968135</v>
      </c>
      <c r="G1002" s="27">
        <v>0.14644658293031865</v>
      </c>
      <c r="H1002" s="27">
        <v>0</v>
      </c>
      <c r="I1002" s="27">
        <v>0.75753652218401935</v>
      </c>
      <c r="J1002" s="27">
        <v>0.24246347781598065</v>
      </c>
      <c r="K1002" s="27">
        <v>0</v>
      </c>
      <c r="L1002" s="27">
        <v>0.1537092910538756</v>
      </c>
      <c r="M1002" s="27">
        <v>0.48676423787263018</v>
      </c>
      <c r="N1002" s="27">
        <v>0.35952647107349417</v>
      </c>
      <c r="O1002" s="27">
        <v>-11.05256239497958</v>
      </c>
      <c r="P1002" s="27">
        <v>3.4329632608454286E-2</v>
      </c>
      <c r="Q1002" s="27">
        <v>6.7006707916739892E-5</v>
      </c>
      <c r="R1002" s="27">
        <v>1.0617462756984979</v>
      </c>
      <c r="S1002" s="154"/>
      <c r="T1002">
        <v>0.91481457671404864</v>
      </c>
      <c r="U1002">
        <v>2.3824655993651462</v>
      </c>
      <c r="V1002">
        <v>2.89088930538967</v>
      </c>
      <c r="W1002">
        <v>1</v>
      </c>
      <c r="Y1002" s="2">
        <v>82.171814597353816</v>
      </c>
      <c r="Z1002" s="2">
        <v>1913.3519640470458</v>
      </c>
      <c r="AA1002" s="2">
        <v>2738.1719288035774</v>
      </c>
      <c r="AB1002" s="2">
        <v>2876.9517561174916</v>
      </c>
      <c r="AC1002" s="2">
        <v>1794.2297356878446</v>
      </c>
      <c r="AD1002" s="2">
        <v>417.08439742550581</v>
      </c>
      <c r="AE1002" s="2">
        <v>506.01517759894824</v>
      </c>
      <c r="AF1002" s="2">
        <v>1232.4166301962214</v>
      </c>
      <c r="AG1002" s="2">
        <v>147.80969260854181</v>
      </c>
      <c r="AH1002" s="2">
        <v>642.98301919759729</v>
      </c>
      <c r="AI1002" s="2">
        <v>546180.02801667107</v>
      </c>
      <c r="AJ1002" s="2">
        <v>522885.85429619707</v>
      </c>
      <c r="AL1002" s="27">
        <v>0.91262511838084515</v>
      </c>
      <c r="AM1002" s="27">
        <v>0.9172272059412081</v>
      </c>
      <c r="AN1002" s="27">
        <v>0.90152850062371781</v>
      </c>
      <c r="AO1002" s="27">
        <v>0.87405336179621984</v>
      </c>
      <c r="AP1002" s="27">
        <v>0.75151745760555388</v>
      </c>
      <c r="AQ1002" s="27">
        <v>0.91262511838084515</v>
      </c>
      <c r="AR1002" s="27">
        <v>0.9172272059412081</v>
      </c>
      <c r="AS1002" s="27">
        <v>0.90152850062371781</v>
      </c>
      <c r="AT1002" s="27">
        <v>0.87405336179621984</v>
      </c>
      <c r="AU1002" s="27">
        <v>0.75151745760555388</v>
      </c>
      <c r="AW1002" s="1">
        <v>13.826100605655654</v>
      </c>
      <c r="AX1002" s="1">
        <v>15.739411691130821</v>
      </c>
      <c r="AY1002" s="2">
        <v>2097977.593153039</v>
      </c>
      <c r="AZ1002" s="1">
        <v>15.413307371804178</v>
      </c>
      <c r="BA1002" s="1">
        <v>17.327703951940993</v>
      </c>
      <c r="BB1002" s="2">
        <v>1615787.3099994019</v>
      </c>
      <c r="BC1002" s="2">
        <f t="shared" si="112"/>
        <v>-482190.28315363708</v>
      </c>
      <c r="BD1002" s="292">
        <f t="shared" si="113"/>
        <v>1.5872067661485243</v>
      </c>
      <c r="BF1002" s="170">
        <f t="shared" si="108"/>
        <v>114198.50375186559</v>
      </c>
      <c r="BG1002" s="2">
        <f t="shared" si="109"/>
        <v>850341.86948926677</v>
      </c>
      <c r="BI1002">
        <f t="shared" si="110"/>
        <v>0</v>
      </c>
      <c r="BJ1002" s="95">
        <f t="shared" si="111"/>
        <v>1</v>
      </c>
      <c r="BP1002" s="217">
        <f t="shared" si="114"/>
        <v>850341.86948926677</v>
      </c>
    </row>
    <row r="1003" spans="1:68">
      <c r="A1003" s="11">
        <v>997</v>
      </c>
      <c r="C1003" s="27">
        <v>0.92435739752276391</v>
      </c>
      <c r="D1003" s="27">
        <v>7.5642602477236087E-2</v>
      </c>
      <c r="E1003" s="27">
        <v>0</v>
      </c>
      <c r="F1003" s="27">
        <v>0.85628565357077635</v>
      </c>
      <c r="G1003" s="27">
        <v>0.14371434642922365</v>
      </c>
      <c r="H1003" s="27">
        <v>0</v>
      </c>
      <c r="I1003" s="27">
        <v>0.74115904253612097</v>
      </c>
      <c r="J1003" s="27">
        <v>0.25884095746387903</v>
      </c>
      <c r="K1003" s="27">
        <v>0</v>
      </c>
      <c r="L1003" s="27">
        <v>0.11251376275694436</v>
      </c>
      <c r="M1003" s="27">
        <v>0.52648079607341824</v>
      </c>
      <c r="N1003" s="27">
        <v>0.3610054411696374</v>
      </c>
      <c r="O1003" s="27">
        <v>-11.28964455100202</v>
      </c>
      <c r="P1003" s="27">
        <v>3.4528087900968209E-2</v>
      </c>
      <c r="Q1003" s="27">
        <v>5.3305829613518411E-5</v>
      </c>
      <c r="R1003" s="27">
        <v>1.0915747007704539</v>
      </c>
      <c r="S1003" s="154"/>
      <c r="T1003">
        <v>1.0197358911199232</v>
      </c>
      <c r="U1003">
        <v>2.3204365693334754</v>
      </c>
      <c r="V1003">
        <v>2.8183342492138603</v>
      </c>
      <c r="W1003">
        <v>1</v>
      </c>
      <c r="Y1003" s="2">
        <v>641.80039747502474</v>
      </c>
      <c r="Z1003" s="2">
        <v>7147.561905266658</v>
      </c>
      <c r="AA1003" s="2">
        <v>1305.0170014918222</v>
      </c>
      <c r="AB1003" s="2">
        <v>2878.4046532709003</v>
      </c>
      <c r="AC1003" s="2">
        <v>1018.9294002135895</v>
      </c>
      <c r="AD1003" s="2">
        <v>1110.486099719255</v>
      </c>
      <c r="AE1003" s="2">
        <v>614.5202230658532</v>
      </c>
      <c r="AF1003" s="2">
        <v>1150.7901016661954</v>
      </c>
      <c r="AG1003" s="2">
        <v>82.017148646742072</v>
      </c>
      <c r="AH1003" s="2">
        <v>323.54012622618279</v>
      </c>
      <c r="AI1003" s="2">
        <v>402651.45967005799</v>
      </c>
      <c r="AJ1003" s="2">
        <v>365257.90315622208</v>
      </c>
      <c r="AL1003" s="27">
        <v>0.9147952134755174</v>
      </c>
      <c r="AM1003" s="27">
        <v>0.91575264003807366</v>
      </c>
      <c r="AN1003" s="27">
        <v>0.92054090855106641</v>
      </c>
      <c r="AO1003" s="27">
        <v>0.84255205328276084</v>
      </c>
      <c r="AP1003" s="27">
        <v>0.70288135518366168</v>
      </c>
      <c r="AQ1003" s="27">
        <v>0.9147952134755174</v>
      </c>
      <c r="AR1003" s="27">
        <v>0.91575264003807366</v>
      </c>
      <c r="AS1003" s="27">
        <v>0.92054090855106641</v>
      </c>
      <c r="AT1003" s="27">
        <v>0.84255205328276084</v>
      </c>
      <c r="AU1003" s="27">
        <v>0.70288135518366168</v>
      </c>
      <c r="AW1003" s="1">
        <v>13.533569199293877</v>
      </c>
      <c r="AX1003" s="1">
        <v>15.60170135896843</v>
      </c>
      <c r="AY1003" s="2">
        <v>1605911.1549149426</v>
      </c>
      <c r="AZ1003" s="1">
        <v>15.398099721144275</v>
      </c>
      <c r="BA1003" s="1">
        <v>17.395060778117745</v>
      </c>
      <c r="BB1003" s="2">
        <v>1144719.4284516629</v>
      </c>
      <c r="BC1003" s="2">
        <f t="shared" si="112"/>
        <v>-461191.72646327969</v>
      </c>
      <c r="BD1003" s="292">
        <f t="shared" si="113"/>
        <v>1.8645305218503978</v>
      </c>
      <c r="BF1003" s="170">
        <f t="shared" si="108"/>
        <v>559459.91697207792</v>
      </c>
      <c r="BG1003" s="2">
        <f t="shared" si="109"/>
        <v>1318976.5269314214</v>
      </c>
      <c r="BI1003">
        <f t="shared" si="110"/>
        <v>0</v>
      </c>
      <c r="BJ1003" s="95">
        <f t="shared" si="111"/>
        <v>1</v>
      </c>
      <c r="BP1003" s="217">
        <f t="shared" si="114"/>
        <v>1318976.5269314214</v>
      </c>
    </row>
    <row r="1004" spans="1:68">
      <c r="A1004" s="11">
        <v>998</v>
      </c>
      <c r="C1004" s="27">
        <v>0.92414031327198831</v>
      </c>
      <c r="D1004" s="27">
        <v>7.5859686728011716E-2</v>
      </c>
      <c r="E1004" s="27">
        <v>0</v>
      </c>
      <c r="F1004" s="27">
        <v>0.83995238129460215</v>
      </c>
      <c r="G1004" s="27">
        <v>0.16004761870539785</v>
      </c>
      <c r="H1004" s="27">
        <v>0</v>
      </c>
      <c r="I1004" s="27">
        <v>0.74789334089806736</v>
      </c>
      <c r="J1004" s="27">
        <v>0.25210665910193264</v>
      </c>
      <c r="K1004" s="27">
        <v>0</v>
      </c>
      <c r="L1004" s="27">
        <v>0.15899830206363574</v>
      </c>
      <c r="M1004" s="27">
        <v>0.46228152923566673</v>
      </c>
      <c r="N1004" s="27">
        <v>0.37872016870069747</v>
      </c>
      <c r="O1004" s="27">
        <v>-11.49655560861069</v>
      </c>
      <c r="P1004" s="27">
        <v>3.4106801400718992E-2</v>
      </c>
      <c r="Q1004" s="27">
        <v>4.2582382363075989E-5</v>
      </c>
      <c r="R1004" s="27">
        <v>1.1171116839702724</v>
      </c>
      <c r="S1004" s="154"/>
      <c r="T1004">
        <v>0.92503075072064134</v>
      </c>
      <c r="U1004">
        <v>2.2072737088655754</v>
      </c>
      <c r="V1004">
        <v>3.0156103644961623</v>
      </c>
      <c r="W1004">
        <v>1</v>
      </c>
      <c r="Y1004" s="2">
        <v>137.74054896300453</v>
      </c>
      <c r="Z1004" s="2">
        <v>3498.273112987506</v>
      </c>
      <c r="AA1004" s="2">
        <v>3472.5932542577002</v>
      </c>
      <c r="AB1004" s="2">
        <v>929.19138347767955</v>
      </c>
      <c r="AC1004" s="2">
        <v>792.26228966612609</v>
      </c>
      <c r="AD1004" s="2">
        <v>1365.0130613866372</v>
      </c>
      <c r="AE1004" s="2">
        <v>620.35217572074055</v>
      </c>
      <c r="AF1004" s="2">
        <v>974.88236920115389</v>
      </c>
      <c r="AG1004" s="2">
        <v>139.14789542075866</v>
      </c>
      <c r="AH1004" s="2">
        <v>527.73825872134773</v>
      </c>
      <c r="AI1004" s="2">
        <v>426147.62168785656</v>
      </c>
      <c r="AJ1004" s="2">
        <v>405969.83166519989</v>
      </c>
      <c r="AL1004" s="27">
        <v>0.92123265627840301</v>
      </c>
      <c r="AM1004" s="27">
        <v>0.92281974435475611</v>
      </c>
      <c r="AN1004" s="27">
        <v>0.90986245244907726</v>
      </c>
      <c r="AO1004" s="27">
        <v>0.88147258532234696</v>
      </c>
      <c r="AP1004" s="27">
        <v>0.64355556584102458</v>
      </c>
      <c r="AQ1004" s="27">
        <v>0.92123265627840301</v>
      </c>
      <c r="AR1004" s="27">
        <v>0.92281974435475611</v>
      </c>
      <c r="AS1004" s="27">
        <v>0.90986245244907726</v>
      </c>
      <c r="AT1004" s="27">
        <v>0.88147258532234696</v>
      </c>
      <c r="AU1004" s="27">
        <v>0.64355556584102458</v>
      </c>
      <c r="AW1004" s="1">
        <v>13.492065570285106</v>
      </c>
      <c r="AX1004" s="1">
        <v>15.559762830112398</v>
      </c>
      <c r="AY1004" s="2">
        <v>1519981.8463116281</v>
      </c>
      <c r="AZ1004" s="1">
        <v>15.096566120377718</v>
      </c>
      <c r="BA1004" s="1">
        <v>17.089278560173813</v>
      </c>
      <c r="BB1004" s="2">
        <v>1200329.937930045</v>
      </c>
      <c r="BC1004" s="2">
        <f t="shared" si="112"/>
        <v>-319651.90838158317</v>
      </c>
      <c r="BD1004" s="292">
        <f t="shared" si="113"/>
        <v>1.6045005500926113</v>
      </c>
      <c r="BF1004" s="170">
        <f t="shared" si="108"/>
        <v>638748.64493398904</v>
      </c>
      <c r="BG1004" s="2">
        <f t="shared" si="109"/>
        <v>1215120.64133039</v>
      </c>
      <c r="BI1004">
        <f t="shared" si="110"/>
        <v>0</v>
      </c>
      <c r="BJ1004" s="95">
        <f t="shared" si="111"/>
        <v>1</v>
      </c>
      <c r="BP1004" s="217">
        <f t="shared" si="114"/>
        <v>1215120.64133039</v>
      </c>
    </row>
    <row r="1005" spans="1:68">
      <c r="A1005" s="11">
        <v>999</v>
      </c>
      <c r="C1005" s="27">
        <v>0.9236054153583434</v>
      </c>
      <c r="D1005" s="27">
        <v>7.6394584641656604E-2</v>
      </c>
      <c r="E1005" s="27">
        <v>0</v>
      </c>
      <c r="F1005" s="27">
        <v>0.85326752809828965</v>
      </c>
      <c r="G1005" s="27">
        <v>0.14673247190171035</v>
      </c>
      <c r="H1005" s="27">
        <v>0</v>
      </c>
      <c r="I1005" s="27">
        <v>0.75329672380430746</v>
      </c>
      <c r="J1005" s="27">
        <v>0.24670327619569254</v>
      </c>
      <c r="K1005" s="27">
        <v>0</v>
      </c>
      <c r="L1005" s="27">
        <v>0.27741083323200877</v>
      </c>
      <c r="M1005" s="27">
        <v>0.4375425386110694</v>
      </c>
      <c r="N1005" s="27">
        <v>0.28504662815692183</v>
      </c>
      <c r="O1005" s="27">
        <v>-11.367033180623938</v>
      </c>
      <c r="P1005" s="27">
        <v>3.3056484092341645E-2</v>
      </c>
      <c r="Q1005" s="27">
        <v>4.6379136291450752E-5</v>
      </c>
      <c r="R1005" s="27">
        <v>1.124427659023131</v>
      </c>
      <c r="S1005" s="154"/>
      <c r="T1005">
        <v>0.90159067931585746</v>
      </c>
      <c r="U1005">
        <v>2.2221216785567015</v>
      </c>
      <c r="V1005">
        <v>2.9714998598007116</v>
      </c>
      <c r="W1005">
        <v>1</v>
      </c>
      <c r="Y1005" s="2">
        <v>1066.6572734861293</v>
      </c>
      <c r="Z1005" s="2">
        <v>9598.3580443153714</v>
      </c>
      <c r="AA1005" s="2">
        <v>1515.7469276128954</v>
      </c>
      <c r="AB1005" s="2">
        <v>2248.3618083743017</v>
      </c>
      <c r="AC1005" s="2">
        <v>749.59941351976272</v>
      </c>
      <c r="AD1005" s="2">
        <v>1798.6315077656939</v>
      </c>
      <c r="AE1005" s="2">
        <v>542.10598798017986</v>
      </c>
      <c r="AF1005" s="2">
        <v>1458.1282874489527</v>
      </c>
      <c r="AG1005" s="2">
        <v>101.9790122073735</v>
      </c>
      <c r="AH1005" s="2">
        <v>494.52479040588162</v>
      </c>
      <c r="AI1005" s="2">
        <v>465831.79602307815</v>
      </c>
      <c r="AJ1005" s="2">
        <v>438527.25536674814</v>
      </c>
      <c r="AL1005" s="27">
        <v>0.91717354287354391</v>
      </c>
      <c r="AM1005" s="27">
        <v>0.91558303837179733</v>
      </c>
      <c r="AN1005" s="27">
        <v>0.9102718578609077</v>
      </c>
      <c r="AO1005" s="27">
        <v>0.88524941917199296</v>
      </c>
      <c r="AP1005" s="27">
        <v>0.70484297055707434</v>
      </c>
      <c r="AQ1005" s="27">
        <v>0.91717354287354391</v>
      </c>
      <c r="AR1005" s="27">
        <v>0.91558303837179733</v>
      </c>
      <c r="AS1005" s="27">
        <v>0.9102718578609077</v>
      </c>
      <c r="AT1005" s="27">
        <v>0.88524941917199296</v>
      </c>
      <c r="AU1005" s="27">
        <v>0.70484297055707434</v>
      </c>
      <c r="AW1005" s="1">
        <v>13.911112324965789</v>
      </c>
      <c r="AX1005" s="1">
        <v>15.877391811914373</v>
      </c>
      <c r="AY1005" s="2">
        <v>1723862.2555947751</v>
      </c>
      <c r="AZ1005" s="1">
        <v>15.413920924106529</v>
      </c>
      <c r="BA1005" s="1">
        <v>17.353843861048173</v>
      </c>
      <c r="BB1005" s="2">
        <v>1280342.4169149927</v>
      </c>
      <c r="BC1005" s="2">
        <f t="shared" si="112"/>
        <v>-443519.83867978235</v>
      </c>
      <c r="BD1005" s="292">
        <f t="shared" si="113"/>
        <v>1.5028085991407405</v>
      </c>
      <c r="BF1005" s="170">
        <f t="shared" si="108"/>
        <v>501915.71639975114</v>
      </c>
      <c r="BG1005" s="2">
        <f t="shared" si="109"/>
        <v>1185884.9309420518</v>
      </c>
      <c r="BI1005">
        <f t="shared" si="110"/>
        <v>0</v>
      </c>
      <c r="BJ1005" s="95">
        <f t="shared" si="111"/>
        <v>1</v>
      </c>
      <c r="BP1005" s="217">
        <f t="shared" si="114"/>
        <v>1185884.9309420518</v>
      </c>
    </row>
    <row r="1006" spans="1:68">
      <c r="A1006" s="11">
        <v>1000</v>
      </c>
      <c r="C1006" s="27">
        <v>0.92415828241052567</v>
      </c>
      <c r="D1006" s="27">
        <v>7.5841717589474361E-2</v>
      </c>
      <c r="E1006" s="27">
        <v>0</v>
      </c>
      <c r="F1006" s="27">
        <v>0.86340854296929515</v>
      </c>
      <c r="G1006" s="27">
        <v>0.13659145703070485</v>
      </c>
      <c r="H1006" s="27">
        <v>0</v>
      </c>
      <c r="I1006" s="27">
        <v>0.7505962329883441</v>
      </c>
      <c r="J1006" s="27">
        <v>0.24940376701165587</v>
      </c>
      <c r="K1006" s="27">
        <v>0</v>
      </c>
      <c r="L1006" s="27">
        <v>7.7108709505723128E-2</v>
      </c>
      <c r="M1006" s="27">
        <v>0.54391913523383884</v>
      </c>
      <c r="N1006" s="27">
        <v>0.37897215526043804</v>
      </c>
      <c r="O1006" s="27">
        <v>-10.953868236939083</v>
      </c>
      <c r="P1006" s="27">
        <v>3.3961195139654982E-2</v>
      </c>
      <c r="Q1006" s="27">
        <v>7.2821592892544806E-5</v>
      </c>
      <c r="R1006" s="27">
        <v>1.0542616979575155</v>
      </c>
      <c r="S1006" s="154"/>
      <c r="T1006">
        <v>0.9174335755541988</v>
      </c>
      <c r="U1006">
        <v>2.2171935276700045</v>
      </c>
      <c r="V1006">
        <v>2.9956028809274993</v>
      </c>
      <c r="W1006">
        <v>1</v>
      </c>
      <c r="Y1006" s="2">
        <v>919.41818360074194</v>
      </c>
      <c r="Z1006" s="2">
        <v>4744.3580836876345</v>
      </c>
      <c r="AA1006" s="2">
        <v>2.1443832462619374</v>
      </c>
      <c r="AB1006" s="2">
        <v>5614.7516233041233</v>
      </c>
      <c r="AC1006" s="2">
        <v>316.63560939015383</v>
      </c>
      <c r="AD1006" s="2">
        <v>1431.4716966015696</v>
      </c>
      <c r="AE1006" s="2">
        <v>560.78446415421422</v>
      </c>
      <c r="AF1006" s="2">
        <v>1063.9328693803673</v>
      </c>
      <c r="AG1006" s="2">
        <v>107.14061706396106</v>
      </c>
      <c r="AH1006" s="2">
        <v>179.68399721555855</v>
      </c>
      <c r="AI1006" s="2">
        <v>501386.42471673322</v>
      </c>
      <c r="AJ1006" s="2">
        <v>480852.97338141192</v>
      </c>
      <c r="AL1006" s="27">
        <v>0.91622725565954177</v>
      </c>
      <c r="AM1006" s="27">
        <v>0.91489688027923877</v>
      </c>
      <c r="AN1006" s="27">
        <v>0.91049612365839461</v>
      </c>
      <c r="AO1006" s="27">
        <v>0.8721913971684816</v>
      </c>
      <c r="AP1006" s="27">
        <v>0.61562396913841533</v>
      </c>
      <c r="AQ1006" s="27">
        <v>0.91622725565954177</v>
      </c>
      <c r="AR1006" s="27">
        <v>0.91489688027923877</v>
      </c>
      <c r="AS1006" s="27">
        <v>0.91049612365839461</v>
      </c>
      <c r="AT1006" s="27">
        <v>0.8721913971684816</v>
      </c>
      <c r="AU1006" s="27">
        <v>0.61562396913841533</v>
      </c>
      <c r="AW1006" s="1">
        <v>13.680927395447529</v>
      </c>
      <c r="AX1006" s="1">
        <v>15.996138729542368</v>
      </c>
      <c r="AY1006" s="2">
        <v>1940514.8125949649</v>
      </c>
      <c r="AZ1006" s="1">
        <v>15.314841461127282</v>
      </c>
      <c r="BA1006" s="1">
        <v>17.510099438995951</v>
      </c>
      <c r="BB1006" s="2">
        <v>1484354.9420682411</v>
      </c>
      <c r="BC1006" s="2">
        <f t="shared" si="112"/>
        <v>-456159.8705267238</v>
      </c>
      <c r="BD1006" s="292">
        <f t="shared" si="113"/>
        <v>1.6339140656797522</v>
      </c>
      <c r="BF1006" s="170">
        <f t="shared" si="108"/>
        <v>248433.57067663991</v>
      </c>
      <c r="BG1006" s="2">
        <f t="shared" si="109"/>
        <v>966019.69171212381</v>
      </c>
      <c r="BI1006">
        <f t="shared" si="110"/>
        <v>0</v>
      </c>
      <c r="BJ1006" s="95">
        <f t="shared" si="111"/>
        <v>1</v>
      </c>
      <c r="BP1006" s="217">
        <f t="shared" si="114"/>
        <v>966019.69171212381</v>
      </c>
    </row>
    <row r="1008" spans="1:68">
      <c r="A1008" s="11" t="s">
        <v>476</v>
      </c>
    </row>
    <row r="1009" spans="1:1">
      <c r="A1009" s="11" t="s">
        <v>477</v>
      </c>
    </row>
    <row r="1010" spans="1:1">
      <c r="A1010" s="11" t="s">
        <v>478</v>
      </c>
    </row>
    <row r="1012" spans="1:1">
      <c r="A1012" s="11" t="s">
        <v>17</v>
      </c>
    </row>
  </sheetData>
  <mergeCells count="9">
    <mergeCell ref="BX1:BZ1"/>
    <mergeCell ref="CB1:CC1"/>
    <mergeCell ref="BR1:BS1"/>
    <mergeCell ref="BU1:BV1"/>
    <mergeCell ref="C1:AU1"/>
    <mergeCell ref="AW1:BB1"/>
    <mergeCell ref="BI1:BJ1"/>
    <mergeCell ref="BL1:BN1"/>
    <mergeCell ref="BF1:BG1"/>
  </mergeCells>
  <pageMargins left="0.7" right="0.7" top="0.75" bottom="0.75" header="0.3" footer="0.3"/>
  <ignoredErrors>
    <ignoredError sqref="AE5" formula="1"/>
  </ignoredErrors>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61E15-75B0-2240-82D5-4FE58F62AFC2}">
  <sheetPr codeName="Sheet14"/>
  <dimension ref="A1:AL64"/>
  <sheetViews>
    <sheetView showGridLines="0" tabSelected="1" topLeftCell="M1" zoomScale="55" zoomScaleNormal="55" workbookViewId="0">
      <selection activeCell="V22" sqref="V22"/>
    </sheetView>
  </sheetViews>
  <sheetFormatPr defaultColWidth="11.25" defaultRowHeight="15.75"/>
  <cols>
    <col min="1" max="1" width="18.75" customWidth="1"/>
    <col min="2" max="2" width="16.75" customWidth="1"/>
    <col min="3" max="4" width="14.75" customWidth="1"/>
    <col min="5" max="5" width="1.75" customWidth="1"/>
    <col min="6" max="6" width="13.75" customWidth="1"/>
    <col min="7" max="7" width="25.875" customWidth="1"/>
    <col min="8" max="8" width="14.25" customWidth="1"/>
    <col min="9" max="9" width="21" customWidth="1"/>
    <col min="10" max="10" width="11.5" bestFit="1" customWidth="1"/>
    <col min="11" max="11" width="13.25" customWidth="1"/>
    <col min="12" max="12" width="17.75" customWidth="1"/>
    <col min="15" max="15" width="17.5" customWidth="1"/>
    <col min="18" max="18" width="17.75" customWidth="1"/>
    <col min="21" max="21" width="17.25" customWidth="1"/>
    <col min="22" max="22" width="21.25" customWidth="1"/>
    <col min="25" max="25" width="1.75" customWidth="1"/>
    <col min="26" max="26" width="28.25" customWidth="1"/>
    <col min="27" max="27" width="1.75" customWidth="1"/>
    <col min="29" max="29" width="10.75" customWidth="1"/>
    <col min="31" max="31" width="1.75" customWidth="1"/>
    <col min="32" max="32" width="10.75" customWidth="1"/>
    <col min="33" max="33" width="21.5" customWidth="1"/>
    <col min="34" max="34" width="10.75" customWidth="1"/>
    <col min="35" max="35" width="1.75" customWidth="1"/>
    <col min="37" max="37" width="10.75" customWidth="1"/>
    <col min="39" max="39" width="1.75" customWidth="1"/>
  </cols>
  <sheetData>
    <row r="1" spans="1:38" ht="16.5" thickBot="1">
      <c r="A1" s="466" t="s">
        <v>412</v>
      </c>
      <c r="B1" s="97">
        <f>(B4*B5)*B8</f>
        <v>3779999.9999999995</v>
      </c>
      <c r="F1" s="712" t="s">
        <v>479</v>
      </c>
      <c r="G1" s="713"/>
      <c r="H1" s="713"/>
      <c r="I1" s="713"/>
      <c r="J1" s="713"/>
      <c r="K1" s="713"/>
      <c r="L1" s="713"/>
      <c r="M1" s="713"/>
      <c r="N1" s="713"/>
      <c r="O1" s="713"/>
      <c r="P1" s="713"/>
      <c r="Q1" s="713"/>
      <c r="R1" s="713"/>
      <c r="S1" s="713"/>
      <c r="T1" s="713"/>
      <c r="U1" s="713"/>
      <c r="V1" s="714"/>
    </row>
    <row r="2" spans="1:38" ht="16.5" thickBot="1">
      <c r="A2" s="11"/>
      <c r="B2" s="11"/>
      <c r="F2" s="13" t="s">
        <v>219</v>
      </c>
      <c r="G2" s="320" t="s">
        <v>202</v>
      </c>
      <c r="H2" s="320" t="s">
        <v>422</v>
      </c>
      <c r="I2" s="320" t="s">
        <v>423</v>
      </c>
      <c r="J2" s="320" t="s">
        <v>425</v>
      </c>
      <c r="K2" s="320" t="s">
        <v>424</v>
      </c>
      <c r="L2" s="320" t="s">
        <v>423</v>
      </c>
      <c r="M2" s="320" t="s">
        <v>425</v>
      </c>
      <c r="N2" s="320" t="s">
        <v>424</v>
      </c>
      <c r="O2" s="320" t="s">
        <v>423</v>
      </c>
      <c r="P2" s="320" t="s">
        <v>425</v>
      </c>
      <c r="Q2" s="320" t="s">
        <v>424</v>
      </c>
      <c r="R2" s="320" t="s">
        <v>423</v>
      </c>
      <c r="S2" s="320" t="s">
        <v>425</v>
      </c>
      <c r="T2" s="320" t="s">
        <v>424</v>
      </c>
      <c r="U2" s="320" t="s">
        <v>423</v>
      </c>
      <c r="V2" s="12" t="s">
        <v>426</v>
      </c>
    </row>
    <row r="3" spans="1:38">
      <c r="A3" s="378"/>
      <c r="B3" s="379" t="s">
        <v>16</v>
      </c>
      <c r="C3" s="380"/>
      <c r="F3" s="13">
        <v>0</v>
      </c>
      <c r="G3" s="33">
        <f>$B$1</f>
        <v>3779999.9999999995</v>
      </c>
      <c r="H3" s="371">
        <v>6484.6579066680279</v>
      </c>
      <c r="I3" s="371">
        <f>G3*H3</f>
        <v>24512006887.205143</v>
      </c>
      <c r="J3" s="474"/>
      <c r="K3" s="474"/>
      <c r="L3" s="474"/>
      <c r="M3" s="474"/>
      <c r="N3" s="474"/>
      <c r="O3" s="474"/>
      <c r="P3" s="474"/>
      <c r="Q3" s="474"/>
      <c r="R3" s="474"/>
      <c r="S3" s="474"/>
      <c r="T3" s="474"/>
      <c r="U3" s="474"/>
      <c r="V3" s="93">
        <f>SUM(I3,L3,O3,R3,U3)</f>
        <v>24512006887.205143</v>
      </c>
    </row>
    <row r="4" spans="1:38" ht="16.5" thickBot="1">
      <c r="A4" s="10" t="s">
        <v>415</v>
      </c>
      <c r="B4">
        <v>72000000</v>
      </c>
      <c r="C4" s="95"/>
      <c r="F4" s="13">
        <v>1</v>
      </c>
      <c r="G4" s="33">
        <f t="shared" ref="G4:G7" si="0">$B$1</f>
        <v>3779999.9999999995</v>
      </c>
      <c r="H4" s="371">
        <v>6460.1993222782921</v>
      </c>
      <c r="I4" s="371">
        <f t="shared" ref="I4:I7" si="1">G4*H4</f>
        <v>24419553438.211941</v>
      </c>
      <c r="J4" s="33">
        <f>$B$6</f>
        <v>7800</v>
      </c>
      <c r="K4" s="371">
        <v>6484.6579066680279</v>
      </c>
      <c r="L4" s="371">
        <f>J4*K4</f>
        <v>50580331.672010615</v>
      </c>
      <c r="M4" s="474"/>
      <c r="N4" s="474"/>
      <c r="O4" s="474"/>
      <c r="P4" s="474"/>
      <c r="Q4" s="474"/>
      <c r="R4" s="474"/>
      <c r="S4" s="474"/>
      <c r="T4" s="474"/>
      <c r="U4" s="474"/>
      <c r="V4" s="93">
        <f>SUM(I4,L4,O4,R4,U4)</f>
        <v>24470133769.883953</v>
      </c>
    </row>
    <row r="5" spans="1:38">
      <c r="A5" s="10" t="s">
        <v>449</v>
      </c>
      <c r="B5" s="469">
        <f>B15</f>
        <v>7.4999999999999997E-2</v>
      </c>
      <c r="C5" s="470"/>
      <c r="F5" s="13">
        <v>2</v>
      </c>
      <c r="G5" s="33">
        <f t="shared" si="0"/>
        <v>3779999.9999999995</v>
      </c>
      <c r="H5" s="371">
        <v>6435.8329898406191</v>
      </c>
      <c r="I5" s="371">
        <f t="shared" si="1"/>
        <v>24327448701.597538</v>
      </c>
      <c r="J5" s="33">
        <f t="shared" ref="J5:J7" si="2">$B$6</f>
        <v>7800</v>
      </c>
      <c r="K5" s="371">
        <v>6460.1993222782921</v>
      </c>
      <c r="L5" s="371">
        <f t="shared" ref="L5:L7" si="3">J5*K5</f>
        <v>50389554.71377068</v>
      </c>
      <c r="M5" s="33">
        <f>$B$6</f>
        <v>7800</v>
      </c>
      <c r="N5" s="371">
        <v>6484.6579066680297</v>
      </c>
      <c r="O5" s="371">
        <f>M5*N5</f>
        <v>50580331.67201063</v>
      </c>
      <c r="P5" s="474"/>
      <c r="Q5" s="474"/>
      <c r="R5" s="474"/>
      <c r="S5" s="474"/>
      <c r="T5" s="474"/>
      <c r="U5" s="474"/>
      <c r="V5" s="93">
        <f>SUM(I5,L5,O5,R5,U5)</f>
        <v>24428418587.983322</v>
      </c>
      <c r="AE5" s="751" t="s">
        <v>462</v>
      </c>
      <c r="AF5" s="752"/>
      <c r="AG5" s="752"/>
      <c r="AH5" s="752"/>
      <c r="AI5" s="753"/>
    </row>
    <row r="6" spans="1:38" ht="16.5" thickBot="1">
      <c r="A6" s="584" t="s">
        <v>445</v>
      </c>
      <c r="B6" s="585">
        <v>7800</v>
      </c>
      <c r="C6" s="586" t="s">
        <v>446</v>
      </c>
      <c r="F6" s="13">
        <v>3</v>
      </c>
      <c r="G6" s="33">
        <f t="shared" si="0"/>
        <v>3779999.9999999995</v>
      </c>
      <c r="H6" s="371">
        <v>5728.1178406749623</v>
      </c>
      <c r="I6" s="371">
        <f t="shared" si="1"/>
        <v>21652285437.751354</v>
      </c>
      <c r="J6" s="33">
        <f t="shared" si="2"/>
        <v>7800</v>
      </c>
      <c r="K6" s="371">
        <v>6435.8329898406191</v>
      </c>
      <c r="L6" s="371">
        <f t="shared" si="3"/>
        <v>50199497.32075683</v>
      </c>
      <c r="M6" s="33">
        <f t="shared" ref="M6:M7" si="4">$B$6</f>
        <v>7800</v>
      </c>
      <c r="N6" s="371">
        <v>6460.1993222782921</v>
      </c>
      <c r="O6" s="371">
        <f t="shared" ref="O6:O7" si="5">M6*N6</f>
        <v>50389554.71377068</v>
      </c>
      <c r="P6" s="33">
        <f>$B$6</f>
        <v>7800</v>
      </c>
      <c r="Q6" s="371">
        <v>6484.6579066680297</v>
      </c>
      <c r="R6" s="371">
        <f>P6*Q6</f>
        <v>50580331.67201063</v>
      </c>
      <c r="S6" s="474"/>
      <c r="T6" s="474"/>
      <c r="U6" s="474"/>
      <c r="V6" s="93">
        <f>SUM(I6,L6,O6,R6,U6)</f>
        <v>21803454821.457893</v>
      </c>
      <c r="AE6" s="757">
        <f>B1</f>
        <v>3779999.9999999995</v>
      </c>
      <c r="AF6" s="733"/>
      <c r="AG6" s="733"/>
      <c r="AH6" s="733"/>
      <c r="AI6" s="758"/>
    </row>
    <row r="7" spans="1:38">
      <c r="A7" s="10" t="s">
        <v>413</v>
      </c>
      <c r="B7" s="465">
        <v>0.7</v>
      </c>
      <c r="C7" s="95"/>
      <c r="F7" s="13">
        <v>4</v>
      </c>
      <c r="G7" s="33">
        <f t="shared" si="0"/>
        <v>3779999.9999999995</v>
      </c>
      <c r="H7" s="371">
        <v>73764.749585897633</v>
      </c>
      <c r="I7" s="371">
        <f t="shared" si="1"/>
        <v>278830753434.69299</v>
      </c>
      <c r="J7" s="33">
        <f t="shared" si="2"/>
        <v>7800</v>
      </c>
      <c r="K7" s="371">
        <v>5728.1178406749623</v>
      </c>
      <c r="L7" s="371">
        <f t="shared" si="3"/>
        <v>44679319.157264709</v>
      </c>
      <c r="M7" s="33">
        <f t="shared" si="4"/>
        <v>7800</v>
      </c>
      <c r="N7" s="371">
        <v>6435.8329898406191</v>
      </c>
      <c r="O7" s="371">
        <f t="shared" si="5"/>
        <v>50199497.32075683</v>
      </c>
      <c r="P7" s="33">
        <f>$B$6</f>
        <v>7800</v>
      </c>
      <c r="Q7" s="371">
        <v>6460.1993222782921</v>
      </c>
      <c r="R7" s="371">
        <f t="shared" ref="R7" si="6">P7*Q7</f>
        <v>50389554.71377068</v>
      </c>
      <c r="S7" s="33">
        <f>$B$6</f>
        <v>7800</v>
      </c>
      <c r="T7" s="371">
        <v>6484.6579066680297</v>
      </c>
      <c r="U7" s="371">
        <f>S7*T7</f>
        <v>50580331.67201063</v>
      </c>
      <c r="V7" s="93">
        <f>SUM(I7,L7,O7,R7,U7)</f>
        <v>279026602137.55676</v>
      </c>
      <c r="AE7" s="138"/>
      <c r="AF7" s="183"/>
      <c r="AG7" s="183"/>
      <c r="AH7" s="183"/>
      <c r="AI7" s="137"/>
    </row>
    <row r="8" spans="1:38" ht="16.5" thickBot="1">
      <c r="A8" s="84" t="s">
        <v>414</v>
      </c>
      <c r="B8" s="467">
        <f>100%*B7</f>
        <v>0.7</v>
      </c>
      <c r="C8" s="225"/>
      <c r="F8" s="134"/>
      <c r="G8" s="424"/>
      <c r="H8" s="372"/>
      <c r="I8" s="372"/>
      <c r="J8" s="424"/>
      <c r="K8" s="372"/>
      <c r="L8" s="372"/>
      <c r="M8" s="424"/>
      <c r="N8" s="372"/>
      <c r="O8" s="372"/>
      <c r="P8" s="424"/>
      <c r="Q8" s="372"/>
      <c r="R8" s="372"/>
      <c r="S8" s="424"/>
      <c r="T8" s="372"/>
      <c r="U8" s="372"/>
      <c r="V8" s="94"/>
      <c r="AE8" s="10"/>
      <c r="AF8" s="593" t="s">
        <v>447</v>
      </c>
      <c r="AG8" s="155"/>
      <c r="AH8" s="593" t="s">
        <v>448</v>
      </c>
      <c r="AI8" s="95"/>
    </row>
    <row r="9" spans="1:38" ht="16.5" thickBot="1">
      <c r="K9" s="371"/>
      <c r="V9" s="400">
        <f>SUM(V3:V8)</f>
        <v>374240616204.08704</v>
      </c>
      <c r="AE9" s="10"/>
      <c r="AF9" s="594">
        <f>0.5*AE6</f>
        <v>1889999.9999999998</v>
      </c>
      <c r="AH9" s="594">
        <f>0.5*AE6</f>
        <v>1889999.9999999998</v>
      </c>
      <c r="AI9" s="95"/>
    </row>
    <row r="10" spans="1:38" ht="16.5" thickBot="1">
      <c r="A10" s="378" t="s">
        <v>417</v>
      </c>
      <c r="B10" s="183"/>
      <c r="C10" s="183"/>
      <c r="D10" s="137"/>
      <c r="AE10" s="84"/>
      <c r="AF10" s="96"/>
      <c r="AG10" s="96"/>
      <c r="AH10" s="96"/>
      <c r="AI10" s="225"/>
    </row>
    <row r="11" spans="1:38" ht="16.5" thickBot="1">
      <c r="A11" s="13" t="s">
        <v>409</v>
      </c>
      <c r="B11" s="11" t="s">
        <v>16</v>
      </c>
      <c r="C11" s="11" t="s">
        <v>17</v>
      </c>
      <c r="D11" s="12" t="s">
        <v>13</v>
      </c>
      <c r="F11" s="718" t="s">
        <v>480</v>
      </c>
      <c r="G11" s="719"/>
      <c r="H11" s="719"/>
      <c r="I11" s="719"/>
      <c r="J11" s="719"/>
      <c r="K11" s="719"/>
      <c r="L11" s="719"/>
      <c r="M11" s="719"/>
      <c r="N11" s="719"/>
      <c r="O11" s="719"/>
      <c r="P11" s="719"/>
      <c r="Q11" s="719"/>
      <c r="R11" s="719"/>
      <c r="S11" s="719"/>
      <c r="T11" s="719"/>
      <c r="U11" s="719"/>
      <c r="V11" s="720"/>
    </row>
    <row r="12" spans="1:38" ht="16.5" thickBot="1">
      <c r="A12" s="13" t="s">
        <v>421</v>
      </c>
      <c r="B12" s="472">
        <v>0.17499999999999999</v>
      </c>
      <c r="C12" s="472">
        <v>2.9000000000000001E-2</v>
      </c>
      <c r="D12" s="95" t="s">
        <v>420</v>
      </c>
      <c r="F12" s="378" t="s">
        <v>219</v>
      </c>
      <c r="G12" s="475" t="s">
        <v>202</v>
      </c>
      <c r="H12" s="379" t="s">
        <v>424</v>
      </c>
      <c r="I12" s="379" t="s">
        <v>423</v>
      </c>
      <c r="J12" s="475" t="s">
        <v>425</v>
      </c>
      <c r="K12" s="475" t="s">
        <v>424</v>
      </c>
      <c r="L12" s="475" t="s">
        <v>423</v>
      </c>
      <c r="M12" s="475" t="s">
        <v>425</v>
      </c>
      <c r="N12" s="475" t="s">
        <v>424</v>
      </c>
      <c r="O12" s="475" t="s">
        <v>423</v>
      </c>
      <c r="P12" s="475" t="s">
        <v>425</v>
      </c>
      <c r="Q12" s="475" t="s">
        <v>424</v>
      </c>
      <c r="R12" s="475" t="s">
        <v>423</v>
      </c>
      <c r="S12" s="475" t="s">
        <v>425</v>
      </c>
      <c r="T12" s="475" t="s">
        <v>424</v>
      </c>
      <c r="U12" s="475" t="s">
        <v>423</v>
      </c>
      <c r="V12" s="380" t="s">
        <v>426</v>
      </c>
      <c r="AG12" s="155"/>
      <c r="AH12" s="155"/>
    </row>
    <row r="13" spans="1:38" ht="16.5" thickBot="1">
      <c r="A13" s="139">
        <v>1</v>
      </c>
      <c r="B13" s="473">
        <v>3.3000000000000002E-2</v>
      </c>
      <c r="C13" s="469">
        <f>0.041-0.033</f>
        <v>8.0000000000000002E-3</v>
      </c>
      <c r="D13" s="95" t="s">
        <v>420</v>
      </c>
      <c r="F13" s="13">
        <v>0</v>
      </c>
      <c r="G13" s="33">
        <f>$B$1</f>
        <v>3779999.9999999995</v>
      </c>
      <c r="H13" s="371">
        <v>8145.964497089758</v>
      </c>
      <c r="I13" s="371">
        <f>G13*H13</f>
        <v>30791745798.999283</v>
      </c>
      <c r="J13" s="474"/>
      <c r="K13" s="474"/>
      <c r="L13" s="474"/>
      <c r="M13" s="474"/>
      <c r="N13" s="474"/>
      <c r="O13" s="474"/>
      <c r="P13" s="474"/>
      <c r="Q13" s="474"/>
      <c r="R13" s="474"/>
      <c r="S13" s="474"/>
      <c r="T13" s="474"/>
      <c r="U13" s="474"/>
      <c r="V13" s="93">
        <f>SUM(I13,L13,O13,R13,U13)</f>
        <v>30791745798.999283</v>
      </c>
      <c r="Z13" s="609" t="s">
        <v>471</v>
      </c>
      <c r="AB13" s="754" t="s">
        <v>463</v>
      </c>
      <c r="AC13" s="755"/>
      <c r="AD13" s="756"/>
      <c r="AF13" s="155"/>
      <c r="AG13" s="155"/>
      <c r="AH13" s="155"/>
      <c r="AJ13" s="754" t="s">
        <v>511</v>
      </c>
      <c r="AK13" s="755"/>
      <c r="AL13" s="756"/>
    </row>
    <row r="14" spans="1:38">
      <c r="A14" s="139">
        <v>2</v>
      </c>
      <c r="B14" s="469">
        <v>5.6000000000000001E-2</v>
      </c>
      <c r="C14" s="469">
        <f>0.07-0.056</f>
        <v>1.4000000000000005E-2</v>
      </c>
      <c r="D14" s="95" t="s">
        <v>420</v>
      </c>
      <c r="F14" s="13">
        <v>1</v>
      </c>
      <c r="G14" s="33">
        <f t="shared" ref="G14:G17" si="7">$B$1</f>
        <v>3779999.9999999995</v>
      </c>
      <c r="H14" s="371">
        <v>8115.2398601150016</v>
      </c>
      <c r="I14" s="371">
        <f t="shared" ref="I14:I17" si="8">G14*H14</f>
        <v>30675606671.234703</v>
      </c>
      <c r="J14" s="33">
        <f>$B$6</f>
        <v>7800</v>
      </c>
      <c r="K14" s="371">
        <v>8145.964497089758</v>
      </c>
      <c r="L14" s="371">
        <f t="shared" ref="L14:L17" si="9">J14*K14</f>
        <v>63538523.077300109</v>
      </c>
      <c r="M14" s="474"/>
      <c r="N14" s="474"/>
      <c r="O14" s="474"/>
      <c r="P14" s="474"/>
      <c r="Q14" s="474"/>
      <c r="R14" s="474"/>
      <c r="S14" s="474"/>
      <c r="T14" s="474"/>
      <c r="U14" s="474"/>
      <c r="V14" s="93">
        <f>SUM(I14,L14,O14,R14,U14)</f>
        <v>30739145194.312004</v>
      </c>
      <c r="Z14" s="127"/>
    </row>
    <row r="15" spans="1:38" ht="16.5" thickBot="1">
      <c r="A15" s="139">
        <v>3</v>
      </c>
      <c r="B15" s="469">
        <v>7.4999999999999997E-2</v>
      </c>
      <c r="C15" s="469">
        <v>1.2999999999999999E-2</v>
      </c>
      <c r="D15" s="95" t="s">
        <v>420</v>
      </c>
      <c r="F15" s="13">
        <v>2</v>
      </c>
      <c r="G15" s="33">
        <f t="shared" si="7"/>
        <v>3779999.9999999995</v>
      </c>
      <c r="H15" s="371">
        <v>8084.6311091495163</v>
      </c>
      <c r="I15" s="371">
        <f t="shared" si="8"/>
        <v>30559905592.585167</v>
      </c>
      <c r="J15" s="33">
        <f t="shared" ref="J15:J17" si="10">$B$6</f>
        <v>7800</v>
      </c>
      <c r="K15" s="371">
        <v>8115.2398601150016</v>
      </c>
      <c r="L15" s="371">
        <f t="shared" si="9"/>
        <v>63298870.908897012</v>
      </c>
      <c r="M15" s="33">
        <f>$B$6</f>
        <v>7800</v>
      </c>
      <c r="N15" s="371">
        <v>8145.964497089758</v>
      </c>
      <c r="O15" s="371">
        <f t="shared" ref="O15:O17" si="11">M15*N15</f>
        <v>63538523.077300109</v>
      </c>
      <c r="P15" s="474"/>
      <c r="Q15" s="474"/>
      <c r="R15" s="474"/>
      <c r="S15" s="474"/>
      <c r="T15" s="474"/>
      <c r="U15" s="474"/>
      <c r="V15" s="93">
        <f>SUM(I15,L15,O15,R15,U15)</f>
        <v>30686742986.571365</v>
      </c>
      <c r="Z15" s="127"/>
    </row>
    <row r="16" spans="1:38" ht="16.5" thickBot="1">
      <c r="A16" s="381">
        <v>4</v>
      </c>
      <c r="B16" s="471">
        <v>1.0999999999999999E-2</v>
      </c>
      <c r="C16" s="471">
        <v>4.0000000000000001E-3</v>
      </c>
      <c r="D16" s="225" t="s">
        <v>420</v>
      </c>
      <c r="F16" s="13">
        <v>3</v>
      </c>
      <c r="G16" s="33">
        <f t="shared" si="7"/>
        <v>3779999.9999999995</v>
      </c>
      <c r="H16" s="371">
        <v>7918.3089937569748</v>
      </c>
      <c r="I16" s="371">
        <f t="shared" si="8"/>
        <v>29931207996.40136</v>
      </c>
      <c r="J16" s="33">
        <f t="shared" si="10"/>
        <v>7800</v>
      </c>
      <c r="K16" s="371">
        <v>8084.6311091495163</v>
      </c>
      <c r="L16" s="371">
        <f t="shared" si="9"/>
        <v>63060122.651366226</v>
      </c>
      <c r="M16" s="33">
        <f t="shared" ref="M16:M17" si="12">$B$6</f>
        <v>7800</v>
      </c>
      <c r="N16" s="371">
        <v>8115.2398601150016</v>
      </c>
      <c r="O16" s="371">
        <f t="shared" si="11"/>
        <v>63298870.908897012</v>
      </c>
      <c r="P16" s="33">
        <f>$B$6</f>
        <v>7800</v>
      </c>
      <c r="Q16" s="371">
        <v>8145.964497089758</v>
      </c>
      <c r="R16" s="371">
        <f t="shared" ref="R16:R17" si="13">P16*Q16</f>
        <v>63538523.077300109</v>
      </c>
      <c r="S16" s="474"/>
      <c r="T16" s="474"/>
      <c r="U16" s="474"/>
      <c r="V16" s="93">
        <f>SUM(I16,L16,O16,R16,U16)</f>
        <v>30121105513.038925</v>
      </c>
      <c r="Z16" s="610"/>
      <c r="AB16" s="751" t="s">
        <v>450</v>
      </c>
      <c r="AC16" s="752"/>
      <c r="AD16" s="753"/>
      <c r="AG16" s="588" t="s">
        <v>465</v>
      </c>
      <c r="AH16" s="582"/>
      <c r="AJ16" s="751" t="s">
        <v>450</v>
      </c>
      <c r="AK16" s="752"/>
      <c r="AL16" s="753"/>
    </row>
    <row r="17" spans="1:38" ht="16.5" thickBot="1">
      <c r="A17" s="73"/>
      <c r="F17" s="13">
        <v>4</v>
      </c>
      <c r="G17" s="33">
        <f t="shared" si="7"/>
        <v>3779999.9999999995</v>
      </c>
      <c r="H17" s="371">
        <v>17848.584998431645</v>
      </c>
      <c r="I17" s="371">
        <f t="shared" si="8"/>
        <v>67467651294.071609</v>
      </c>
      <c r="J17" s="33">
        <f t="shared" si="10"/>
        <v>7800</v>
      </c>
      <c r="K17" s="371">
        <v>7918.3089937569748</v>
      </c>
      <c r="L17" s="371">
        <f t="shared" si="9"/>
        <v>61762810.151304401</v>
      </c>
      <c r="M17" s="33">
        <f t="shared" si="12"/>
        <v>7800</v>
      </c>
      <c r="N17" s="371">
        <v>8084.6311091495163</v>
      </c>
      <c r="O17" s="371">
        <f t="shared" si="11"/>
        <v>63060122.651366226</v>
      </c>
      <c r="P17" s="33">
        <f>$B$6</f>
        <v>7800</v>
      </c>
      <c r="Q17" s="371">
        <v>8115.2398601150016</v>
      </c>
      <c r="R17" s="371">
        <f t="shared" si="13"/>
        <v>63298870.908897012</v>
      </c>
      <c r="S17" s="33">
        <f>$B$6</f>
        <v>7800</v>
      </c>
      <c r="T17" s="371">
        <v>8145.9644970897598</v>
      </c>
      <c r="U17" s="371">
        <f>S17*T17</f>
        <v>63538523.077300124</v>
      </c>
      <c r="V17" s="93">
        <f>SUM(I17,L17,O17,R17,U17)</f>
        <v>67719311620.860481</v>
      </c>
      <c r="Z17" s="611" t="s">
        <v>453</v>
      </c>
      <c r="AB17" s="748">
        <f>H3</f>
        <v>6484.6579066680279</v>
      </c>
      <c r="AC17" s="749"/>
      <c r="AD17" s="750"/>
      <c r="AG17" s="589">
        <f>AB17-AJ17</f>
        <v>-1661.3065904217301</v>
      </c>
      <c r="AH17" s="587"/>
      <c r="AJ17" s="748">
        <f>H13</f>
        <v>8145.964497089758</v>
      </c>
      <c r="AK17" s="749"/>
      <c r="AL17" s="750"/>
    </row>
    <row r="18" spans="1:38" ht="16.5" thickBot="1">
      <c r="A18" s="378" t="s">
        <v>419</v>
      </c>
      <c r="B18" s="137"/>
      <c r="F18" s="134"/>
      <c r="G18" s="424"/>
      <c r="H18" s="372"/>
      <c r="I18" s="372"/>
      <c r="J18" s="424"/>
      <c r="K18" s="372"/>
      <c r="L18" s="372"/>
      <c r="M18" s="424"/>
      <c r="N18" s="372"/>
      <c r="O18" s="372"/>
      <c r="P18" s="424"/>
      <c r="Q18" s="372"/>
      <c r="R18" s="372"/>
      <c r="S18" s="424"/>
      <c r="T18" s="372"/>
      <c r="U18" s="372"/>
      <c r="V18" s="94"/>
      <c r="Z18" s="611" t="s">
        <v>156</v>
      </c>
      <c r="AB18" s="745">
        <f>I3</f>
        <v>24512006887.205143</v>
      </c>
      <c r="AC18" s="746"/>
      <c r="AD18" s="747"/>
      <c r="AG18" s="591">
        <f>AB18-AJ18</f>
        <v>-6279738911.7941399</v>
      </c>
      <c r="AH18" s="592"/>
      <c r="AJ18" s="745">
        <f>I13</f>
        <v>30791745798.999283</v>
      </c>
      <c r="AK18" s="746"/>
      <c r="AL18" s="747"/>
    </row>
    <row r="19" spans="1:38" ht="16.5" thickBot="1">
      <c r="A19" s="13" t="s">
        <v>409</v>
      </c>
      <c r="B19" s="12" t="s">
        <v>11</v>
      </c>
      <c r="V19" s="400">
        <f>SUM(V13:V18)</f>
        <v>190058051113.78207</v>
      </c>
      <c r="Z19" s="127"/>
    </row>
    <row r="20" spans="1:38" ht="16.5" thickBot="1">
      <c r="A20" s="139">
        <v>1</v>
      </c>
      <c r="B20" s="14">
        <f>B13/B5</f>
        <v>0.44000000000000006</v>
      </c>
      <c r="Z20" s="127"/>
    </row>
    <row r="21" spans="1:38" ht="16.5" thickBot="1">
      <c r="A21" s="139">
        <v>2</v>
      </c>
      <c r="B21" s="14">
        <f>B14/B5</f>
        <v>0.7466666666666667</v>
      </c>
      <c r="Z21" s="127"/>
      <c r="AC21" s="742" t="s">
        <v>455</v>
      </c>
      <c r="AD21" s="743"/>
      <c r="AE21" s="743"/>
      <c r="AF21" s="743"/>
      <c r="AG21" s="743"/>
      <c r="AH21" s="743"/>
      <c r="AI21" s="743"/>
      <c r="AJ21" s="743"/>
      <c r="AK21" s="744"/>
    </row>
    <row r="22" spans="1:38" ht="16.5" thickBot="1">
      <c r="A22" s="139" t="s">
        <v>2</v>
      </c>
      <c r="B22" s="14">
        <f>($B$15/$B$5)*0.5</f>
        <v>0.5</v>
      </c>
      <c r="F22" s="365" t="s">
        <v>427</v>
      </c>
      <c r="G22" s="402">
        <f>V19-V9</f>
        <v>-184182565090.30496</v>
      </c>
      <c r="Z22" s="127"/>
    </row>
    <row r="23" spans="1:38" ht="16.5" thickBot="1">
      <c r="A23" s="139" t="s">
        <v>3</v>
      </c>
      <c r="B23" s="14">
        <f>($B$15/$B$5)*0.5</f>
        <v>0.5</v>
      </c>
      <c r="Z23" s="127"/>
    </row>
    <row r="24" spans="1:38">
      <c r="A24" s="139">
        <v>4</v>
      </c>
      <c r="B24" s="14">
        <f>B16/B5</f>
        <v>0.14666666666666667</v>
      </c>
      <c r="E24" s="323"/>
      <c r="F24" s="323"/>
      <c r="Z24" s="127"/>
      <c r="AB24" s="751" t="s">
        <v>451</v>
      </c>
      <c r="AC24" s="752"/>
      <c r="AD24" s="753"/>
      <c r="AG24" s="588" t="s">
        <v>465</v>
      </c>
      <c r="AH24" s="582"/>
      <c r="AJ24" s="751" t="s">
        <v>451</v>
      </c>
      <c r="AK24" s="752"/>
      <c r="AL24" s="753"/>
    </row>
    <row r="25" spans="1:38" ht="16.5" thickBot="1">
      <c r="A25" s="381" t="s">
        <v>171</v>
      </c>
      <c r="B25" s="418">
        <v>0</v>
      </c>
      <c r="N25" s="11"/>
      <c r="Z25" s="612" t="s">
        <v>452</v>
      </c>
      <c r="AB25" s="748">
        <f>K4</f>
        <v>6484.6579066680279</v>
      </c>
      <c r="AC25" s="749"/>
      <c r="AD25" s="750"/>
      <c r="AG25" s="589">
        <f>AB25-AJ25</f>
        <v>-1661.3065904217301</v>
      </c>
      <c r="AH25" s="587"/>
      <c r="AJ25" s="748">
        <f>K14</f>
        <v>8145.964497089758</v>
      </c>
      <c r="AK25" s="749"/>
      <c r="AL25" s="750"/>
    </row>
    <row r="26" spans="1:38" ht="16.5" thickBot="1">
      <c r="Z26" s="612" t="s">
        <v>456</v>
      </c>
      <c r="AB26" s="748">
        <f>H4</f>
        <v>6460.1993222782921</v>
      </c>
      <c r="AC26" s="749"/>
      <c r="AD26" s="750"/>
      <c r="AG26" s="589">
        <f>AB26-AJ26</f>
        <v>-1655.0405378367095</v>
      </c>
      <c r="AH26" s="587"/>
      <c r="AJ26" s="748">
        <f>H14</f>
        <v>8115.2398601150016</v>
      </c>
      <c r="AK26" s="749"/>
      <c r="AL26" s="750"/>
    </row>
    <row r="27" spans="1:38" ht="16.5" thickBot="1">
      <c r="A27" s="320"/>
      <c r="F27" s="11" t="s">
        <v>482</v>
      </c>
      <c r="G27" s="11" t="s">
        <v>427</v>
      </c>
      <c r="Z27" s="612" t="s">
        <v>156</v>
      </c>
      <c r="AB27" s="745">
        <f>V4</f>
        <v>24470133769.883953</v>
      </c>
      <c r="AC27" s="746"/>
      <c r="AD27" s="747"/>
      <c r="AG27" s="591">
        <f>AB27-AJ27</f>
        <v>-6269011424.428051</v>
      </c>
      <c r="AH27" s="592"/>
      <c r="AJ27" s="745">
        <f>V14</f>
        <v>30739145194.312004</v>
      </c>
      <c r="AK27" s="746"/>
      <c r="AL27" s="747"/>
    </row>
    <row r="28" spans="1:38">
      <c r="A28" s="73"/>
      <c r="B28" s="323"/>
      <c r="G28" s="371">
        <f>G22</f>
        <v>-184182565090.30496</v>
      </c>
      <c r="Z28" s="127"/>
    </row>
    <row r="29" spans="1:38" ht="16.5" thickBot="1">
      <c r="A29" s="73"/>
      <c r="B29" s="323"/>
      <c r="F29">
        <v>7800</v>
      </c>
      <c r="G29">
        <f t="dataTable" ref="G29:G45" dt2D="0" dtr="0" r1="B6"/>
        <v>-184182565090.30496</v>
      </c>
      <c r="Z29" s="127"/>
    </row>
    <row r="30" spans="1:38" ht="16.5" thickBot="1">
      <c r="A30" s="73"/>
      <c r="B30" s="323"/>
      <c r="F30">
        <v>7500</v>
      </c>
      <c r="G30">
        <v>-184187694530.91516</v>
      </c>
      <c r="Z30" s="127"/>
      <c r="AC30" s="742" t="s">
        <v>455</v>
      </c>
      <c r="AD30" s="743"/>
      <c r="AE30" s="743"/>
      <c r="AF30" s="743"/>
      <c r="AG30" s="743"/>
      <c r="AH30" s="743"/>
      <c r="AI30" s="743"/>
      <c r="AJ30" s="743"/>
      <c r="AK30" s="744"/>
    </row>
    <row r="31" spans="1:38">
      <c r="B31" s="323"/>
      <c r="F31">
        <v>7000</v>
      </c>
      <c r="G31">
        <v>-184196243598.59851</v>
      </c>
      <c r="Z31" s="127"/>
    </row>
    <row r="32" spans="1:38" ht="16.5" thickBot="1">
      <c r="F32">
        <v>6500</v>
      </c>
      <c r="G32">
        <v>-184204792666.28204</v>
      </c>
      <c r="Z32" s="127"/>
    </row>
    <row r="33" spans="6:38">
      <c r="F33">
        <v>6000</v>
      </c>
      <c r="G33">
        <v>-184213341733.96545</v>
      </c>
      <c r="Z33" s="127"/>
      <c r="AB33" s="751" t="s">
        <v>454</v>
      </c>
      <c r="AC33" s="752"/>
      <c r="AD33" s="753"/>
      <c r="AG33" s="588" t="s">
        <v>465</v>
      </c>
      <c r="AH33" s="582"/>
      <c r="AJ33" s="751" t="s">
        <v>454</v>
      </c>
      <c r="AK33" s="752"/>
      <c r="AL33" s="753"/>
    </row>
    <row r="34" spans="6:38">
      <c r="F34">
        <v>5500</v>
      </c>
      <c r="G34">
        <v>-184221890801.64893</v>
      </c>
      <c r="Z34" s="612" t="s">
        <v>452</v>
      </c>
      <c r="AB34" s="748">
        <f>N5</f>
        <v>6484.6579066680297</v>
      </c>
      <c r="AC34" s="749"/>
      <c r="AD34" s="750"/>
      <c r="AG34" s="589">
        <f>AB34-AJ34</f>
        <v>-1661.3065904217283</v>
      </c>
      <c r="AH34" s="587"/>
      <c r="AJ34" s="748">
        <f>N15</f>
        <v>8145.964497089758</v>
      </c>
      <c r="AK34" s="749"/>
      <c r="AL34" s="750"/>
    </row>
    <row r="35" spans="6:38">
      <c r="F35">
        <v>5000</v>
      </c>
      <c r="G35">
        <v>-184230439869.33234</v>
      </c>
      <c r="Z35" s="612" t="s">
        <v>457</v>
      </c>
      <c r="AB35" s="748">
        <f>K5</f>
        <v>6460.1993222782921</v>
      </c>
      <c r="AC35" s="749"/>
      <c r="AD35" s="750"/>
      <c r="AG35" s="589">
        <f>AB35-AJ35</f>
        <v>-1655.0405378367095</v>
      </c>
      <c r="AH35" s="587"/>
      <c r="AJ35" s="748">
        <f>K15</f>
        <v>8115.2398601150016</v>
      </c>
      <c r="AK35" s="749"/>
      <c r="AL35" s="750"/>
    </row>
    <row r="36" spans="6:38" ht="16.5" thickBot="1">
      <c r="F36">
        <v>4500</v>
      </c>
      <c r="G36">
        <v>-184238988937.01581</v>
      </c>
      <c r="Z36" s="612" t="s">
        <v>456</v>
      </c>
      <c r="AB36" s="748">
        <f>H5</f>
        <v>6435.8329898406191</v>
      </c>
      <c r="AC36" s="749"/>
      <c r="AD36" s="750"/>
      <c r="AG36" s="589">
        <f>AB36-AJ36</f>
        <v>-1648.7981193088972</v>
      </c>
      <c r="AH36" s="587"/>
      <c r="AJ36" s="748">
        <f>H15</f>
        <v>8084.6311091495163</v>
      </c>
      <c r="AK36" s="749"/>
      <c r="AL36" s="750"/>
    </row>
    <row r="37" spans="6:38" ht="16.5" thickBot="1">
      <c r="F37">
        <v>4000</v>
      </c>
      <c r="G37">
        <v>-184247538004.69922</v>
      </c>
      <c r="Z37" s="612" t="s">
        <v>156</v>
      </c>
      <c r="AB37" s="745">
        <f>V5</f>
        <v>24428418587.983322</v>
      </c>
      <c r="AC37" s="746"/>
      <c r="AD37" s="747"/>
      <c r="AG37" s="591">
        <f>AB37-AJ37</f>
        <v>-6258324398.5880432</v>
      </c>
      <c r="AH37" s="592"/>
      <c r="AJ37" s="745">
        <f>V15</f>
        <v>30686742986.571365</v>
      </c>
      <c r="AK37" s="746"/>
      <c r="AL37" s="747"/>
    </row>
    <row r="38" spans="6:38">
      <c r="F38">
        <v>3500</v>
      </c>
      <c r="G38">
        <v>-184256087072.38269</v>
      </c>
      <c r="Z38" s="127"/>
    </row>
    <row r="39" spans="6:38" ht="16.5" thickBot="1">
      <c r="F39">
        <v>3000</v>
      </c>
      <c r="G39">
        <v>-184264636140.06622</v>
      </c>
      <c r="Z39" s="127"/>
    </row>
    <row r="40" spans="6:38" ht="16.5" thickBot="1">
      <c r="F40">
        <v>2500</v>
      </c>
      <c r="G40">
        <v>-184273185207.74963</v>
      </c>
      <c r="Z40" s="127"/>
      <c r="AC40" s="742" t="s">
        <v>455</v>
      </c>
      <c r="AD40" s="743"/>
      <c r="AE40" s="743"/>
      <c r="AF40" s="743"/>
      <c r="AG40" s="743"/>
      <c r="AH40" s="743"/>
      <c r="AI40" s="743"/>
      <c r="AJ40" s="743"/>
      <c r="AK40" s="744"/>
    </row>
    <row r="41" spans="6:38">
      <c r="F41">
        <v>2000</v>
      </c>
      <c r="G41">
        <v>-184281734275.43304</v>
      </c>
      <c r="Z41" s="127"/>
    </row>
    <row r="42" spans="6:38" ht="16.5" thickBot="1">
      <c r="F42">
        <v>1500</v>
      </c>
      <c r="G42">
        <v>-184290283343.11646</v>
      </c>
      <c r="Z42" s="127"/>
    </row>
    <row r="43" spans="6:38">
      <c r="F43">
        <v>1000</v>
      </c>
      <c r="G43">
        <v>-184298832410.79999</v>
      </c>
      <c r="Z43" s="127"/>
      <c r="AB43" s="751" t="s">
        <v>459</v>
      </c>
      <c r="AC43" s="752"/>
      <c r="AD43" s="753"/>
      <c r="AG43" s="588" t="s">
        <v>465</v>
      </c>
      <c r="AH43" s="582"/>
      <c r="AJ43" s="751" t="s">
        <v>459</v>
      </c>
      <c r="AK43" s="752"/>
      <c r="AL43" s="753"/>
    </row>
    <row r="44" spans="6:38">
      <c r="F44">
        <v>500</v>
      </c>
      <c r="G44">
        <v>-184307381478.4834</v>
      </c>
      <c r="Z44" s="612" t="s">
        <v>452</v>
      </c>
      <c r="AB44" s="748">
        <f>Q6</f>
        <v>6484.6579066680297</v>
      </c>
      <c r="AC44" s="749"/>
      <c r="AD44" s="750"/>
      <c r="AG44" s="589">
        <f>AB44-AJ44</f>
        <v>-1661.3065904217283</v>
      </c>
      <c r="AH44" s="587"/>
      <c r="AJ44" s="748">
        <f>Q16</f>
        <v>8145.964497089758</v>
      </c>
      <c r="AK44" s="749"/>
      <c r="AL44" s="750"/>
    </row>
    <row r="45" spans="6:38">
      <c r="F45">
        <v>0</v>
      </c>
      <c r="G45">
        <v>-184315930546.16687</v>
      </c>
      <c r="Z45" s="612" t="s">
        <v>458</v>
      </c>
      <c r="AB45" s="748">
        <f>N6</f>
        <v>6460.1993222782921</v>
      </c>
      <c r="AC45" s="749"/>
      <c r="AD45" s="750"/>
      <c r="AG45" s="589">
        <f>AB45-AJ45</f>
        <v>-1655.0405378367095</v>
      </c>
      <c r="AH45" s="587"/>
      <c r="AJ45" s="748">
        <f>N16</f>
        <v>8115.2398601150016</v>
      </c>
      <c r="AK45" s="749"/>
      <c r="AL45" s="750"/>
    </row>
    <row r="46" spans="6:38">
      <c r="Z46" s="612" t="s">
        <v>457</v>
      </c>
      <c r="AB46" s="748">
        <f>K6</f>
        <v>6435.8329898406191</v>
      </c>
      <c r="AC46" s="749"/>
      <c r="AD46" s="750"/>
      <c r="AG46" s="589">
        <f>AB46-AJ46</f>
        <v>-1648.7981193088972</v>
      </c>
      <c r="AH46" s="587"/>
      <c r="AJ46" s="748">
        <f>K16</f>
        <v>8084.6311091495163</v>
      </c>
      <c r="AK46" s="749"/>
      <c r="AL46" s="750"/>
    </row>
    <row r="47" spans="6:38" ht="16.5" thickBot="1">
      <c r="Z47" s="612" t="s">
        <v>456</v>
      </c>
      <c r="AB47" s="748">
        <f>H6</f>
        <v>5728.1178406749623</v>
      </c>
      <c r="AC47" s="749"/>
      <c r="AD47" s="750"/>
      <c r="AG47" s="589">
        <f>AB47-AJ47</f>
        <v>-2190.1911530820125</v>
      </c>
      <c r="AH47" s="587"/>
      <c r="AJ47" s="748">
        <f>H16</f>
        <v>7918.3089937569748</v>
      </c>
      <c r="AK47" s="749"/>
      <c r="AL47" s="750"/>
    </row>
    <row r="48" spans="6:38" ht="16.5" thickBot="1">
      <c r="Z48" s="612" t="s">
        <v>156</v>
      </c>
      <c r="AB48" s="745">
        <f>V6</f>
        <v>21803454821.457893</v>
      </c>
      <c r="AC48" s="746"/>
      <c r="AD48" s="747"/>
      <c r="AG48" s="591">
        <f>AB48-AJ48</f>
        <v>-8317650691.5810318</v>
      </c>
      <c r="AH48" s="592"/>
      <c r="AJ48" s="745">
        <f>V16</f>
        <v>30121105513.038925</v>
      </c>
      <c r="AK48" s="746"/>
      <c r="AL48" s="747"/>
    </row>
    <row r="49" spans="26:38">
      <c r="Z49" s="127"/>
    </row>
    <row r="50" spans="26:38" ht="16.5" thickBot="1">
      <c r="Z50" s="127"/>
    </row>
    <row r="51" spans="26:38" ht="16.5" thickBot="1">
      <c r="Z51" s="127"/>
      <c r="AC51" s="742" t="s">
        <v>455</v>
      </c>
      <c r="AD51" s="743"/>
      <c r="AE51" s="743"/>
      <c r="AF51" s="743"/>
      <c r="AG51" s="743"/>
      <c r="AH51" s="743"/>
      <c r="AI51" s="743"/>
      <c r="AJ51" s="743"/>
      <c r="AK51" s="744"/>
    </row>
    <row r="52" spans="26:38">
      <c r="Z52" s="127"/>
    </row>
    <row r="53" spans="26:38" ht="16.5" thickBot="1">
      <c r="Z53" s="127"/>
    </row>
    <row r="54" spans="26:38">
      <c r="Z54" s="127"/>
      <c r="AB54" s="751" t="s">
        <v>460</v>
      </c>
      <c r="AC54" s="752"/>
      <c r="AD54" s="753"/>
      <c r="AG54" s="588" t="s">
        <v>465</v>
      </c>
      <c r="AH54" s="582"/>
      <c r="AJ54" s="751" t="s">
        <v>460</v>
      </c>
      <c r="AK54" s="752"/>
      <c r="AL54" s="753"/>
    </row>
    <row r="55" spans="26:38">
      <c r="Z55" s="612" t="s">
        <v>452</v>
      </c>
      <c r="AB55" s="748">
        <f>T7</f>
        <v>6484.6579066680297</v>
      </c>
      <c r="AC55" s="749"/>
      <c r="AD55" s="750"/>
      <c r="AG55" s="589">
        <f t="shared" ref="AG55:AG60" si="14">AB55-AJ55</f>
        <v>-1661.3065904217301</v>
      </c>
      <c r="AH55" s="587"/>
      <c r="AJ55" s="748">
        <f>T17</f>
        <v>8145.9644970897598</v>
      </c>
      <c r="AK55" s="749"/>
      <c r="AL55" s="750"/>
    </row>
    <row r="56" spans="26:38">
      <c r="Z56" s="612" t="s">
        <v>461</v>
      </c>
      <c r="AB56" s="748">
        <f>Q7</f>
        <v>6460.1993222782921</v>
      </c>
      <c r="AC56" s="749"/>
      <c r="AD56" s="750"/>
      <c r="AG56" s="589">
        <f t="shared" si="14"/>
        <v>-1655.0405378367095</v>
      </c>
      <c r="AH56" s="587"/>
      <c r="AJ56" s="748">
        <f>Q17</f>
        <v>8115.2398601150016</v>
      </c>
      <c r="AK56" s="749"/>
      <c r="AL56" s="750"/>
    </row>
    <row r="57" spans="26:38">
      <c r="Z57" s="612" t="s">
        <v>458</v>
      </c>
      <c r="AB57" s="748">
        <f>N7</f>
        <v>6435.8329898406191</v>
      </c>
      <c r="AC57" s="749"/>
      <c r="AD57" s="750"/>
      <c r="AG57" s="589">
        <f t="shared" si="14"/>
        <v>-1648.7981193088972</v>
      </c>
      <c r="AH57" s="587"/>
      <c r="AJ57" s="748">
        <f>N17</f>
        <v>8084.6311091495163</v>
      </c>
      <c r="AK57" s="749"/>
      <c r="AL57" s="750"/>
    </row>
    <row r="58" spans="26:38">
      <c r="Z58" s="612" t="s">
        <v>457</v>
      </c>
      <c r="AB58" s="748">
        <f>K7</f>
        <v>5728.1178406749623</v>
      </c>
      <c r="AC58" s="749"/>
      <c r="AD58" s="750"/>
      <c r="AG58" s="589">
        <f t="shared" si="14"/>
        <v>-2190.1911530820125</v>
      </c>
      <c r="AH58" s="587"/>
      <c r="AJ58" s="748">
        <f>K17</f>
        <v>7918.3089937569748</v>
      </c>
      <c r="AK58" s="749"/>
      <c r="AL58" s="750"/>
    </row>
    <row r="59" spans="26:38" ht="16.5" thickBot="1">
      <c r="Z59" s="612" t="s">
        <v>456</v>
      </c>
      <c r="AB59" s="748">
        <f>H7</f>
        <v>73764.749585897633</v>
      </c>
      <c r="AC59" s="749"/>
      <c r="AD59" s="750"/>
      <c r="AG59" s="589">
        <f t="shared" si="14"/>
        <v>55916.164587465988</v>
      </c>
      <c r="AH59" s="587"/>
      <c r="AJ59" s="748">
        <f>H17</f>
        <v>17848.584998431645</v>
      </c>
      <c r="AK59" s="749"/>
      <c r="AL59" s="750"/>
    </row>
    <row r="60" spans="26:38" ht="16.5" thickBot="1">
      <c r="Z60" s="613" t="s">
        <v>156</v>
      </c>
      <c r="AB60" s="745">
        <f>V7</f>
        <v>279026602137.55676</v>
      </c>
      <c r="AC60" s="746"/>
      <c r="AD60" s="747"/>
      <c r="AG60" s="591">
        <f t="shared" si="14"/>
        <v>211307290516.69629</v>
      </c>
      <c r="AH60" s="592"/>
      <c r="AJ60" s="745">
        <f>V17</f>
        <v>67719311620.860481</v>
      </c>
      <c r="AK60" s="746"/>
      <c r="AL60" s="747"/>
    </row>
    <row r="62" spans="26:38" ht="16.5" thickBot="1"/>
    <row r="63" spans="26:38">
      <c r="AG63" s="588" t="s">
        <v>427</v>
      </c>
      <c r="AH63" s="582"/>
    </row>
    <row r="64" spans="26:38" ht="16.5" thickBot="1">
      <c r="AG64" s="590">
        <f>SUM(AG18,AG27,AG37,AG48,AG60)</f>
        <v>184182565090.30502</v>
      </c>
      <c r="AH64" s="592"/>
    </row>
  </sheetData>
  <mergeCells count="60">
    <mergeCell ref="AJ17:AL17"/>
    <mergeCell ref="AB16:AD16"/>
    <mergeCell ref="AJ16:AL16"/>
    <mergeCell ref="F1:V1"/>
    <mergeCell ref="F11:V11"/>
    <mergeCell ref="AE5:AI5"/>
    <mergeCell ref="AE6:AI6"/>
    <mergeCell ref="AB33:AD33"/>
    <mergeCell ref="AJ33:AL33"/>
    <mergeCell ref="AB18:AD18"/>
    <mergeCell ref="AB13:AD13"/>
    <mergeCell ref="AJ27:AL27"/>
    <mergeCell ref="AB27:AD27"/>
    <mergeCell ref="AC21:AK21"/>
    <mergeCell ref="AJ18:AL18"/>
    <mergeCell ref="AJ13:AL13"/>
    <mergeCell ref="AJ24:AL24"/>
    <mergeCell ref="AJ25:AL25"/>
    <mergeCell ref="AJ26:AL26"/>
    <mergeCell ref="AB24:AD24"/>
    <mergeCell ref="AB25:AD25"/>
    <mergeCell ref="AB26:AD26"/>
    <mergeCell ref="AB17:AD17"/>
    <mergeCell ref="AB43:AD43"/>
    <mergeCell ref="AJ43:AL43"/>
    <mergeCell ref="AC40:AK40"/>
    <mergeCell ref="AB34:AD34"/>
    <mergeCell ref="AJ34:AL34"/>
    <mergeCell ref="AB36:AD36"/>
    <mergeCell ref="AJ36:AL36"/>
    <mergeCell ref="AB35:AD35"/>
    <mergeCell ref="AJ35:AL35"/>
    <mergeCell ref="AJ37:AL37"/>
    <mergeCell ref="AB37:AD37"/>
    <mergeCell ref="AB57:AD57"/>
    <mergeCell ref="AJ57:AL57"/>
    <mergeCell ref="AB44:AD44"/>
    <mergeCell ref="AJ44:AL44"/>
    <mergeCell ref="AB45:AD45"/>
    <mergeCell ref="AJ45:AL45"/>
    <mergeCell ref="AB46:AD46"/>
    <mergeCell ref="AJ46:AL46"/>
    <mergeCell ref="AB47:AD47"/>
    <mergeCell ref="AJ47:AL47"/>
    <mergeCell ref="AC30:AK30"/>
    <mergeCell ref="AJ60:AL60"/>
    <mergeCell ref="AB60:AD60"/>
    <mergeCell ref="AC51:AK51"/>
    <mergeCell ref="AJ48:AL48"/>
    <mergeCell ref="AB48:AD48"/>
    <mergeCell ref="AB58:AD58"/>
    <mergeCell ref="AJ58:AL58"/>
    <mergeCell ref="AB59:AD59"/>
    <mergeCell ref="AJ59:AL59"/>
    <mergeCell ref="AB55:AD55"/>
    <mergeCell ref="AJ55:AL55"/>
    <mergeCell ref="AB54:AD54"/>
    <mergeCell ref="AJ54:AL54"/>
    <mergeCell ref="AB56:AD56"/>
    <mergeCell ref="AJ56:AL56"/>
  </mergeCells>
  <conditionalFormatting sqref="AG1:AH7 AG44:AH50 AG34:AH39 AG25:AH29 AG17:AH20 AG55:AH62 AG12:AH15 AG8:AG10 AG64:AH65 AG22:AH23 AG52:AH53 AG41:AH42 AG31:AH32 AG67:AH1048576">
    <cfRule type="cellIs" dxfId="3" priority="1" operator="greaterThan">
      <formula>0</formula>
    </cfRule>
    <cfRule type="cellIs" dxfId="2" priority="2" operator="lessThan">
      <formula>0</formula>
    </cfRule>
  </conditionalFormatting>
  <pageMargins left="0.7" right="0.7" top="0.75" bottom="0.75" header="0.3" footer="0.3"/>
  <ignoredErrors>
    <ignoredError sqref="A25" numberStoredAsText="1"/>
  </ignoredErrors>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B150B-8749-F04B-8351-1A542A4831F8}">
  <sheetPr codeName="Sheet15"/>
  <dimension ref="A1:BA74"/>
  <sheetViews>
    <sheetView topLeftCell="AB22" zoomScaleNormal="100" workbookViewId="0">
      <selection activeCell="G36" sqref="G36"/>
    </sheetView>
  </sheetViews>
  <sheetFormatPr defaultColWidth="11.25" defaultRowHeight="15.75"/>
  <cols>
    <col min="1" max="1" width="18.75" customWidth="1"/>
    <col min="2" max="2" width="16.75" customWidth="1"/>
    <col min="3" max="4" width="14.75" customWidth="1"/>
    <col min="5" max="5" width="1.75" customWidth="1"/>
    <col min="6" max="6" width="13.75" customWidth="1"/>
    <col min="7" max="7" width="19.25" bestFit="1" customWidth="1"/>
    <col min="8" max="8" width="14.25" customWidth="1"/>
    <col min="9" max="9" width="21" customWidth="1"/>
    <col min="10" max="10" width="11.5" bestFit="1" customWidth="1"/>
    <col min="11" max="11" width="13.25" customWidth="1"/>
    <col min="12" max="12" width="17.75" customWidth="1"/>
    <col min="15" max="15" width="17.5" customWidth="1"/>
    <col min="18" max="18" width="17.75" customWidth="1"/>
    <col min="21" max="36" width="17.25" customWidth="1"/>
    <col min="37" max="37" width="21.25" customWidth="1"/>
    <col min="40" max="40" width="1.75" customWidth="1"/>
    <col min="41" max="41" width="28.25" customWidth="1"/>
    <col min="42" max="42" width="1.75" customWidth="1"/>
    <col min="44" max="44" width="10.75" customWidth="1"/>
    <col min="46" max="46" width="1.75" customWidth="1"/>
    <col min="47" max="47" width="10.75" customWidth="1"/>
    <col min="48" max="48" width="17.75" customWidth="1"/>
    <col min="49" max="49" width="10.75" customWidth="1"/>
    <col min="50" max="50" width="1.75" customWidth="1"/>
    <col min="52" max="52" width="10.75" customWidth="1"/>
    <col min="54" max="54" width="1.75" customWidth="1"/>
  </cols>
  <sheetData>
    <row r="1" spans="1:50" ht="16.5" thickBot="1">
      <c r="A1" s="466" t="s">
        <v>412</v>
      </c>
      <c r="B1" s="97">
        <f>(B4*B5)*B13</f>
        <v>3779999.9999999995</v>
      </c>
      <c r="F1" s="712" t="s">
        <v>479</v>
      </c>
      <c r="G1" s="713"/>
      <c r="H1" s="713"/>
      <c r="I1" s="713"/>
      <c r="J1" s="713"/>
      <c r="K1" s="713"/>
      <c r="L1" s="713"/>
      <c r="M1" s="713"/>
      <c r="N1" s="713"/>
      <c r="O1" s="713"/>
      <c r="P1" s="713"/>
      <c r="Q1" s="713"/>
      <c r="R1" s="713"/>
      <c r="S1" s="713"/>
      <c r="T1" s="713"/>
      <c r="U1" s="713"/>
      <c r="V1" s="713"/>
      <c r="W1" s="713"/>
      <c r="X1" s="713"/>
      <c r="Y1" s="713"/>
      <c r="Z1" s="713"/>
      <c r="AA1" s="713"/>
      <c r="AB1" s="713"/>
      <c r="AC1" s="713"/>
      <c r="AD1" s="713"/>
      <c r="AE1" s="713"/>
      <c r="AF1" s="713"/>
      <c r="AG1" s="713"/>
      <c r="AH1" s="713"/>
      <c r="AI1" s="713"/>
      <c r="AJ1" s="713"/>
      <c r="AK1" s="714"/>
    </row>
    <row r="2" spans="1:50" ht="16.5" thickBot="1">
      <c r="A2" s="11"/>
      <c r="B2" s="11"/>
      <c r="F2" s="13" t="s">
        <v>219</v>
      </c>
      <c r="G2" s="320" t="s">
        <v>202</v>
      </c>
      <c r="H2" s="320" t="s">
        <v>422</v>
      </c>
      <c r="I2" s="320" t="s">
        <v>423</v>
      </c>
      <c r="J2" s="320" t="s">
        <v>425</v>
      </c>
      <c r="K2" s="320" t="s">
        <v>424</v>
      </c>
      <c r="L2" s="320" t="s">
        <v>423</v>
      </c>
      <c r="M2" s="320" t="s">
        <v>425</v>
      </c>
      <c r="N2" s="320" t="s">
        <v>424</v>
      </c>
      <c r="O2" s="320" t="s">
        <v>423</v>
      </c>
      <c r="P2" s="320" t="s">
        <v>425</v>
      </c>
      <c r="Q2" s="320" t="s">
        <v>424</v>
      </c>
      <c r="R2" s="320" t="s">
        <v>423</v>
      </c>
      <c r="S2" s="320" t="s">
        <v>425</v>
      </c>
      <c r="T2" s="320" t="s">
        <v>424</v>
      </c>
      <c r="U2" s="320" t="s">
        <v>423</v>
      </c>
      <c r="V2" s="320" t="s">
        <v>425</v>
      </c>
      <c r="W2" s="320" t="s">
        <v>424</v>
      </c>
      <c r="X2" s="320" t="s">
        <v>423</v>
      </c>
      <c r="Y2" s="320" t="s">
        <v>425</v>
      </c>
      <c r="Z2" s="320" t="s">
        <v>424</v>
      </c>
      <c r="AA2" s="320" t="s">
        <v>423</v>
      </c>
      <c r="AB2" s="320" t="s">
        <v>425</v>
      </c>
      <c r="AC2" s="320" t="s">
        <v>424</v>
      </c>
      <c r="AD2" s="320" t="s">
        <v>423</v>
      </c>
      <c r="AE2" s="320" t="s">
        <v>425</v>
      </c>
      <c r="AF2" s="320" t="s">
        <v>424</v>
      </c>
      <c r="AG2" s="320" t="s">
        <v>423</v>
      </c>
      <c r="AH2" s="320" t="s">
        <v>425</v>
      </c>
      <c r="AI2" s="320" t="s">
        <v>424</v>
      </c>
      <c r="AJ2" s="320" t="s">
        <v>423</v>
      </c>
      <c r="AK2" s="12" t="s">
        <v>426</v>
      </c>
    </row>
    <row r="3" spans="1:50">
      <c r="A3" s="378"/>
      <c r="B3" s="379" t="s">
        <v>16</v>
      </c>
      <c r="C3" s="380"/>
      <c r="F3" s="13">
        <v>0</v>
      </c>
      <c r="G3" s="33">
        <f>$B$1</f>
        <v>3779999.9999999995</v>
      </c>
      <c r="H3" s="371">
        <v>6484.6579066680279</v>
      </c>
      <c r="I3" s="371">
        <f>G3*H3</f>
        <v>24512006887.205143</v>
      </c>
      <c r="J3" s="474"/>
      <c r="K3" s="474"/>
      <c r="L3" s="474"/>
      <c r="M3" s="474"/>
      <c r="N3" s="474"/>
      <c r="O3" s="474"/>
      <c r="P3" s="474"/>
      <c r="Q3" s="474"/>
      <c r="R3" s="474"/>
      <c r="S3" s="474"/>
      <c r="T3" s="474"/>
      <c r="U3" s="474"/>
      <c r="V3" s="474"/>
      <c r="W3" s="474"/>
      <c r="X3" s="474"/>
      <c r="Y3" s="474"/>
      <c r="Z3" s="474"/>
      <c r="AA3" s="474"/>
      <c r="AB3" s="474"/>
      <c r="AC3" s="474"/>
      <c r="AD3" s="474"/>
      <c r="AE3" s="474"/>
      <c r="AF3" s="474"/>
      <c r="AG3" s="474"/>
      <c r="AH3" s="474"/>
      <c r="AI3" s="474"/>
      <c r="AJ3" s="474"/>
      <c r="AK3" s="93">
        <f>SUM(I3,L3,O3,R3,U3,X3,AA3,AD3,AG3,AJ3)</f>
        <v>24512006887.205143</v>
      </c>
    </row>
    <row r="4" spans="1:50" ht="16.5" thickBot="1">
      <c r="A4" s="10" t="s">
        <v>415</v>
      </c>
      <c r="B4">
        <v>72000000</v>
      </c>
      <c r="C4" s="95"/>
      <c r="F4" s="13">
        <v>1</v>
      </c>
      <c r="G4" s="33">
        <f t="shared" ref="G4:G12" si="0">$B$1</f>
        <v>3779999.9999999995</v>
      </c>
      <c r="H4" s="371">
        <v>6460.1993222782921</v>
      </c>
      <c r="I4" s="371">
        <f t="shared" ref="I4:I12" si="1">G4*H4</f>
        <v>24419553438.211941</v>
      </c>
      <c r="J4" s="33">
        <f>$B$6</f>
        <v>7800</v>
      </c>
      <c r="K4" s="371">
        <v>6484.6579066680279</v>
      </c>
      <c r="L4" s="371">
        <f>J4*K4</f>
        <v>50580331.672010615</v>
      </c>
      <c r="M4" s="474"/>
      <c r="N4" s="474"/>
      <c r="O4" s="474"/>
      <c r="P4" s="474"/>
      <c r="Q4" s="474"/>
      <c r="R4" s="474"/>
      <c r="S4" s="474"/>
      <c r="T4" s="474"/>
      <c r="U4" s="474"/>
      <c r="V4" s="474"/>
      <c r="W4" s="474"/>
      <c r="X4" s="474"/>
      <c r="Y4" s="474"/>
      <c r="Z4" s="474"/>
      <c r="AA4" s="474"/>
      <c r="AB4" s="474"/>
      <c r="AC4" s="474"/>
      <c r="AD4" s="474"/>
      <c r="AE4" s="474"/>
      <c r="AF4" s="474"/>
      <c r="AG4" s="474"/>
      <c r="AH4" s="474"/>
      <c r="AI4" s="474"/>
      <c r="AJ4" s="474"/>
      <c r="AK4" s="93">
        <f t="shared" ref="AK4:AK12" si="2">SUM(I4,L4,O4,R4,U4,X4,AA4,AD4,AG4,AJ4)</f>
        <v>24470133769.883953</v>
      </c>
    </row>
    <row r="5" spans="1:50">
      <c r="A5" s="10" t="s">
        <v>449</v>
      </c>
      <c r="B5" s="469">
        <f>B20</f>
        <v>7.4999999999999997E-2</v>
      </c>
      <c r="C5" s="470"/>
      <c r="F5" s="13">
        <v>2</v>
      </c>
      <c r="G5" s="33">
        <f t="shared" si="0"/>
        <v>3779999.9999999995</v>
      </c>
      <c r="H5" s="371">
        <v>6435.8329898406191</v>
      </c>
      <c r="I5" s="371">
        <f t="shared" si="1"/>
        <v>24327448701.597538</v>
      </c>
      <c r="J5" s="33">
        <f t="shared" ref="J5:J12" si="3">$B$6</f>
        <v>7800</v>
      </c>
      <c r="K5" s="371">
        <v>6460.1993222782921</v>
      </c>
      <c r="L5" s="371">
        <f t="shared" ref="L5:L12" si="4">J5*K5</f>
        <v>50389554.71377068</v>
      </c>
      <c r="M5" s="33">
        <f>$B$6</f>
        <v>7800</v>
      </c>
      <c r="N5" s="371">
        <v>6484.6579066680297</v>
      </c>
      <c r="O5" s="371">
        <f>M5*N5</f>
        <v>50580331.67201063</v>
      </c>
      <c r="P5" s="474"/>
      <c r="Q5" s="474"/>
      <c r="R5" s="474"/>
      <c r="S5" s="474"/>
      <c r="T5" s="474"/>
      <c r="U5" s="474"/>
      <c r="V5" s="474"/>
      <c r="W5" s="474"/>
      <c r="X5" s="474"/>
      <c r="Y5" s="474"/>
      <c r="Z5" s="474"/>
      <c r="AA5" s="474"/>
      <c r="AB5" s="474"/>
      <c r="AC5" s="474"/>
      <c r="AD5" s="474"/>
      <c r="AE5" s="474"/>
      <c r="AF5" s="474"/>
      <c r="AG5" s="474"/>
      <c r="AH5" s="474"/>
      <c r="AI5" s="474"/>
      <c r="AJ5" s="474"/>
      <c r="AK5" s="93">
        <f t="shared" si="2"/>
        <v>24428418587.983322</v>
      </c>
      <c r="AT5" s="751" t="s">
        <v>462</v>
      </c>
      <c r="AU5" s="752"/>
      <c r="AV5" s="752"/>
      <c r="AW5" s="752"/>
      <c r="AX5" s="753"/>
    </row>
    <row r="6" spans="1:50" ht="16.5" thickBot="1">
      <c r="A6" s="584" t="s">
        <v>445</v>
      </c>
      <c r="B6" s="585">
        <v>7800</v>
      </c>
      <c r="C6" s="586" t="s">
        <v>446</v>
      </c>
      <c r="F6" s="13">
        <v>3</v>
      </c>
      <c r="G6" s="33">
        <f t="shared" si="0"/>
        <v>3779999.9999999995</v>
      </c>
      <c r="H6" s="371">
        <v>6403.4854463440633</v>
      </c>
      <c r="I6" s="371">
        <f t="shared" si="1"/>
        <v>24205174987.180557</v>
      </c>
      <c r="J6" s="33">
        <f t="shared" si="3"/>
        <v>7800</v>
      </c>
      <c r="K6" s="371">
        <v>6435.8329898406191</v>
      </c>
      <c r="L6" s="371">
        <f t="shared" si="4"/>
        <v>50199497.32075683</v>
      </c>
      <c r="M6" s="33">
        <f t="shared" ref="M6:M12" si="5">$B$6</f>
        <v>7800</v>
      </c>
      <c r="N6" s="371">
        <v>6460.1993222782921</v>
      </c>
      <c r="O6" s="371">
        <f t="shared" ref="O6:O12" si="6">M6*N6</f>
        <v>50389554.71377068</v>
      </c>
      <c r="P6" s="33">
        <f>$B$6</f>
        <v>7800</v>
      </c>
      <c r="Q6" s="371">
        <v>6484.6579066680297</v>
      </c>
      <c r="R6" s="371">
        <f>P6*Q6</f>
        <v>50580331.67201063</v>
      </c>
      <c r="S6" s="474"/>
      <c r="T6" s="474"/>
      <c r="U6" s="474"/>
      <c r="V6" s="474"/>
      <c r="W6" s="474"/>
      <c r="X6" s="474"/>
      <c r="Y6" s="474"/>
      <c r="Z6" s="474"/>
      <c r="AA6" s="474"/>
      <c r="AB6" s="474"/>
      <c r="AC6" s="474"/>
      <c r="AD6" s="474"/>
      <c r="AE6" s="474"/>
      <c r="AF6" s="474"/>
      <c r="AG6" s="474"/>
      <c r="AH6" s="474"/>
      <c r="AI6" s="474"/>
      <c r="AJ6" s="474"/>
      <c r="AK6" s="93">
        <f t="shared" si="2"/>
        <v>24356344370.887096</v>
      </c>
      <c r="AT6" s="757">
        <f>B1</f>
        <v>3779999.9999999995</v>
      </c>
      <c r="AU6" s="733"/>
      <c r="AV6" s="733"/>
      <c r="AW6" s="733"/>
      <c r="AX6" s="758"/>
    </row>
    <row r="7" spans="1:50">
      <c r="A7" s="10" t="s">
        <v>413</v>
      </c>
      <c r="B7" s="465">
        <v>0.7</v>
      </c>
      <c r="C7" s="95"/>
      <c r="F7" s="13">
        <v>4</v>
      </c>
      <c r="G7" s="33">
        <f t="shared" si="0"/>
        <v>3779999.9999999995</v>
      </c>
      <c r="H7" s="371">
        <v>6336.840327979683</v>
      </c>
      <c r="I7" s="371">
        <f t="shared" si="1"/>
        <v>23953256439.763199</v>
      </c>
      <c r="J7" s="33">
        <f t="shared" si="3"/>
        <v>7800</v>
      </c>
      <c r="K7" s="371">
        <v>6403.4854463440633</v>
      </c>
      <c r="L7" s="371">
        <f t="shared" si="4"/>
        <v>49947186.48148369</v>
      </c>
      <c r="M7" s="33">
        <f t="shared" si="5"/>
        <v>7800</v>
      </c>
      <c r="N7" s="371">
        <v>6435.8329898406191</v>
      </c>
      <c r="O7" s="371">
        <f t="shared" si="6"/>
        <v>50199497.32075683</v>
      </c>
      <c r="P7" s="33">
        <f>$B$6</f>
        <v>7800</v>
      </c>
      <c r="Q7" s="371">
        <v>6460.1993222782921</v>
      </c>
      <c r="R7" s="371">
        <f t="shared" ref="R7:R12" si="7">P7*Q7</f>
        <v>50389554.71377068</v>
      </c>
      <c r="S7" s="33">
        <f>$B$6</f>
        <v>7800</v>
      </c>
      <c r="T7" s="371">
        <v>6484.6579066680297</v>
      </c>
      <c r="U7" s="371">
        <f>S7*T7</f>
        <v>50580331.67201063</v>
      </c>
      <c r="V7" s="474"/>
      <c r="W7" s="474"/>
      <c r="X7" s="474"/>
      <c r="Y7" s="474"/>
      <c r="Z7" s="474"/>
      <c r="AA7" s="474"/>
      <c r="AB7" s="474"/>
      <c r="AC7" s="474"/>
      <c r="AD7" s="474"/>
      <c r="AE7" s="474"/>
      <c r="AF7" s="474"/>
      <c r="AG7" s="474"/>
      <c r="AH7" s="474"/>
      <c r="AI7" s="474"/>
      <c r="AJ7" s="474"/>
      <c r="AK7" s="93">
        <f t="shared" si="2"/>
        <v>24154373009.951221</v>
      </c>
      <c r="AT7" s="138"/>
      <c r="AU7" s="183"/>
      <c r="AV7" s="183"/>
      <c r="AW7" s="183"/>
      <c r="AX7" s="137"/>
    </row>
    <row r="8" spans="1:50">
      <c r="A8" s="10"/>
      <c r="B8" s="465"/>
      <c r="C8" s="95"/>
      <c r="F8" s="13">
        <v>5</v>
      </c>
      <c r="G8" s="33">
        <f t="shared" si="0"/>
        <v>3779999.9999999995</v>
      </c>
      <c r="H8" s="371">
        <v>9729.123644905425</v>
      </c>
      <c r="I8" s="371">
        <f t="shared" si="1"/>
        <v>36776087377.7425</v>
      </c>
      <c r="J8" s="33">
        <f t="shared" si="3"/>
        <v>7800</v>
      </c>
      <c r="K8" s="371">
        <v>6336.840327979683</v>
      </c>
      <c r="L8" s="371">
        <f t="shared" si="4"/>
        <v>49427354.558241531</v>
      </c>
      <c r="M8" s="33">
        <f t="shared" si="5"/>
        <v>7800</v>
      </c>
      <c r="N8" s="371">
        <v>6403.4854463440633</v>
      </c>
      <c r="O8" s="371">
        <f t="shared" si="6"/>
        <v>49947186.48148369</v>
      </c>
      <c r="P8" s="33">
        <f t="shared" ref="P8:P12" si="8">$B$6</f>
        <v>7800</v>
      </c>
      <c r="Q8" s="371">
        <v>6435.8329898406191</v>
      </c>
      <c r="R8" s="371">
        <f t="shared" si="7"/>
        <v>50199497.32075683</v>
      </c>
      <c r="S8" s="33">
        <f t="shared" ref="S8:S12" si="9">$B$6</f>
        <v>7800</v>
      </c>
      <c r="T8" s="371">
        <v>6460.1993222782921</v>
      </c>
      <c r="U8" s="371">
        <f t="shared" ref="U8:U12" si="10">S8*T8</f>
        <v>50389554.71377068</v>
      </c>
      <c r="V8" s="33">
        <f>$B$6</f>
        <v>7800</v>
      </c>
      <c r="W8" s="371">
        <v>6484.6579066680297</v>
      </c>
      <c r="X8" s="371">
        <f>V8*W8</f>
        <v>50580331.67201063</v>
      </c>
      <c r="Y8" s="474"/>
      <c r="Z8" s="474"/>
      <c r="AA8" s="474"/>
      <c r="AB8" s="474"/>
      <c r="AC8" s="474"/>
      <c r="AD8" s="474"/>
      <c r="AE8" s="474"/>
      <c r="AF8" s="474"/>
      <c r="AG8" s="474"/>
      <c r="AH8" s="474"/>
      <c r="AI8" s="474"/>
      <c r="AJ8" s="474"/>
      <c r="AK8" s="93">
        <f t="shared" si="2"/>
        <v>37026631302.488762</v>
      </c>
      <c r="AT8" s="10"/>
      <c r="AX8" s="95"/>
    </row>
    <row r="9" spans="1:50">
      <c r="A9" s="10"/>
      <c r="B9" s="465"/>
      <c r="C9" s="95"/>
      <c r="F9" s="13">
        <v>6</v>
      </c>
      <c r="G9" s="33">
        <f t="shared" si="0"/>
        <v>3779999.9999999995</v>
      </c>
      <c r="H9" s="371">
        <v>16222.977297260062</v>
      </c>
      <c r="I9" s="371">
        <f t="shared" si="1"/>
        <v>61322854183.643028</v>
      </c>
      <c r="J9" s="33">
        <f t="shared" si="3"/>
        <v>7800</v>
      </c>
      <c r="K9" s="371">
        <v>9729.123644905425</v>
      </c>
      <c r="L9" s="371">
        <f t="shared" si="4"/>
        <v>75887164.430262312</v>
      </c>
      <c r="M9" s="33">
        <f t="shared" si="5"/>
        <v>7800</v>
      </c>
      <c r="N9" s="371">
        <v>6336.840327979683</v>
      </c>
      <c r="O9" s="371">
        <f t="shared" si="6"/>
        <v>49427354.558241531</v>
      </c>
      <c r="P9" s="33">
        <f t="shared" si="8"/>
        <v>7800</v>
      </c>
      <c r="Q9" s="371">
        <v>6403.4854463440633</v>
      </c>
      <c r="R9" s="371">
        <f t="shared" si="7"/>
        <v>49947186.48148369</v>
      </c>
      <c r="S9" s="33">
        <f t="shared" si="9"/>
        <v>7800</v>
      </c>
      <c r="T9" s="371">
        <v>6435.8329898406191</v>
      </c>
      <c r="U9" s="371">
        <f t="shared" si="10"/>
        <v>50199497.32075683</v>
      </c>
      <c r="V9" s="33">
        <f t="shared" ref="V9:V12" si="11">$B$6</f>
        <v>7800</v>
      </c>
      <c r="W9" s="371">
        <v>6460.1993222782921</v>
      </c>
      <c r="X9" s="371">
        <f t="shared" ref="X9:X12" si="12">V9*W9</f>
        <v>50389554.71377068</v>
      </c>
      <c r="Y9" s="33">
        <f>$B$6</f>
        <v>7800</v>
      </c>
      <c r="Z9" s="371">
        <v>6484.6579066680297</v>
      </c>
      <c r="AA9" s="371">
        <f>Y9*Z9</f>
        <v>50580331.67201063</v>
      </c>
      <c r="AB9" s="474"/>
      <c r="AC9" s="474"/>
      <c r="AD9" s="474"/>
      <c r="AE9" s="474"/>
      <c r="AF9" s="474"/>
      <c r="AG9" s="474"/>
      <c r="AH9" s="474"/>
      <c r="AI9" s="474"/>
      <c r="AJ9" s="474"/>
      <c r="AK9" s="93">
        <f t="shared" si="2"/>
        <v>61649285272.81955</v>
      </c>
      <c r="AT9" s="10"/>
      <c r="AX9" s="95"/>
    </row>
    <row r="10" spans="1:50">
      <c r="A10" s="10"/>
      <c r="B10" s="465"/>
      <c r="C10" s="95"/>
      <c r="F10" s="13">
        <v>7</v>
      </c>
      <c r="G10" s="33">
        <f t="shared" si="0"/>
        <v>3779999.9999999995</v>
      </c>
      <c r="H10" s="371">
        <v>24980.809953634864</v>
      </c>
      <c r="I10" s="371">
        <f t="shared" si="1"/>
        <v>94427461624.739777</v>
      </c>
      <c r="J10" s="33">
        <f t="shared" si="3"/>
        <v>7800</v>
      </c>
      <c r="K10" s="371">
        <v>16222.977297260062</v>
      </c>
      <c r="L10" s="371">
        <f t="shared" si="4"/>
        <v>126539222.91862848</v>
      </c>
      <c r="M10" s="33">
        <f t="shared" si="5"/>
        <v>7800</v>
      </c>
      <c r="N10" s="371">
        <v>9729.123644905425</v>
      </c>
      <c r="O10" s="371">
        <f t="shared" si="6"/>
        <v>75887164.430262312</v>
      </c>
      <c r="P10" s="33">
        <f t="shared" si="8"/>
        <v>7800</v>
      </c>
      <c r="Q10" s="371">
        <v>6336.840327979683</v>
      </c>
      <c r="R10" s="371">
        <f t="shared" si="7"/>
        <v>49427354.558241531</v>
      </c>
      <c r="S10" s="33">
        <f t="shared" si="9"/>
        <v>7800</v>
      </c>
      <c r="T10" s="371">
        <v>6403.4854463440633</v>
      </c>
      <c r="U10" s="371">
        <f t="shared" si="10"/>
        <v>49947186.48148369</v>
      </c>
      <c r="V10" s="33">
        <f t="shared" si="11"/>
        <v>7800</v>
      </c>
      <c r="W10" s="371">
        <v>6435.8329898406191</v>
      </c>
      <c r="X10" s="371">
        <f t="shared" si="12"/>
        <v>50199497.32075683</v>
      </c>
      <c r="Y10" s="33">
        <f t="shared" ref="Y10:Y12" si="13">$B$6</f>
        <v>7800</v>
      </c>
      <c r="Z10" s="371">
        <v>6460.1993222782921</v>
      </c>
      <c r="AA10" s="371">
        <f t="shared" ref="AA10:AA12" si="14">Y10*Z10</f>
        <v>50389554.71377068</v>
      </c>
      <c r="AB10" s="33">
        <f>$B$6</f>
        <v>7800</v>
      </c>
      <c r="AC10" s="371">
        <v>6484.6579066680297</v>
      </c>
      <c r="AD10" s="371">
        <f>AB10*AC10</f>
        <v>50580331.67201063</v>
      </c>
      <c r="AE10" s="474"/>
      <c r="AF10" s="474"/>
      <c r="AG10" s="474"/>
      <c r="AH10" s="474"/>
      <c r="AI10" s="474"/>
      <c r="AJ10" s="474"/>
      <c r="AK10" s="93">
        <f t="shared" si="2"/>
        <v>94880431936.834946</v>
      </c>
      <c r="AT10" s="10"/>
      <c r="AX10" s="95"/>
    </row>
    <row r="11" spans="1:50">
      <c r="A11" s="10"/>
      <c r="B11" s="465"/>
      <c r="C11" s="95"/>
      <c r="F11" s="13">
        <v>8</v>
      </c>
      <c r="G11" s="33">
        <f t="shared" si="0"/>
        <v>3779999.9999999995</v>
      </c>
      <c r="H11" s="371">
        <v>35098.669861076603</v>
      </c>
      <c r="I11" s="371">
        <f t="shared" si="1"/>
        <v>132672972074.86954</v>
      </c>
      <c r="J11" s="33">
        <f t="shared" si="3"/>
        <v>7800</v>
      </c>
      <c r="K11" s="371">
        <v>24980.809953634864</v>
      </c>
      <c r="L11" s="371">
        <f t="shared" si="4"/>
        <v>194850317.63835195</v>
      </c>
      <c r="M11" s="33">
        <f t="shared" si="5"/>
        <v>7800</v>
      </c>
      <c r="N11" s="371">
        <v>16222.977297260062</v>
      </c>
      <c r="O11" s="371">
        <f t="shared" si="6"/>
        <v>126539222.91862848</v>
      </c>
      <c r="P11" s="33">
        <f t="shared" si="8"/>
        <v>7800</v>
      </c>
      <c r="Q11" s="371">
        <v>9729.123644905425</v>
      </c>
      <c r="R11" s="371">
        <f t="shared" si="7"/>
        <v>75887164.430262312</v>
      </c>
      <c r="S11" s="33">
        <f t="shared" si="9"/>
        <v>7800</v>
      </c>
      <c r="T11" s="371">
        <v>6336.840327979683</v>
      </c>
      <c r="U11" s="371">
        <f t="shared" si="10"/>
        <v>49427354.558241531</v>
      </c>
      <c r="V11" s="33">
        <f t="shared" si="11"/>
        <v>7800</v>
      </c>
      <c r="W11" s="371">
        <v>6403.4854463440633</v>
      </c>
      <c r="X11" s="371">
        <f t="shared" si="12"/>
        <v>49947186.48148369</v>
      </c>
      <c r="Y11" s="33">
        <f t="shared" si="13"/>
        <v>7800</v>
      </c>
      <c r="Z11" s="371">
        <v>6435.8329898406191</v>
      </c>
      <c r="AA11" s="371">
        <f t="shared" si="14"/>
        <v>50199497.32075683</v>
      </c>
      <c r="AB11" s="33">
        <f t="shared" ref="AB11:AB12" si="15">$B$6</f>
        <v>7800</v>
      </c>
      <c r="AC11" s="371">
        <v>6460.1993222782921</v>
      </c>
      <c r="AD11" s="371">
        <f t="shared" ref="AD11:AD12" si="16">AB11*AC11</f>
        <v>50389554.71377068</v>
      </c>
      <c r="AE11" s="33">
        <f>$B$6</f>
        <v>7800</v>
      </c>
      <c r="AF11" s="371">
        <v>6484.6579066680297</v>
      </c>
      <c r="AG11" s="371">
        <f>AE11*AF11</f>
        <v>50580331.67201063</v>
      </c>
      <c r="AH11" s="474"/>
      <c r="AI11" s="474"/>
      <c r="AJ11" s="474"/>
      <c r="AK11" s="93">
        <f t="shared" si="2"/>
        <v>133320792704.60306</v>
      </c>
      <c r="AT11" s="10"/>
      <c r="AX11" s="95"/>
    </row>
    <row r="12" spans="1:50">
      <c r="A12" s="10"/>
      <c r="B12" s="465"/>
      <c r="C12" s="95"/>
      <c r="F12" s="13">
        <v>9</v>
      </c>
      <c r="G12" s="33">
        <f t="shared" si="0"/>
        <v>3779999.9999999995</v>
      </c>
      <c r="H12" s="371">
        <v>45936.647831243616</v>
      </c>
      <c r="I12" s="371">
        <f t="shared" si="1"/>
        <v>173640528802.10086</v>
      </c>
      <c r="J12" s="33">
        <f t="shared" si="3"/>
        <v>7800</v>
      </c>
      <c r="K12" s="371">
        <v>35098.669861076603</v>
      </c>
      <c r="L12" s="371">
        <f t="shared" si="4"/>
        <v>273769624.91639751</v>
      </c>
      <c r="M12" s="33">
        <f t="shared" si="5"/>
        <v>7800</v>
      </c>
      <c r="N12" s="371">
        <v>24980.809953634864</v>
      </c>
      <c r="O12" s="371">
        <f t="shared" si="6"/>
        <v>194850317.63835195</v>
      </c>
      <c r="P12" s="33">
        <f t="shared" si="8"/>
        <v>7800</v>
      </c>
      <c r="Q12" s="371">
        <v>16222.977297260062</v>
      </c>
      <c r="R12" s="371">
        <f t="shared" si="7"/>
        <v>126539222.91862848</v>
      </c>
      <c r="S12" s="33">
        <f t="shared" si="9"/>
        <v>7800</v>
      </c>
      <c r="T12" s="371">
        <v>9729.123644905425</v>
      </c>
      <c r="U12" s="371">
        <f t="shared" si="10"/>
        <v>75887164.430262312</v>
      </c>
      <c r="V12" s="33">
        <f t="shared" si="11"/>
        <v>7800</v>
      </c>
      <c r="W12" s="371">
        <v>6336.840327979683</v>
      </c>
      <c r="X12" s="371">
        <f t="shared" si="12"/>
        <v>49427354.558241531</v>
      </c>
      <c r="Y12" s="33">
        <f t="shared" si="13"/>
        <v>7800</v>
      </c>
      <c r="Z12" s="371">
        <v>6403.4854463440633</v>
      </c>
      <c r="AA12" s="371">
        <f t="shared" si="14"/>
        <v>49947186.48148369</v>
      </c>
      <c r="AB12" s="33">
        <f t="shared" si="15"/>
        <v>7800</v>
      </c>
      <c r="AC12" s="371">
        <v>6435.8329898406191</v>
      </c>
      <c r="AD12" s="371">
        <f t="shared" si="16"/>
        <v>50199497.32075683</v>
      </c>
      <c r="AE12" s="33">
        <f t="shared" ref="AE12" si="17">$B$6</f>
        <v>7800</v>
      </c>
      <c r="AF12" s="371">
        <v>6460.1993222782921</v>
      </c>
      <c r="AG12" s="371">
        <f t="shared" ref="AG12" si="18">AE12*AF12</f>
        <v>50389554.71377068</v>
      </c>
      <c r="AH12" s="33">
        <f>$B$6</f>
        <v>7800</v>
      </c>
      <c r="AI12" s="371">
        <v>6484.6579066680297</v>
      </c>
      <c r="AJ12" s="371">
        <f>AH12*AI12</f>
        <v>50580331.67201063</v>
      </c>
      <c r="AK12" s="93">
        <f t="shared" si="2"/>
        <v>174562119056.75079</v>
      </c>
      <c r="AT12" s="10"/>
      <c r="AX12" s="95"/>
    </row>
    <row r="13" spans="1:50" ht="16.5" thickBot="1">
      <c r="A13" s="84" t="s">
        <v>414</v>
      </c>
      <c r="B13" s="467">
        <f>100%*B7</f>
        <v>0.7</v>
      </c>
      <c r="C13" s="225"/>
      <c r="F13" s="134"/>
      <c r="G13" s="424"/>
      <c r="H13" s="372"/>
      <c r="I13" s="372"/>
      <c r="J13" s="424"/>
      <c r="K13" s="372"/>
      <c r="L13" s="372"/>
      <c r="M13" s="424"/>
      <c r="N13" s="372"/>
      <c r="O13" s="372"/>
      <c r="P13" s="424"/>
      <c r="Q13" s="372"/>
      <c r="R13" s="372"/>
      <c r="S13" s="424"/>
      <c r="T13" s="372"/>
      <c r="U13" s="372"/>
      <c r="V13" s="372"/>
      <c r="W13" s="372"/>
      <c r="X13" s="372"/>
      <c r="Y13" s="372"/>
      <c r="Z13" s="372"/>
      <c r="AA13" s="372"/>
      <c r="AB13" s="372"/>
      <c r="AC13" s="372"/>
      <c r="AD13" s="372"/>
      <c r="AE13" s="372"/>
      <c r="AF13" s="372"/>
      <c r="AG13" s="372"/>
      <c r="AH13" s="372"/>
      <c r="AI13" s="372"/>
      <c r="AJ13" s="372"/>
      <c r="AK13" s="94"/>
      <c r="AT13" s="10"/>
      <c r="AU13" s="593" t="s">
        <v>447</v>
      </c>
      <c r="AV13" s="155"/>
      <c r="AW13" s="593" t="s">
        <v>448</v>
      </c>
      <c r="AX13" s="95"/>
    </row>
    <row r="14" spans="1:50" ht="16.5" thickBot="1">
      <c r="K14" s="371"/>
      <c r="AK14" s="400">
        <f>SUM(AK3:AK13)</f>
        <v>623360536899.40796</v>
      </c>
      <c r="AT14" s="10"/>
      <c r="AU14" s="594">
        <f>0.5*AT6</f>
        <v>1889999.9999999998</v>
      </c>
      <c r="AW14" s="594">
        <f>0.5*AT6</f>
        <v>1889999.9999999998</v>
      </c>
      <c r="AX14" s="95"/>
    </row>
    <row r="15" spans="1:50" ht="16.5" thickBot="1">
      <c r="A15" s="378" t="s">
        <v>417</v>
      </c>
      <c r="B15" s="183"/>
      <c r="C15" s="183"/>
      <c r="D15" s="137"/>
      <c r="AT15" s="84"/>
      <c r="AU15" s="96"/>
      <c r="AV15" s="96"/>
      <c r="AW15" s="96"/>
      <c r="AX15" s="225"/>
    </row>
    <row r="16" spans="1:50" ht="16.5" thickBot="1">
      <c r="A16" s="13" t="s">
        <v>409</v>
      </c>
      <c r="B16" s="11" t="s">
        <v>16</v>
      </c>
      <c r="C16" s="11" t="s">
        <v>17</v>
      </c>
      <c r="D16" s="12" t="s">
        <v>13</v>
      </c>
      <c r="F16" s="718" t="s">
        <v>480</v>
      </c>
      <c r="G16" s="719"/>
      <c r="H16" s="719"/>
      <c r="I16" s="719"/>
      <c r="J16" s="719"/>
      <c r="K16" s="719"/>
      <c r="L16" s="719"/>
      <c r="M16" s="719"/>
      <c r="N16" s="719"/>
      <c r="O16" s="719"/>
      <c r="P16" s="719"/>
      <c r="Q16" s="719"/>
      <c r="R16" s="719"/>
      <c r="S16" s="719"/>
      <c r="T16" s="719"/>
      <c r="U16" s="719"/>
      <c r="V16" s="719"/>
      <c r="W16" s="719"/>
      <c r="X16" s="719"/>
      <c r="Y16" s="719"/>
      <c r="Z16" s="719"/>
      <c r="AA16" s="719"/>
      <c r="AB16" s="719"/>
      <c r="AC16" s="719"/>
      <c r="AD16" s="719"/>
      <c r="AE16" s="719"/>
      <c r="AF16" s="719"/>
      <c r="AG16" s="719"/>
      <c r="AH16" s="719"/>
      <c r="AI16" s="719"/>
      <c r="AJ16" s="719"/>
      <c r="AK16" s="720"/>
    </row>
    <row r="17" spans="1:53" ht="16.5" thickBot="1">
      <c r="A17" s="13" t="s">
        <v>421</v>
      </c>
      <c r="B17" s="472">
        <v>0.17499999999999999</v>
      </c>
      <c r="C17" s="472">
        <v>2.9000000000000001E-2</v>
      </c>
      <c r="D17" s="95" t="s">
        <v>420</v>
      </c>
      <c r="F17" s="378" t="s">
        <v>219</v>
      </c>
      <c r="G17" s="475" t="s">
        <v>202</v>
      </c>
      <c r="H17" s="379" t="s">
        <v>424</v>
      </c>
      <c r="I17" s="379" t="s">
        <v>423</v>
      </c>
      <c r="J17" s="475" t="s">
        <v>425</v>
      </c>
      <c r="K17" s="475" t="s">
        <v>424</v>
      </c>
      <c r="L17" s="475" t="s">
        <v>423</v>
      </c>
      <c r="M17" s="475" t="s">
        <v>425</v>
      </c>
      <c r="N17" s="475" t="s">
        <v>424</v>
      </c>
      <c r="O17" s="475" t="s">
        <v>423</v>
      </c>
      <c r="P17" s="475" t="s">
        <v>425</v>
      </c>
      <c r="Q17" s="475" t="s">
        <v>424</v>
      </c>
      <c r="R17" s="475" t="s">
        <v>423</v>
      </c>
      <c r="S17" s="475" t="s">
        <v>425</v>
      </c>
      <c r="T17" s="475" t="s">
        <v>424</v>
      </c>
      <c r="U17" s="475" t="s">
        <v>423</v>
      </c>
      <c r="V17" s="320" t="s">
        <v>425</v>
      </c>
      <c r="W17" s="320" t="s">
        <v>424</v>
      </c>
      <c r="X17" s="320" t="s">
        <v>423</v>
      </c>
      <c r="Y17" s="320" t="s">
        <v>425</v>
      </c>
      <c r="Z17" s="320" t="s">
        <v>424</v>
      </c>
      <c r="AA17" s="320" t="s">
        <v>423</v>
      </c>
      <c r="AB17" s="320" t="s">
        <v>425</v>
      </c>
      <c r="AC17" s="320" t="s">
        <v>424</v>
      </c>
      <c r="AD17" s="320" t="s">
        <v>423</v>
      </c>
      <c r="AE17" s="320" t="s">
        <v>425</v>
      </c>
      <c r="AF17" s="320" t="s">
        <v>424</v>
      </c>
      <c r="AG17" s="320" t="s">
        <v>423</v>
      </c>
      <c r="AH17" s="320" t="s">
        <v>425</v>
      </c>
      <c r="AI17" s="320" t="s">
        <v>424</v>
      </c>
      <c r="AJ17" s="320" t="s">
        <v>423</v>
      </c>
      <c r="AK17" s="380" t="s">
        <v>426</v>
      </c>
      <c r="AV17" s="155"/>
      <c r="AW17" s="155"/>
    </row>
    <row r="18" spans="1:53" ht="16.5" thickBot="1">
      <c r="A18" s="139">
        <v>1</v>
      </c>
      <c r="B18" s="473">
        <v>3.3000000000000002E-2</v>
      </c>
      <c r="C18" s="469">
        <f>0.041-0.033</f>
        <v>8.0000000000000002E-3</v>
      </c>
      <c r="D18" s="95" t="s">
        <v>420</v>
      </c>
      <c r="F18" s="13">
        <v>0</v>
      </c>
      <c r="G18" s="33">
        <f>$B$1</f>
        <v>3779999.9999999995</v>
      </c>
      <c r="H18" s="371">
        <v>8145.964497089758</v>
      </c>
      <c r="I18" s="371">
        <f>G18*H18</f>
        <v>30791745798.999283</v>
      </c>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93">
        <f t="shared" ref="AK18:AK27" si="19">SUM(I18,L18,O18,R18,U18,X18,AA18,AD18,AG18,AJ18)</f>
        <v>30791745798.999283</v>
      </c>
      <c r="AO18" s="609" t="s">
        <v>471</v>
      </c>
      <c r="AQ18" s="754" t="s">
        <v>463</v>
      </c>
      <c r="AR18" s="755"/>
      <c r="AS18" s="756"/>
      <c r="AU18" s="155"/>
      <c r="AV18" s="155"/>
      <c r="AW18" s="155"/>
      <c r="AY18" s="754" t="s">
        <v>464</v>
      </c>
      <c r="AZ18" s="755"/>
      <c r="BA18" s="756"/>
    </row>
    <row r="19" spans="1:53">
      <c r="A19" s="139">
        <v>2</v>
      </c>
      <c r="B19" s="469">
        <v>5.6000000000000001E-2</v>
      </c>
      <c r="C19" s="469">
        <f>0.07-0.056</f>
        <v>1.4000000000000005E-2</v>
      </c>
      <c r="D19" s="95" t="s">
        <v>420</v>
      </c>
      <c r="F19" s="13">
        <v>1</v>
      </c>
      <c r="G19" s="33">
        <f t="shared" ref="G19:G27" si="20">$B$1</f>
        <v>3779999.9999999995</v>
      </c>
      <c r="H19" s="371">
        <v>8115.2398601150016</v>
      </c>
      <c r="I19" s="371">
        <f t="shared" ref="I19:I27" si="21">G19*H19</f>
        <v>30675606671.234703</v>
      </c>
      <c r="J19" s="33">
        <f>$B$6</f>
        <v>7800</v>
      </c>
      <c r="K19" s="371">
        <v>8145.964497089758</v>
      </c>
      <c r="L19" s="371">
        <f t="shared" ref="L19:L22" si="22">J19*K19</f>
        <v>63538523.077300109</v>
      </c>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93">
        <f t="shared" si="19"/>
        <v>30739145194.312004</v>
      </c>
      <c r="AO19" s="127"/>
    </row>
    <row r="20" spans="1:53" ht="16.5" thickBot="1">
      <c r="A20" s="139">
        <v>3</v>
      </c>
      <c r="B20" s="469">
        <v>7.4999999999999997E-2</v>
      </c>
      <c r="C20" s="469">
        <v>1.2999999999999999E-2</v>
      </c>
      <c r="D20" s="95" t="s">
        <v>420</v>
      </c>
      <c r="F20" s="13">
        <v>2</v>
      </c>
      <c r="G20" s="33">
        <f t="shared" si="20"/>
        <v>3779999.9999999995</v>
      </c>
      <c r="H20" s="371">
        <v>8084.6311091495163</v>
      </c>
      <c r="I20" s="371">
        <f t="shared" si="21"/>
        <v>30559905592.585167</v>
      </c>
      <c r="J20" s="33">
        <f t="shared" ref="J20:J27" si="23">$B$6</f>
        <v>7800</v>
      </c>
      <c r="K20" s="371">
        <v>8115.2398601150016</v>
      </c>
      <c r="L20" s="371">
        <f t="shared" si="22"/>
        <v>63298870.908897012</v>
      </c>
      <c r="M20" s="33">
        <f>$B$6</f>
        <v>7800</v>
      </c>
      <c r="N20" s="371">
        <v>8145.964497089758</v>
      </c>
      <c r="O20" s="371">
        <f t="shared" ref="O20:O27" si="24">M20*N20</f>
        <v>63538523.077300109</v>
      </c>
      <c r="P20" s="474"/>
      <c r="Q20" s="474"/>
      <c r="R20" s="474"/>
      <c r="S20" s="474"/>
      <c r="T20" s="474"/>
      <c r="U20" s="474"/>
      <c r="V20" s="474"/>
      <c r="W20" s="474"/>
      <c r="X20" s="474"/>
      <c r="Y20" s="474"/>
      <c r="Z20" s="474"/>
      <c r="AA20" s="474"/>
      <c r="AB20" s="474"/>
      <c r="AC20" s="474"/>
      <c r="AD20" s="474"/>
      <c r="AE20" s="474"/>
      <c r="AF20" s="474"/>
      <c r="AG20" s="474"/>
      <c r="AH20" s="474"/>
      <c r="AI20" s="474"/>
      <c r="AJ20" s="474"/>
      <c r="AK20" s="93">
        <f t="shared" si="19"/>
        <v>30686742986.571365</v>
      </c>
      <c r="AO20" s="127"/>
    </row>
    <row r="21" spans="1:53" ht="16.5" thickBot="1">
      <c r="A21" s="381">
        <v>4</v>
      </c>
      <c r="B21" s="471">
        <v>1.0999999999999999E-2</v>
      </c>
      <c r="C21" s="471">
        <v>4.0000000000000001E-3</v>
      </c>
      <c r="D21" s="225" t="s">
        <v>420</v>
      </c>
      <c r="F21" s="13">
        <v>3</v>
      </c>
      <c r="G21" s="33">
        <f t="shared" si="20"/>
        <v>3779999.9999999995</v>
      </c>
      <c r="H21" s="371">
        <v>8043.9964381023256</v>
      </c>
      <c r="I21" s="371">
        <f t="shared" si="21"/>
        <v>30406306536.026787</v>
      </c>
      <c r="J21" s="33">
        <f t="shared" si="23"/>
        <v>7800</v>
      </c>
      <c r="K21" s="371">
        <v>8084.6311091495163</v>
      </c>
      <c r="L21" s="371">
        <f t="shared" si="22"/>
        <v>63060122.651366226</v>
      </c>
      <c r="M21" s="33">
        <f t="shared" ref="M21:M27" si="25">$B$6</f>
        <v>7800</v>
      </c>
      <c r="N21" s="371">
        <v>8115.2398601150016</v>
      </c>
      <c r="O21" s="371">
        <f t="shared" si="24"/>
        <v>63298870.908897012</v>
      </c>
      <c r="P21" s="33">
        <f>$B$6</f>
        <v>7800</v>
      </c>
      <c r="Q21" s="371">
        <v>8145.964497089758</v>
      </c>
      <c r="R21" s="371">
        <f t="shared" ref="R21:R27" si="26">P21*Q21</f>
        <v>63538523.077300109</v>
      </c>
      <c r="S21" s="474"/>
      <c r="T21" s="474"/>
      <c r="U21" s="474"/>
      <c r="V21" s="474"/>
      <c r="W21" s="474"/>
      <c r="X21" s="474"/>
      <c r="Y21" s="474"/>
      <c r="Z21" s="474"/>
      <c r="AA21" s="474"/>
      <c r="AB21" s="474"/>
      <c r="AC21" s="474"/>
      <c r="AD21" s="474"/>
      <c r="AE21" s="474"/>
      <c r="AF21" s="474"/>
      <c r="AG21" s="474"/>
      <c r="AH21" s="474"/>
      <c r="AI21" s="474"/>
      <c r="AJ21" s="474"/>
      <c r="AK21" s="93">
        <f t="shared" si="19"/>
        <v>30596204052.664352</v>
      </c>
      <c r="AO21" s="610"/>
      <c r="AQ21" s="751" t="s">
        <v>450</v>
      </c>
      <c r="AR21" s="752"/>
      <c r="AS21" s="753"/>
      <c r="AV21" s="588" t="s">
        <v>465</v>
      </c>
      <c r="AW21" s="582"/>
      <c r="AY21" s="751" t="s">
        <v>450</v>
      </c>
      <c r="AZ21" s="752"/>
      <c r="BA21" s="753"/>
    </row>
    <row r="22" spans="1:53">
      <c r="A22" s="73"/>
      <c r="F22" s="13">
        <v>4</v>
      </c>
      <c r="G22" s="33">
        <f t="shared" si="20"/>
        <v>3779999.9999999995</v>
      </c>
      <c r="H22" s="371">
        <v>7984.3266621670682</v>
      </c>
      <c r="I22" s="371">
        <f t="shared" si="21"/>
        <v>30180754782.991512</v>
      </c>
      <c r="J22" s="33">
        <f t="shared" si="23"/>
        <v>7800</v>
      </c>
      <c r="K22" s="371">
        <v>8043.9964381023256</v>
      </c>
      <c r="L22" s="371">
        <f t="shared" si="22"/>
        <v>62743172.217198141</v>
      </c>
      <c r="M22" s="33">
        <f t="shared" si="25"/>
        <v>7800</v>
      </c>
      <c r="N22" s="371">
        <v>8084.6311091495163</v>
      </c>
      <c r="O22" s="371">
        <f t="shared" si="24"/>
        <v>63060122.651366226</v>
      </c>
      <c r="P22" s="33">
        <f>$B$6</f>
        <v>7800</v>
      </c>
      <c r="Q22" s="371">
        <v>8115.2398601150016</v>
      </c>
      <c r="R22" s="371">
        <f t="shared" si="26"/>
        <v>63298870.908897012</v>
      </c>
      <c r="S22" s="33">
        <f>$B$6</f>
        <v>7800</v>
      </c>
      <c r="T22" s="371">
        <v>8145.9644970897598</v>
      </c>
      <c r="U22" s="371">
        <f>S22*T22</f>
        <v>63538523.077300124</v>
      </c>
      <c r="V22" s="474"/>
      <c r="W22" s="474"/>
      <c r="X22" s="474"/>
      <c r="Y22" s="474"/>
      <c r="Z22" s="474"/>
      <c r="AA22" s="474"/>
      <c r="AB22" s="474"/>
      <c r="AC22" s="474"/>
      <c r="AD22" s="474"/>
      <c r="AE22" s="474"/>
      <c r="AF22" s="474"/>
      <c r="AG22" s="474"/>
      <c r="AH22" s="474"/>
      <c r="AI22" s="474"/>
      <c r="AJ22" s="474"/>
      <c r="AK22" s="93">
        <f t="shared" si="19"/>
        <v>30433395471.846275</v>
      </c>
      <c r="AO22" s="611" t="s">
        <v>453</v>
      </c>
      <c r="AQ22" s="748">
        <f>H3</f>
        <v>6484.6579066680279</v>
      </c>
      <c r="AR22" s="749"/>
      <c r="AS22" s="750"/>
      <c r="AV22" s="589">
        <f>AQ22-AY22</f>
        <v>-1661.3065904217301</v>
      </c>
      <c r="AW22" s="587"/>
      <c r="AY22" s="748">
        <f>H18</f>
        <v>8145.964497089758</v>
      </c>
      <c r="AZ22" s="749"/>
      <c r="BA22" s="750"/>
    </row>
    <row r="23" spans="1:53">
      <c r="A23" s="73"/>
      <c r="F23" s="13">
        <v>5</v>
      </c>
      <c r="G23" s="33">
        <f t="shared" si="20"/>
        <v>3779999.9999999995</v>
      </c>
      <c r="H23" s="371">
        <v>9452.946014016663</v>
      </c>
      <c r="I23" s="371">
        <f t="shared" si="21"/>
        <v>35732135932.982979</v>
      </c>
      <c r="J23" s="33">
        <f t="shared" si="23"/>
        <v>7800</v>
      </c>
      <c r="K23" s="371">
        <v>7984.3266621670682</v>
      </c>
      <c r="L23" s="371">
        <f t="shared" ref="L23:L27" si="27">J23*K23</f>
        <v>62277747.964903131</v>
      </c>
      <c r="M23" s="33">
        <f t="shared" si="25"/>
        <v>7800</v>
      </c>
      <c r="N23" s="371">
        <v>8043.9964381023256</v>
      </c>
      <c r="O23" s="371">
        <f t="shared" si="24"/>
        <v>62743172.217198141</v>
      </c>
      <c r="P23" s="33">
        <f t="shared" ref="P23:P27" si="28">$B$6</f>
        <v>7800</v>
      </c>
      <c r="Q23" s="371">
        <v>8084.6311091495163</v>
      </c>
      <c r="R23" s="371">
        <f t="shared" si="26"/>
        <v>63060122.651366226</v>
      </c>
      <c r="S23" s="33">
        <f t="shared" ref="S23:S27" si="29">$B$6</f>
        <v>7800</v>
      </c>
      <c r="T23" s="371">
        <v>8115.2398601150016</v>
      </c>
      <c r="U23" s="371">
        <f t="shared" ref="U23:U27" si="30">S23*T23</f>
        <v>63298870.908897012</v>
      </c>
      <c r="V23" s="33">
        <f>$B$6</f>
        <v>7800</v>
      </c>
      <c r="W23" s="371">
        <v>8145.9644970897598</v>
      </c>
      <c r="X23" s="371">
        <f>V23*W23</f>
        <v>63538523.077300124</v>
      </c>
      <c r="Y23" s="474"/>
      <c r="Z23" s="474"/>
      <c r="AA23" s="474"/>
      <c r="AB23" s="474"/>
      <c r="AC23" s="474"/>
      <c r="AD23" s="474"/>
      <c r="AE23" s="474"/>
      <c r="AF23" s="474"/>
      <c r="AG23" s="474"/>
      <c r="AH23" s="474"/>
      <c r="AI23" s="474"/>
      <c r="AJ23" s="474"/>
      <c r="AK23" s="93">
        <f t="shared" si="19"/>
        <v>36047054369.80265</v>
      </c>
      <c r="AO23" s="611"/>
      <c r="AQ23" s="691"/>
      <c r="AR23" s="587"/>
      <c r="AS23" s="692"/>
      <c r="AV23" s="589"/>
      <c r="AW23" s="587"/>
      <c r="AY23" s="691"/>
      <c r="AZ23" s="587"/>
      <c r="BA23" s="692"/>
    </row>
    <row r="24" spans="1:53">
      <c r="A24" s="73"/>
      <c r="F24" s="13">
        <v>6</v>
      </c>
      <c r="G24" s="33">
        <f t="shared" si="20"/>
        <v>3779999.9999999995</v>
      </c>
      <c r="H24" s="371">
        <v>12563.324317177787</v>
      </c>
      <c r="I24" s="371">
        <f t="shared" si="21"/>
        <v>47489365918.93203</v>
      </c>
      <c r="J24" s="33">
        <f t="shared" si="23"/>
        <v>7800</v>
      </c>
      <c r="K24" s="371">
        <v>9452.946014016663</v>
      </c>
      <c r="L24" s="371">
        <f t="shared" si="27"/>
        <v>73732978.909329966</v>
      </c>
      <c r="M24" s="33">
        <f t="shared" si="25"/>
        <v>7800</v>
      </c>
      <c r="N24" s="371">
        <v>7984.3266621670682</v>
      </c>
      <c r="O24" s="371">
        <f t="shared" si="24"/>
        <v>62277747.964903131</v>
      </c>
      <c r="P24" s="33">
        <f t="shared" si="28"/>
        <v>7800</v>
      </c>
      <c r="Q24" s="371">
        <v>8043.9964381023256</v>
      </c>
      <c r="R24" s="371">
        <f t="shared" si="26"/>
        <v>62743172.217198141</v>
      </c>
      <c r="S24" s="33">
        <f t="shared" si="29"/>
        <v>7800</v>
      </c>
      <c r="T24" s="371">
        <v>8084.6311091495163</v>
      </c>
      <c r="U24" s="371">
        <f t="shared" si="30"/>
        <v>63060122.651366226</v>
      </c>
      <c r="V24" s="33">
        <f t="shared" ref="V24:V27" si="31">$B$6</f>
        <v>7800</v>
      </c>
      <c r="W24" s="371">
        <v>8115.2398601150016</v>
      </c>
      <c r="X24" s="371">
        <f t="shared" ref="X24:X27" si="32">V24*W24</f>
        <v>63298870.908897012</v>
      </c>
      <c r="Y24" s="33">
        <f>$B$6</f>
        <v>7800</v>
      </c>
      <c r="Z24" s="371">
        <v>8145.9644970897598</v>
      </c>
      <c r="AA24" s="371">
        <f>Y24*Z24</f>
        <v>63538523.077300124</v>
      </c>
      <c r="AB24" s="474"/>
      <c r="AC24" s="474"/>
      <c r="AD24" s="474"/>
      <c r="AE24" s="474"/>
      <c r="AF24" s="474"/>
      <c r="AG24" s="474"/>
      <c r="AH24" s="474"/>
      <c r="AI24" s="474"/>
      <c r="AJ24" s="474"/>
      <c r="AK24" s="93">
        <f t="shared" si="19"/>
        <v>47878017334.661034</v>
      </c>
      <c r="AO24" s="611"/>
      <c r="AQ24" s="691"/>
      <c r="AR24" s="587"/>
      <c r="AS24" s="692"/>
      <c r="AV24" s="589"/>
      <c r="AW24" s="587"/>
      <c r="AY24" s="691"/>
      <c r="AZ24" s="587"/>
      <c r="BA24" s="692"/>
    </row>
    <row r="25" spans="1:53">
      <c r="A25" s="73"/>
      <c r="F25" s="13">
        <v>7</v>
      </c>
      <c r="G25" s="33">
        <f t="shared" si="20"/>
        <v>3779999.9999999995</v>
      </c>
      <c r="H25" s="371">
        <v>17147.854713447046</v>
      </c>
      <c r="I25" s="371">
        <f t="shared" si="21"/>
        <v>64818890816.829826</v>
      </c>
      <c r="J25" s="33">
        <f t="shared" si="23"/>
        <v>7800</v>
      </c>
      <c r="K25" s="371">
        <v>12563.324317177787</v>
      </c>
      <c r="L25" s="371">
        <f t="shared" si="27"/>
        <v>97993929.673986733</v>
      </c>
      <c r="M25" s="33">
        <f t="shared" si="25"/>
        <v>7800</v>
      </c>
      <c r="N25" s="371">
        <v>9452.946014016663</v>
      </c>
      <c r="O25" s="371">
        <f t="shared" si="24"/>
        <v>73732978.909329966</v>
      </c>
      <c r="P25" s="33">
        <f t="shared" si="28"/>
        <v>7800</v>
      </c>
      <c r="Q25" s="371">
        <v>7984.3266621670682</v>
      </c>
      <c r="R25" s="371">
        <f t="shared" si="26"/>
        <v>62277747.964903131</v>
      </c>
      <c r="S25" s="33">
        <f t="shared" si="29"/>
        <v>7800</v>
      </c>
      <c r="T25" s="371">
        <v>8043.9964381023256</v>
      </c>
      <c r="U25" s="371">
        <f t="shared" si="30"/>
        <v>62743172.217198141</v>
      </c>
      <c r="V25" s="33">
        <f t="shared" si="31"/>
        <v>7800</v>
      </c>
      <c r="W25" s="371">
        <v>8084.6311091495163</v>
      </c>
      <c r="X25" s="371">
        <f t="shared" si="32"/>
        <v>63060122.651366226</v>
      </c>
      <c r="Y25" s="33">
        <f t="shared" ref="Y25:Y27" si="33">$B$6</f>
        <v>7800</v>
      </c>
      <c r="Z25" s="371">
        <v>8115.2398601150016</v>
      </c>
      <c r="AA25" s="371">
        <f t="shared" ref="AA25:AA27" si="34">Y25*Z25</f>
        <v>63298870.908897012</v>
      </c>
      <c r="AB25" s="33">
        <f>$B$6</f>
        <v>7800</v>
      </c>
      <c r="AC25" s="371">
        <v>8145.9644970897598</v>
      </c>
      <c r="AD25" s="371">
        <f>AB25*AC25</f>
        <v>63538523.077300124</v>
      </c>
      <c r="AE25" s="474"/>
      <c r="AF25" s="474"/>
      <c r="AG25" s="474"/>
      <c r="AH25" s="474"/>
      <c r="AI25" s="474"/>
      <c r="AJ25" s="474"/>
      <c r="AK25" s="93">
        <f t="shared" si="19"/>
        <v>65305536162.232819</v>
      </c>
      <c r="AO25" s="611"/>
      <c r="AQ25" s="691"/>
      <c r="AR25" s="587"/>
      <c r="AS25" s="692"/>
      <c r="AV25" s="589"/>
      <c r="AW25" s="587"/>
      <c r="AY25" s="691"/>
      <c r="AZ25" s="587"/>
      <c r="BA25" s="692"/>
    </row>
    <row r="26" spans="1:53">
      <c r="A26" s="73"/>
      <c r="F26" s="13">
        <v>8</v>
      </c>
      <c r="G26" s="33">
        <f t="shared" si="20"/>
        <v>3779999.9999999995</v>
      </c>
      <c r="H26" s="371">
        <v>22899.062743315488</v>
      </c>
      <c r="I26" s="371">
        <f t="shared" si="21"/>
        <v>86558457169.732529</v>
      </c>
      <c r="J26" s="33">
        <f t="shared" si="23"/>
        <v>7800</v>
      </c>
      <c r="K26" s="371">
        <v>17147.854713447046</v>
      </c>
      <c r="L26" s="371">
        <f t="shared" si="27"/>
        <v>133753266.76488696</v>
      </c>
      <c r="M26" s="33">
        <f t="shared" si="25"/>
        <v>7800</v>
      </c>
      <c r="N26" s="371">
        <v>12563.324317177787</v>
      </c>
      <c r="O26" s="371">
        <f t="shared" si="24"/>
        <v>97993929.673986733</v>
      </c>
      <c r="P26" s="33">
        <f t="shared" si="28"/>
        <v>7800</v>
      </c>
      <c r="Q26" s="371">
        <v>9452.946014016663</v>
      </c>
      <c r="R26" s="371">
        <f t="shared" si="26"/>
        <v>73732978.909329966</v>
      </c>
      <c r="S26" s="33">
        <f t="shared" si="29"/>
        <v>7800</v>
      </c>
      <c r="T26" s="371">
        <v>7984.3266621670682</v>
      </c>
      <c r="U26" s="371">
        <f t="shared" si="30"/>
        <v>62277747.964903131</v>
      </c>
      <c r="V26" s="33">
        <f t="shared" si="31"/>
        <v>7800</v>
      </c>
      <c r="W26" s="371">
        <v>8043.9964381023256</v>
      </c>
      <c r="X26" s="371">
        <f t="shared" si="32"/>
        <v>62743172.217198141</v>
      </c>
      <c r="Y26" s="33">
        <f t="shared" si="33"/>
        <v>7800</v>
      </c>
      <c r="Z26" s="371">
        <v>8084.6311091495163</v>
      </c>
      <c r="AA26" s="371">
        <f t="shared" si="34"/>
        <v>63060122.651366226</v>
      </c>
      <c r="AB26" s="33">
        <f t="shared" ref="AB26:AB27" si="35">$B$6</f>
        <v>7800</v>
      </c>
      <c r="AC26" s="371">
        <v>8115.2398601150016</v>
      </c>
      <c r="AD26" s="371">
        <f t="shared" ref="AD26:AD27" si="36">AB26*AC26</f>
        <v>63298870.908897012</v>
      </c>
      <c r="AE26" s="33">
        <f>$B$6</f>
        <v>7800</v>
      </c>
      <c r="AF26" s="371">
        <v>8145.9644970897598</v>
      </c>
      <c r="AG26" s="371">
        <f>AE26*AF26</f>
        <v>63538523.077300124</v>
      </c>
      <c r="AH26" s="474"/>
      <c r="AI26" s="474"/>
      <c r="AJ26" s="474"/>
      <c r="AK26" s="93">
        <f t="shared" si="19"/>
        <v>87178855781.900391</v>
      </c>
      <c r="AO26" s="611"/>
      <c r="AQ26" s="691"/>
      <c r="AR26" s="587"/>
      <c r="AS26" s="692"/>
      <c r="AV26" s="589"/>
      <c r="AW26" s="587"/>
      <c r="AY26" s="691"/>
      <c r="AZ26" s="587"/>
      <c r="BA26" s="692"/>
    </row>
    <row r="27" spans="1:53" ht="16.5" thickBot="1">
      <c r="A27" s="73"/>
      <c r="F27" s="13">
        <v>9</v>
      </c>
      <c r="G27" s="33">
        <f t="shared" si="20"/>
        <v>3779999.9999999995</v>
      </c>
      <c r="H27" s="371">
        <v>29568.454458486412</v>
      </c>
      <c r="I27" s="371">
        <f t="shared" si="21"/>
        <v>111768757853.07863</v>
      </c>
      <c r="J27" s="33">
        <f t="shared" si="23"/>
        <v>7800</v>
      </c>
      <c r="K27" s="371">
        <v>22899.062743315488</v>
      </c>
      <c r="L27" s="371">
        <f t="shared" si="27"/>
        <v>178612689.3978608</v>
      </c>
      <c r="M27" s="33">
        <f t="shared" si="25"/>
        <v>7800</v>
      </c>
      <c r="N27" s="371">
        <v>17147.854713447046</v>
      </c>
      <c r="O27" s="371">
        <f t="shared" si="24"/>
        <v>133753266.76488696</v>
      </c>
      <c r="P27" s="33">
        <f t="shared" si="28"/>
        <v>7800</v>
      </c>
      <c r="Q27" s="371">
        <v>12563.324317177787</v>
      </c>
      <c r="R27" s="371">
        <f t="shared" si="26"/>
        <v>97993929.673986733</v>
      </c>
      <c r="S27" s="33">
        <f t="shared" si="29"/>
        <v>7800</v>
      </c>
      <c r="T27" s="371">
        <v>9452.946014016663</v>
      </c>
      <c r="U27" s="371">
        <f t="shared" si="30"/>
        <v>73732978.909329966</v>
      </c>
      <c r="V27" s="33">
        <f t="shared" si="31"/>
        <v>7800</v>
      </c>
      <c r="W27" s="371">
        <v>7984.3266621670682</v>
      </c>
      <c r="X27" s="371">
        <f t="shared" si="32"/>
        <v>62277747.964903131</v>
      </c>
      <c r="Y27" s="33">
        <f t="shared" si="33"/>
        <v>7800</v>
      </c>
      <c r="Z27" s="371">
        <v>8043.9964381023256</v>
      </c>
      <c r="AA27" s="371">
        <f t="shared" si="34"/>
        <v>62743172.217198141</v>
      </c>
      <c r="AB27" s="33">
        <f t="shared" si="35"/>
        <v>7800</v>
      </c>
      <c r="AC27" s="371">
        <v>8084.6311091495163</v>
      </c>
      <c r="AD27" s="371">
        <f t="shared" si="36"/>
        <v>63060122.651366226</v>
      </c>
      <c r="AE27" s="33">
        <f t="shared" ref="AE27" si="37">$B$6</f>
        <v>7800</v>
      </c>
      <c r="AF27" s="371">
        <v>8115.2398601150016</v>
      </c>
      <c r="AG27" s="371">
        <f t="shared" ref="AG27" si="38">AE27*AF27</f>
        <v>63298870.908897012</v>
      </c>
      <c r="AH27" s="33">
        <f>$B$6</f>
        <v>7800</v>
      </c>
      <c r="AI27" s="371">
        <v>8145.9644970897598</v>
      </c>
      <c r="AJ27" s="371">
        <f>AH27*AI27</f>
        <v>63538523.077300124</v>
      </c>
      <c r="AK27" s="93">
        <f t="shared" si="19"/>
        <v>112567769154.64435</v>
      </c>
      <c r="AO27" s="611"/>
      <c r="AQ27" s="691"/>
      <c r="AR27" s="587"/>
      <c r="AS27" s="692"/>
      <c r="AV27" s="589"/>
      <c r="AW27" s="587"/>
      <c r="AY27" s="691"/>
      <c r="AZ27" s="587"/>
      <c r="BA27" s="692"/>
    </row>
    <row r="28" spans="1:53" ht="16.5" thickBot="1">
      <c r="A28" s="378" t="s">
        <v>419</v>
      </c>
      <c r="B28" s="137"/>
      <c r="F28" s="134"/>
      <c r="G28" s="424"/>
      <c r="H28" s="372"/>
      <c r="I28" s="372"/>
      <c r="J28" s="424"/>
      <c r="K28" s="372"/>
      <c r="L28" s="372"/>
      <c r="M28" s="424"/>
      <c r="N28" s="372"/>
      <c r="O28" s="372"/>
      <c r="P28" s="424"/>
      <c r="Q28" s="372"/>
      <c r="R28" s="372"/>
      <c r="S28" s="424"/>
      <c r="T28" s="372"/>
      <c r="U28" s="372"/>
      <c r="V28" s="372"/>
      <c r="W28" s="372"/>
      <c r="X28" s="372"/>
      <c r="Y28" s="372"/>
      <c r="Z28" s="372"/>
      <c r="AA28" s="372"/>
      <c r="AB28" s="372"/>
      <c r="AC28" s="372"/>
      <c r="AD28" s="372"/>
      <c r="AE28" s="372"/>
      <c r="AF28" s="372"/>
      <c r="AG28" s="372"/>
      <c r="AH28" s="372"/>
      <c r="AI28" s="372"/>
      <c r="AJ28" s="372"/>
      <c r="AK28" s="94"/>
      <c r="AO28" s="611" t="s">
        <v>156</v>
      </c>
      <c r="AQ28" s="745">
        <f>I3</f>
        <v>24512006887.205143</v>
      </c>
      <c r="AR28" s="746"/>
      <c r="AS28" s="747"/>
      <c r="AV28" s="591">
        <f>AQ28-AY28</f>
        <v>-6279738911.7941399</v>
      </c>
      <c r="AW28" s="592"/>
      <c r="AY28" s="745">
        <f>I18</f>
        <v>30791745798.999283</v>
      </c>
      <c r="AZ28" s="746"/>
      <c r="BA28" s="747"/>
    </row>
    <row r="29" spans="1:53" ht="16.5" thickBot="1">
      <c r="A29" s="13" t="s">
        <v>409</v>
      </c>
      <c r="B29" s="12" t="s">
        <v>11</v>
      </c>
      <c r="AK29" s="400">
        <f>SUM(AK18:AK28)</f>
        <v>502224466307.63452</v>
      </c>
      <c r="AO29" s="127"/>
    </row>
    <row r="30" spans="1:53" ht="16.5" thickBot="1">
      <c r="A30" s="139">
        <v>1</v>
      </c>
      <c r="B30" s="14">
        <f>B18/B5</f>
        <v>0.44000000000000006</v>
      </c>
      <c r="AO30" s="127"/>
    </row>
    <row r="31" spans="1:53" ht="16.5" thickBot="1">
      <c r="A31" s="139">
        <v>2</v>
      </c>
      <c r="B31" s="14">
        <f>B19/B5</f>
        <v>0.7466666666666667</v>
      </c>
      <c r="AJ31" s="11" t="s">
        <v>219</v>
      </c>
      <c r="AK31" s="11" t="s">
        <v>481</v>
      </c>
      <c r="AO31" s="127"/>
      <c r="AR31" s="742" t="s">
        <v>455</v>
      </c>
      <c r="AS31" s="743"/>
      <c r="AT31" s="743"/>
      <c r="AU31" s="743"/>
      <c r="AV31" s="743"/>
      <c r="AW31" s="743"/>
      <c r="AX31" s="743"/>
      <c r="AY31" s="743"/>
      <c r="AZ31" s="744"/>
    </row>
    <row r="32" spans="1:53" ht="16.5" thickBot="1">
      <c r="A32" s="139" t="s">
        <v>2</v>
      </c>
      <c r="B32" s="14">
        <f>($B$20/$B$5)*0.5</f>
        <v>0.5</v>
      </c>
      <c r="F32" s="365" t="s">
        <v>427</v>
      </c>
      <c r="G32" s="402">
        <f>AK29-AK14</f>
        <v>-121136070591.77344</v>
      </c>
      <c r="AJ32">
        <v>1</v>
      </c>
      <c r="AK32" s="371">
        <f>AK3-AK18</f>
        <v>-6279738911.7941399</v>
      </c>
      <c r="AO32" s="127"/>
    </row>
    <row r="33" spans="1:53" ht="16.5" thickBot="1">
      <c r="A33" s="139" t="s">
        <v>3</v>
      </c>
      <c r="B33" s="14">
        <f>($B$20/$B$5)*0.5</f>
        <v>0.5</v>
      </c>
      <c r="AJ33">
        <v>2</v>
      </c>
      <c r="AK33" s="371">
        <f t="shared" ref="AK33:AK41" si="39">AK4-AK19</f>
        <v>-6269011424.428051</v>
      </c>
      <c r="AO33" s="127"/>
    </row>
    <row r="34" spans="1:53">
      <c r="A34" s="139">
        <v>4</v>
      </c>
      <c r="B34" s="14">
        <f>B21/B5</f>
        <v>0.14666666666666667</v>
      </c>
      <c r="E34" s="323"/>
      <c r="F34" s="323"/>
      <c r="AJ34">
        <v>3</v>
      </c>
      <c r="AK34" s="371">
        <f t="shared" si="39"/>
        <v>-6258324398.5880432</v>
      </c>
      <c r="AO34" s="127"/>
      <c r="AQ34" s="751" t="s">
        <v>451</v>
      </c>
      <c r="AR34" s="752"/>
      <c r="AS34" s="753"/>
      <c r="AV34" s="588" t="s">
        <v>465</v>
      </c>
      <c r="AW34" s="582"/>
      <c r="AY34" s="751" t="s">
        <v>451</v>
      </c>
      <c r="AZ34" s="752"/>
      <c r="BA34" s="753"/>
    </row>
    <row r="35" spans="1:53" ht="16.5" thickBot="1">
      <c r="A35" s="381" t="s">
        <v>171</v>
      </c>
      <c r="B35" s="418">
        <v>0</v>
      </c>
      <c r="N35" s="11"/>
      <c r="AJ35">
        <v>4</v>
      </c>
      <c r="AK35" s="371">
        <f t="shared" si="39"/>
        <v>-6239859681.777256</v>
      </c>
      <c r="AO35" s="612" t="s">
        <v>452</v>
      </c>
      <c r="AQ35" s="748">
        <f>K4</f>
        <v>6484.6579066680279</v>
      </c>
      <c r="AR35" s="749"/>
      <c r="AS35" s="750"/>
      <c r="AV35" s="589">
        <f>AQ35-AY35</f>
        <v>-1661.3065904217301</v>
      </c>
      <c r="AW35" s="587"/>
      <c r="AY35" s="748">
        <f>K19</f>
        <v>8145.964497089758</v>
      </c>
      <c r="AZ35" s="749"/>
      <c r="BA35" s="750"/>
    </row>
    <row r="36" spans="1:53" ht="16.5" thickBot="1">
      <c r="AJ36">
        <v>5</v>
      </c>
      <c r="AK36" s="371">
        <f t="shared" si="39"/>
        <v>-6279022461.8950539</v>
      </c>
      <c r="AO36" s="612" t="s">
        <v>456</v>
      </c>
      <c r="AQ36" s="748">
        <f>H4</f>
        <v>6460.1993222782921</v>
      </c>
      <c r="AR36" s="749"/>
      <c r="AS36" s="750"/>
      <c r="AV36" s="589">
        <f>AQ36-AY36</f>
        <v>-1655.0405378367095</v>
      </c>
      <c r="AW36" s="587"/>
      <c r="AY36" s="748">
        <f>H19</f>
        <v>8115.2398601150016</v>
      </c>
      <c r="AZ36" s="749"/>
      <c r="BA36" s="750"/>
    </row>
    <row r="37" spans="1:53" ht="16.5" thickBot="1">
      <c r="A37" s="320"/>
      <c r="AJ37">
        <v>6</v>
      </c>
      <c r="AK37" s="371">
        <f t="shared" si="39"/>
        <v>979576932.68611145</v>
      </c>
      <c r="AO37" s="612" t="s">
        <v>156</v>
      </c>
      <c r="AQ37" s="745">
        <f>AK4</f>
        <v>24470133769.883953</v>
      </c>
      <c r="AR37" s="746"/>
      <c r="AS37" s="747"/>
      <c r="AV37" s="591">
        <f>AQ37-AY37</f>
        <v>-6269011424.428051</v>
      </c>
      <c r="AW37" s="592"/>
      <c r="AY37" s="745">
        <f>AK19</f>
        <v>30739145194.312004</v>
      </c>
      <c r="AZ37" s="746"/>
      <c r="BA37" s="747"/>
    </row>
    <row r="38" spans="1:53">
      <c r="A38" s="73"/>
      <c r="B38" s="323"/>
      <c r="AJ38">
        <v>7</v>
      </c>
      <c r="AK38" s="371">
        <f t="shared" si="39"/>
        <v>13771267938.158516</v>
      </c>
      <c r="AO38" s="127"/>
    </row>
    <row r="39" spans="1:53" ht="16.5" thickBot="1">
      <c r="A39" s="73"/>
      <c r="B39" s="323"/>
      <c r="AJ39">
        <v>8</v>
      </c>
      <c r="AK39" s="371">
        <f t="shared" si="39"/>
        <v>29574895774.602127</v>
      </c>
      <c r="AO39" s="127"/>
    </row>
    <row r="40" spans="1:53" ht="16.5" thickBot="1">
      <c r="A40" s="73"/>
      <c r="B40" s="323"/>
      <c r="AJ40">
        <v>9</v>
      </c>
      <c r="AK40" s="371">
        <f t="shared" si="39"/>
        <v>46141936922.702667</v>
      </c>
      <c r="AO40" s="127"/>
      <c r="AR40" s="742" t="s">
        <v>455</v>
      </c>
      <c r="AS40" s="743"/>
      <c r="AT40" s="743"/>
      <c r="AU40" s="743"/>
      <c r="AV40" s="743"/>
      <c r="AW40" s="743"/>
      <c r="AX40" s="743"/>
      <c r="AY40" s="743"/>
      <c r="AZ40" s="744"/>
    </row>
    <row r="41" spans="1:53">
      <c r="B41" s="323"/>
      <c r="AJ41">
        <v>10</v>
      </c>
      <c r="AK41" s="371">
        <f t="shared" si="39"/>
        <v>61994349902.106445</v>
      </c>
      <c r="AO41" s="127"/>
    </row>
    <row r="42" spans="1:53" ht="16.5" thickBot="1">
      <c r="AK42" s="371"/>
      <c r="AO42" s="127"/>
    </row>
    <row r="43" spans="1:53">
      <c r="AO43" s="127"/>
      <c r="AQ43" s="751" t="s">
        <v>454</v>
      </c>
      <c r="AR43" s="752"/>
      <c r="AS43" s="753"/>
      <c r="AV43" s="588" t="s">
        <v>465</v>
      </c>
      <c r="AW43" s="582"/>
      <c r="AY43" s="751" t="s">
        <v>454</v>
      </c>
      <c r="AZ43" s="752"/>
      <c r="BA43" s="753"/>
    </row>
    <row r="44" spans="1:53">
      <c r="AO44" s="612" t="s">
        <v>452</v>
      </c>
      <c r="AQ44" s="748">
        <f>N5</f>
        <v>6484.6579066680297</v>
      </c>
      <c r="AR44" s="749"/>
      <c r="AS44" s="750"/>
      <c r="AV44" s="589">
        <f>AQ44-AY44</f>
        <v>-1661.3065904217283</v>
      </c>
      <c r="AW44" s="587"/>
      <c r="AY44" s="748">
        <f>N20</f>
        <v>8145.964497089758</v>
      </c>
      <c r="AZ44" s="749"/>
      <c r="BA44" s="750"/>
    </row>
    <row r="45" spans="1:53">
      <c r="AO45" s="612" t="s">
        <v>457</v>
      </c>
      <c r="AQ45" s="748">
        <f>K5</f>
        <v>6460.1993222782921</v>
      </c>
      <c r="AR45" s="749"/>
      <c r="AS45" s="750"/>
      <c r="AV45" s="589">
        <f>AQ45-AY45</f>
        <v>-1655.0405378367095</v>
      </c>
      <c r="AW45" s="587"/>
      <c r="AY45" s="748">
        <f>K20</f>
        <v>8115.2398601150016</v>
      </c>
      <c r="AZ45" s="749"/>
      <c r="BA45" s="750"/>
    </row>
    <row r="46" spans="1:53" ht="16.5" thickBot="1">
      <c r="AO46" s="612" t="s">
        <v>456</v>
      </c>
      <c r="AQ46" s="748">
        <f>H5</f>
        <v>6435.8329898406191</v>
      </c>
      <c r="AR46" s="749"/>
      <c r="AS46" s="750"/>
      <c r="AV46" s="589">
        <f>AQ46-AY46</f>
        <v>-1648.7981193088972</v>
      </c>
      <c r="AW46" s="587"/>
      <c r="AY46" s="748">
        <f>H20</f>
        <v>8084.6311091495163</v>
      </c>
      <c r="AZ46" s="749"/>
      <c r="BA46" s="750"/>
    </row>
    <row r="47" spans="1:53" ht="16.5" thickBot="1">
      <c r="AO47" s="612" t="s">
        <v>156</v>
      </c>
      <c r="AQ47" s="745">
        <f>AK5</f>
        <v>24428418587.983322</v>
      </c>
      <c r="AR47" s="746"/>
      <c r="AS47" s="747"/>
      <c r="AV47" s="591">
        <f>AQ47-AY47</f>
        <v>-6258324398.5880432</v>
      </c>
      <c r="AW47" s="592"/>
      <c r="AY47" s="745">
        <f>AK20</f>
        <v>30686742986.571365</v>
      </c>
      <c r="AZ47" s="746"/>
      <c r="BA47" s="747"/>
    </row>
    <row r="48" spans="1:53">
      <c r="AO48" s="127"/>
    </row>
    <row r="49" spans="41:53" ht="16.5" thickBot="1">
      <c r="AO49" s="127"/>
    </row>
    <row r="50" spans="41:53" ht="16.5" thickBot="1">
      <c r="AO50" s="127"/>
      <c r="AR50" s="742" t="s">
        <v>455</v>
      </c>
      <c r="AS50" s="743"/>
      <c r="AT50" s="743"/>
      <c r="AU50" s="743"/>
      <c r="AV50" s="743"/>
      <c r="AW50" s="743"/>
      <c r="AX50" s="743"/>
      <c r="AY50" s="743"/>
      <c r="AZ50" s="744"/>
    </row>
    <row r="51" spans="41:53">
      <c r="AO51" s="127"/>
    </row>
    <row r="52" spans="41:53" ht="16.5" thickBot="1">
      <c r="AO52" s="127"/>
    </row>
    <row r="53" spans="41:53">
      <c r="AO53" s="127"/>
      <c r="AQ53" s="751" t="s">
        <v>459</v>
      </c>
      <c r="AR53" s="752"/>
      <c r="AS53" s="753"/>
      <c r="AV53" s="588" t="s">
        <v>465</v>
      </c>
      <c r="AW53" s="582"/>
      <c r="AY53" s="751" t="s">
        <v>459</v>
      </c>
      <c r="AZ53" s="752"/>
      <c r="BA53" s="753"/>
    </row>
    <row r="54" spans="41:53">
      <c r="AO54" s="612" t="s">
        <v>452</v>
      </c>
      <c r="AQ54" s="748">
        <f>Q6</f>
        <v>6484.6579066680297</v>
      </c>
      <c r="AR54" s="749"/>
      <c r="AS54" s="750"/>
      <c r="AV54" s="589">
        <f>AQ54-AY54</f>
        <v>-1661.3065904217283</v>
      </c>
      <c r="AW54" s="587"/>
      <c r="AY54" s="748">
        <f>Q21</f>
        <v>8145.964497089758</v>
      </c>
      <c r="AZ54" s="749"/>
      <c r="BA54" s="750"/>
    </row>
    <row r="55" spans="41:53">
      <c r="AO55" s="612" t="s">
        <v>458</v>
      </c>
      <c r="AQ55" s="748">
        <f>N6</f>
        <v>6460.1993222782921</v>
      </c>
      <c r="AR55" s="749"/>
      <c r="AS55" s="750"/>
      <c r="AV55" s="589">
        <f>AQ55-AY55</f>
        <v>-1655.0405378367095</v>
      </c>
      <c r="AW55" s="587"/>
      <c r="AY55" s="748">
        <f>N21</f>
        <v>8115.2398601150016</v>
      </c>
      <c r="AZ55" s="749"/>
      <c r="BA55" s="750"/>
    </row>
    <row r="56" spans="41:53">
      <c r="AO56" s="612" t="s">
        <v>457</v>
      </c>
      <c r="AQ56" s="748">
        <f>K6</f>
        <v>6435.8329898406191</v>
      </c>
      <c r="AR56" s="749"/>
      <c r="AS56" s="750"/>
      <c r="AV56" s="589">
        <f>AQ56-AY56</f>
        <v>-1648.7981193088972</v>
      </c>
      <c r="AW56" s="587"/>
      <c r="AY56" s="748">
        <f>K21</f>
        <v>8084.6311091495163</v>
      </c>
      <c r="AZ56" s="749"/>
      <c r="BA56" s="750"/>
    </row>
    <row r="57" spans="41:53" ht="16.5" thickBot="1">
      <c r="AO57" s="612" t="s">
        <v>456</v>
      </c>
      <c r="AQ57" s="748">
        <f>H6</f>
        <v>6403.4854463440633</v>
      </c>
      <c r="AR57" s="749"/>
      <c r="AS57" s="750"/>
      <c r="AV57" s="589">
        <f>AQ57-AY57</f>
        <v>-1640.5109917582622</v>
      </c>
      <c r="AW57" s="587"/>
      <c r="AY57" s="748">
        <f>H21</f>
        <v>8043.9964381023256</v>
      </c>
      <c r="AZ57" s="749"/>
      <c r="BA57" s="750"/>
    </row>
    <row r="58" spans="41:53" ht="16.5" thickBot="1">
      <c r="AO58" s="612" t="s">
        <v>156</v>
      </c>
      <c r="AQ58" s="745">
        <f>AK6</f>
        <v>24356344370.887096</v>
      </c>
      <c r="AR58" s="746"/>
      <c r="AS58" s="747"/>
      <c r="AV58" s="591">
        <f>AQ58-AY58</f>
        <v>-6239859681.777256</v>
      </c>
      <c r="AW58" s="592"/>
      <c r="AY58" s="745">
        <f>AK21</f>
        <v>30596204052.664352</v>
      </c>
      <c r="AZ58" s="746"/>
      <c r="BA58" s="747"/>
    </row>
    <row r="59" spans="41:53">
      <c r="AO59" s="127"/>
    </row>
    <row r="60" spans="41:53" ht="16.5" thickBot="1">
      <c r="AO60" s="127"/>
    </row>
    <row r="61" spans="41:53" ht="16.5" thickBot="1">
      <c r="AO61" s="127"/>
      <c r="AR61" s="742" t="s">
        <v>455</v>
      </c>
      <c r="AS61" s="743"/>
      <c r="AT61" s="743"/>
      <c r="AU61" s="743"/>
      <c r="AV61" s="743"/>
      <c r="AW61" s="743"/>
      <c r="AX61" s="743"/>
      <c r="AY61" s="743"/>
      <c r="AZ61" s="744"/>
    </row>
    <row r="62" spans="41:53">
      <c r="AO62" s="127"/>
    </row>
    <row r="63" spans="41:53" ht="16.5" thickBot="1">
      <c r="AO63" s="127"/>
    </row>
    <row r="64" spans="41:53">
      <c r="AO64" s="127"/>
      <c r="AQ64" s="751" t="s">
        <v>460</v>
      </c>
      <c r="AR64" s="752"/>
      <c r="AS64" s="753"/>
      <c r="AV64" s="588" t="s">
        <v>465</v>
      </c>
      <c r="AW64" s="582"/>
      <c r="AY64" s="751" t="s">
        <v>460</v>
      </c>
      <c r="AZ64" s="752"/>
      <c r="BA64" s="753"/>
    </row>
    <row r="65" spans="41:53">
      <c r="AO65" s="612" t="s">
        <v>452</v>
      </c>
      <c r="AQ65" s="748">
        <f>T7</f>
        <v>6484.6579066680297</v>
      </c>
      <c r="AR65" s="749"/>
      <c r="AS65" s="750"/>
      <c r="AV65" s="589">
        <f t="shared" ref="AV65:AV70" si="40">AQ65-AY65</f>
        <v>-1661.3065904217301</v>
      </c>
      <c r="AW65" s="587"/>
      <c r="AY65" s="748">
        <f>T22</f>
        <v>8145.9644970897598</v>
      </c>
      <c r="AZ65" s="749"/>
      <c r="BA65" s="750"/>
    </row>
    <row r="66" spans="41:53">
      <c r="AO66" s="612" t="s">
        <v>461</v>
      </c>
      <c r="AQ66" s="748">
        <f>Q7</f>
        <v>6460.1993222782921</v>
      </c>
      <c r="AR66" s="749"/>
      <c r="AS66" s="750"/>
      <c r="AV66" s="589">
        <f t="shared" si="40"/>
        <v>-1655.0405378367095</v>
      </c>
      <c r="AW66" s="587"/>
      <c r="AY66" s="748">
        <f>Q22</f>
        <v>8115.2398601150016</v>
      </c>
      <c r="AZ66" s="749"/>
      <c r="BA66" s="750"/>
    </row>
    <row r="67" spans="41:53">
      <c r="AO67" s="612" t="s">
        <v>458</v>
      </c>
      <c r="AQ67" s="748">
        <f>N7</f>
        <v>6435.8329898406191</v>
      </c>
      <c r="AR67" s="749"/>
      <c r="AS67" s="750"/>
      <c r="AV67" s="589">
        <f t="shared" si="40"/>
        <v>-1648.7981193088972</v>
      </c>
      <c r="AW67" s="587"/>
      <c r="AY67" s="748">
        <f>N22</f>
        <v>8084.6311091495163</v>
      </c>
      <c r="AZ67" s="749"/>
      <c r="BA67" s="750"/>
    </row>
    <row r="68" spans="41:53">
      <c r="AO68" s="612" t="s">
        <v>457</v>
      </c>
      <c r="AQ68" s="748">
        <f>K7</f>
        <v>6403.4854463440633</v>
      </c>
      <c r="AR68" s="749"/>
      <c r="AS68" s="750"/>
      <c r="AV68" s="589">
        <f t="shared" si="40"/>
        <v>-1640.5109917582622</v>
      </c>
      <c r="AW68" s="587"/>
      <c r="AY68" s="748">
        <f>K22</f>
        <v>8043.9964381023256</v>
      </c>
      <c r="AZ68" s="749"/>
      <c r="BA68" s="750"/>
    </row>
    <row r="69" spans="41:53" ht="16.5" thickBot="1">
      <c r="AO69" s="612" t="s">
        <v>456</v>
      </c>
      <c r="AQ69" s="748">
        <f>H7</f>
        <v>6336.840327979683</v>
      </c>
      <c r="AR69" s="749"/>
      <c r="AS69" s="750"/>
      <c r="AV69" s="589">
        <f t="shared" si="40"/>
        <v>-1647.4863341873852</v>
      </c>
      <c r="AW69" s="587"/>
      <c r="AY69" s="748">
        <f>H22</f>
        <v>7984.3266621670682</v>
      </c>
      <c r="AZ69" s="749"/>
      <c r="BA69" s="750"/>
    </row>
    <row r="70" spans="41:53" ht="16.5" thickBot="1">
      <c r="AO70" s="613" t="s">
        <v>156</v>
      </c>
      <c r="AQ70" s="745">
        <f>AK7</f>
        <v>24154373009.951221</v>
      </c>
      <c r="AR70" s="746"/>
      <c r="AS70" s="747"/>
      <c r="AV70" s="591">
        <f t="shared" si="40"/>
        <v>-6279022461.8950539</v>
      </c>
      <c r="AW70" s="592"/>
      <c r="AY70" s="745">
        <f>AK22</f>
        <v>30433395471.846275</v>
      </c>
      <c r="AZ70" s="746"/>
      <c r="BA70" s="747"/>
    </row>
    <row r="72" spans="41:53" ht="16.5" thickBot="1"/>
    <row r="73" spans="41:53">
      <c r="AV73" s="588" t="s">
        <v>427</v>
      </c>
      <c r="AW73" s="582"/>
    </row>
    <row r="74" spans="41:53" ht="16.5" thickBot="1">
      <c r="AV74" s="590">
        <f>SUM(AV28,AV37,AV47,AV58,AV70)</f>
        <v>-31325956878.482544</v>
      </c>
      <c r="AW74" s="592"/>
    </row>
  </sheetData>
  <mergeCells count="60">
    <mergeCell ref="AQ21:AS21"/>
    <mergeCell ref="AY21:BA21"/>
    <mergeCell ref="AQ22:AS22"/>
    <mergeCell ref="AY22:BA22"/>
    <mergeCell ref="F1:AK1"/>
    <mergeCell ref="AT5:AX5"/>
    <mergeCell ref="AT6:AX6"/>
    <mergeCell ref="F16:AK16"/>
    <mergeCell ref="AQ18:AS18"/>
    <mergeCell ref="AY18:BA18"/>
    <mergeCell ref="AQ44:AS44"/>
    <mergeCell ref="AY44:BA44"/>
    <mergeCell ref="AR31:AZ31"/>
    <mergeCell ref="AQ34:AS34"/>
    <mergeCell ref="AY34:BA34"/>
    <mergeCell ref="AQ35:AS35"/>
    <mergeCell ref="AY35:BA35"/>
    <mergeCell ref="AQ36:AS36"/>
    <mergeCell ref="AY36:BA36"/>
    <mergeCell ref="AQ37:AS37"/>
    <mergeCell ref="AY37:BA37"/>
    <mergeCell ref="AR40:AZ40"/>
    <mergeCell ref="AQ43:AS43"/>
    <mergeCell ref="AY43:BA43"/>
    <mergeCell ref="AQ55:AS55"/>
    <mergeCell ref="AY55:BA55"/>
    <mergeCell ref="AQ45:AS45"/>
    <mergeCell ref="AY45:BA45"/>
    <mergeCell ref="AQ46:AS46"/>
    <mergeCell ref="AY46:BA46"/>
    <mergeCell ref="AQ47:AS47"/>
    <mergeCell ref="AY47:BA47"/>
    <mergeCell ref="AR50:AZ50"/>
    <mergeCell ref="AQ53:AS53"/>
    <mergeCell ref="AY53:BA53"/>
    <mergeCell ref="AQ54:AS54"/>
    <mergeCell ref="AY54:BA54"/>
    <mergeCell ref="AY66:BA66"/>
    <mergeCell ref="AQ56:AS56"/>
    <mergeCell ref="AY56:BA56"/>
    <mergeCell ref="AQ57:AS57"/>
    <mergeCell ref="AY57:BA57"/>
    <mergeCell ref="AQ58:AS58"/>
    <mergeCell ref="AY58:BA58"/>
    <mergeCell ref="AQ70:AS70"/>
    <mergeCell ref="AY70:BA70"/>
    <mergeCell ref="AY28:BA28"/>
    <mergeCell ref="AQ28:AS28"/>
    <mergeCell ref="AQ67:AS67"/>
    <mergeCell ref="AY67:BA67"/>
    <mergeCell ref="AQ68:AS68"/>
    <mergeCell ref="AY68:BA68"/>
    <mergeCell ref="AQ69:AS69"/>
    <mergeCell ref="AY69:BA69"/>
    <mergeCell ref="AR61:AZ61"/>
    <mergeCell ref="AQ64:AS64"/>
    <mergeCell ref="AY64:BA64"/>
    <mergeCell ref="AQ65:AS65"/>
    <mergeCell ref="AY65:BA65"/>
    <mergeCell ref="AQ66:AS66"/>
  </mergeCells>
  <conditionalFormatting sqref="AV1:AW12 AV54:AW60 AV44:AW49 AV35:AW39 AV22:AW30 AV65:AW72 AV17:AW20 AV13:AV15 AV74:AW1048576 AV32:AW33 AV62:AW63 AV51:AW52 AV41:AW42">
    <cfRule type="cellIs" dxfId="1" priority="1" operator="greaterThan">
      <formula>0</formula>
    </cfRule>
    <cfRule type="cellIs" dxfId="0" priority="2" operator="lessThan">
      <formula>0</formula>
    </cfRule>
  </conditionalFormatting>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เอกสาร" ma:contentTypeID="0x0101002342830970DB904584C6EAD2FD327112" ma:contentTypeVersion="17" ma:contentTypeDescription="สร้างเอกสารใหม่" ma:contentTypeScope="" ma:versionID="d4fba3a4e5ec173d6124677a9991eadd">
  <xsd:schema xmlns:xsd="http://www.w3.org/2001/XMLSchema" xmlns:xs="http://www.w3.org/2001/XMLSchema" xmlns:p="http://schemas.microsoft.com/office/2006/metadata/properties" xmlns:ns2="e90fe10f-6d2e-42ee-aaa1-34d962de8e3e" xmlns:ns3="5e050a49-9301-43fa-9b23-5612c9352b99" targetNamespace="http://schemas.microsoft.com/office/2006/metadata/properties" ma:root="true" ma:fieldsID="98ed55a96d165a4ef176239dd53d0f61" ns2:_="" ns3:_="">
    <xsd:import namespace="e90fe10f-6d2e-42ee-aaa1-34d962de8e3e"/>
    <xsd:import namespace="5e050a49-9301-43fa-9b23-5612c9352b9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3:SharedWithUsers" minOccurs="0"/>
                <xsd:element ref="ns3:SharedWithDetails" minOccurs="0"/>
                <xsd:element ref="ns2:_Flow_SignoffStatu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0fe10f-6d2e-42ee-aaa1-34d962de8e3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ternalName="MediaServiceLocation" ma:readOnly="true">
      <xsd:simpleType>
        <xsd:restriction base="dms:Text"/>
      </xsd:simpleType>
    </xsd:element>
    <xsd:element name="_Flow_SignoffStatus" ma:index="21" nillable="true" ma:displayName="สถานะการปิดงาน" ma:internalName="_x0e2a__x0e16__x0e32__x0e19__x0e30__x0e01__x0e32__x0e23__x0e1b__x0e34__x0e14__x0e07__x0e32__x0e19_">
      <xsd:simpleType>
        <xsd:restriction base="dms:Text"/>
      </xsd:simpleType>
    </xsd:element>
    <xsd:element name="lcf76f155ced4ddcb4097134ff3c332f" ma:index="23" nillable="true" ma:taxonomy="true" ma:internalName="lcf76f155ced4ddcb4097134ff3c332f" ma:taxonomyFieldName="MediaServiceImageTags" ma:displayName="แท็กรูป" ma:readOnly="false" ma:fieldId="{5cf76f15-5ced-4ddc-b409-7134ff3c332f}" ma:taxonomyMulti="true" ma:sspId="b455ded9-018c-4ba2-b002-67b0ff4f7b2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e050a49-9301-43fa-9b23-5612c9352b99" elementFormDefault="qualified">
    <xsd:import namespace="http://schemas.microsoft.com/office/2006/documentManagement/types"/>
    <xsd:import namespace="http://schemas.microsoft.com/office/infopath/2007/PartnerControls"/>
    <xsd:element name="SharedWithUsers" ma:index="19" nillable="true" ma:displayName="แชร์กับ"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แชร์พร้อมกับรายละเอียด" ma:internalName="SharedWithDetails" ma:readOnly="true">
      <xsd:simpleType>
        <xsd:restriction base="dms:Note">
          <xsd:maxLength value="255"/>
        </xsd:restriction>
      </xsd:simpleType>
    </xsd:element>
    <xsd:element name="TaxCatchAll" ma:index="24" nillable="true" ma:displayName="Taxonomy Catch All Column" ma:hidden="true" ma:list="{9db00834-6d88-43f8-be60-c57b4b79bc1e}" ma:internalName="TaxCatchAll" ma:showField="CatchAllData" ma:web="5e050a49-9301-43fa-9b23-5612c9352b9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ชนิดเนื้อหา"/>
        <xsd:element ref="dc:title" minOccurs="0" maxOccurs="1" ma:index="4" ma:displayName="ชื่อเรื่อง"/>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90fe10f-6d2e-42ee-aaa1-34d962de8e3e">
      <Terms xmlns="http://schemas.microsoft.com/office/infopath/2007/PartnerControls"/>
    </lcf76f155ced4ddcb4097134ff3c332f>
    <TaxCatchAll xmlns="5e050a49-9301-43fa-9b23-5612c9352b99" xsi:nil="true"/>
    <_Flow_SignoffStatus xmlns="e90fe10f-6d2e-42ee-aaa1-34d962de8e3e" xsi:nil="true"/>
  </documentManagement>
</p:properties>
</file>

<file path=customXml/itemProps1.xml><?xml version="1.0" encoding="utf-8"?>
<ds:datastoreItem xmlns:ds="http://schemas.openxmlformats.org/officeDocument/2006/customXml" ds:itemID="{EE34C76D-A4EE-48CE-B27B-BC53891BAB62}">
  <ds:schemaRefs>
    <ds:schemaRef ds:uri="http://schemas.microsoft.com/sharepoint/v3/contenttype/forms"/>
  </ds:schemaRefs>
</ds:datastoreItem>
</file>

<file path=customXml/itemProps2.xml><?xml version="1.0" encoding="utf-8"?>
<ds:datastoreItem xmlns:ds="http://schemas.openxmlformats.org/officeDocument/2006/customXml" ds:itemID="{45D1F301-950B-4549-AF62-069E4A9922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0fe10f-6d2e-42ee-aaa1-34d962de8e3e"/>
    <ds:schemaRef ds:uri="5e050a49-9301-43fa-9b23-5612c9352b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9AF1D9-CB6C-4E37-8069-0FF0F82F18C2}">
  <ds:schemaRefs>
    <ds:schemaRef ds:uri="http://schemas.microsoft.com/office/2006/metadata/properties"/>
    <ds:schemaRef ds:uri="http://schemas.microsoft.com/office/infopath/2007/PartnerControls"/>
    <ds:schemaRef ds:uri="e90fe10f-6d2e-42ee-aaa1-34d962de8e3e"/>
    <ds:schemaRef ds:uri="5e050a49-9301-43fa-9b23-5612c9352b9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5</vt:i4>
      </vt:variant>
      <vt:variant>
        <vt:lpstr>Named Ranges</vt:lpstr>
      </vt:variant>
      <vt:variant>
        <vt:i4>75</vt:i4>
      </vt:variant>
    </vt:vector>
  </HeadingPairs>
  <TitlesOfParts>
    <vt:vector size="96" baseType="lpstr">
      <vt:lpstr>The model</vt:lpstr>
      <vt:lpstr>Relative risk (ESCORT-1)</vt:lpstr>
      <vt:lpstr>Transitional probabilities</vt:lpstr>
      <vt:lpstr>Hazard f_n of dialysis cohort</vt:lpstr>
      <vt:lpstr>Sheet1</vt:lpstr>
      <vt:lpstr>Parameters &amp; DSA</vt:lpstr>
      <vt:lpstr>Life table 2014</vt:lpstr>
      <vt:lpstr>CUA</vt:lpstr>
      <vt:lpstr>MM Conventional</vt:lpstr>
      <vt:lpstr>MM ICP</vt:lpstr>
      <vt:lpstr>Total costs and outcomes</vt:lpstr>
      <vt:lpstr>Scenario analysis</vt:lpstr>
      <vt:lpstr>Tornado_chart</vt:lpstr>
      <vt:lpstr>Simulation</vt:lpstr>
      <vt:lpstr>Budget impact analysis (5 yr)</vt:lpstr>
      <vt:lpstr>Budget impact analysis (10 yr)</vt:lpstr>
      <vt:lpstr>PSA CE Plane</vt:lpstr>
      <vt:lpstr>AC</vt:lpstr>
      <vt:lpstr>AC ICP</vt:lpstr>
      <vt:lpstr>Population EVPI</vt:lpstr>
      <vt:lpstr>Partial EVPI</vt:lpstr>
      <vt:lpstr>_CPI1998</vt:lpstr>
      <vt:lpstr>_CPI2001</vt:lpstr>
      <vt:lpstr>_CPI2004</vt:lpstr>
      <vt:lpstr>'Hazard f_n of dialysis cohort'!a</vt:lpstr>
      <vt:lpstr>'Hazard f_n of dialysis cohort'!b</vt:lpstr>
      <vt:lpstr>'Hazard f_n of dialysis cohort'!c_</vt:lpstr>
      <vt:lpstr>c_MDCT</vt:lpstr>
      <vt:lpstr>cDC</vt:lpstr>
      <vt:lpstr>cDO</vt:lpstr>
      <vt:lpstr>cM_3a</vt:lpstr>
      <vt:lpstr>cM_3b</vt:lpstr>
      <vt:lpstr>cM_4</vt:lpstr>
      <vt:lpstr>cM_5</vt:lpstr>
      <vt:lpstr>cM_Dialysis0</vt:lpstr>
      <vt:lpstr>cM_Dialysis1</vt:lpstr>
      <vt:lpstr>cM3a</vt:lpstr>
      <vt:lpstr>cM3b</vt:lpstr>
      <vt:lpstr>cMN_3a</vt:lpstr>
      <vt:lpstr>cMN_3b</vt:lpstr>
      <vt:lpstr>cMN_4</vt:lpstr>
      <vt:lpstr>cNM_3a</vt:lpstr>
      <vt:lpstr>cNM_3b</vt:lpstr>
      <vt:lpstr>cNM_4</vt:lpstr>
      <vt:lpstr>cNM_5</vt:lpstr>
      <vt:lpstr>cNM_Dialysis</vt:lpstr>
      <vt:lpstr>'Hazard f_n of dialysis cohort'!d</vt:lpstr>
      <vt:lpstr>'Hazard f_n of dialysis cohort'!e</vt:lpstr>
      <vt:lpstr>'Hazard f_n of dialysis cohort'!f</vt:lpstr>
      <vt:lpstr>p3a_3a</vt:lpstr>
      <vt:lpstr>p3a_3aMDCT</vt:lpstr>
      <vt:lpstr>p3a_3b</vt:lpstr>
      <vt:lpstr>p3a_3bMDCT</vt:lpstr>
      <vt:lpstr>p3a_Death</vt:lpstr>
      <vt:lpstr>p3a_DeathMDCT</vt:lpstr>
      <vt:lpstr>p3a3a</vt:lpstr>
      <vt:lpstr>p3a3b</vt:lpstr>
      <vt:lpstr>p3aDeath</vt:lpstr>
      <vt:lpstr>p3b_3b</vt:lpstr>
      <vt:lpstr>p3b_3bMDCT</vt:lpstr>
      <vt:lpstr>p3b_4</vt:lpstr>
      <vt:lpstr>p3b_4MDCT</vt:lpstr>
      <vt:lpstr>p3b_Death</vt:lpstr>
      <vt:lpstr>p3b_DeathMDCT</vt:lpstr>
      <vt:lpstr>p3b3b</vt:lpstr>
      <vt:lpstr>p3b4</vt:lpstr>
      <vt:lpstr>p3bDeath</vt:lpstr>
      <vt:lpstr>p4_4</vt:lpstr>
      <vt:lpstr>p4_4MDCT</vt:lpstr>
      <vt:lpstr>p4_5</vt:lpstr>
      <vt:lpstr>p4_5MDCT</vt:lpstr>
      <vt:lpstr>p4_Death</vt:lpstr>
      <vt:lpstr>p4_DeathMDCT</vt:lpstr>
      <vt:lpstr>p5_5</vt:lpstr>
      <vt:lpstr>p5_5MDCT</vt:lpstr>
      <vt:lpstr>p5_Death</vt:lpstr>
      <vt:lpstr>p5_DeathMDCT</vt:lpstr>
      <vt:lpstr>p5_Dialysis</vt:lpstr>
      <vt:lpstr>p5_DialysisMDCT</vt:lpstr>
      <vt:lpstr>pDialysis_Death</vt:lpstr>
      <vt:lpstr>pDialysis_DeathMDCT</vt:lpstr>
      <vt:lpstr>pDialysis_Dialysis</vt:lpstr>
      <vt:lpstr>pDialysis_DialysisMDCT</vt:lpstr>
      <vt:lpstr>RR</vt:lpstr>
      <vt:lpstr>RR_3a</vt:lpstr>
      <vt:lpstr>RR_3b</vt:lpstr>
      <vt:lpstr>RR_4</vt:lpstr>
      <vt:lpstr>RR_5</vt:lpstr>
      <vt:lpstr>RR3a</vt:lpstr>
      <vt:lpstr>RR3b</vt:lpstr>
      <vt:lpstr>Threshold</vt:lpstr>
      <vt:lpstr>u3aCT</vt:lpstr>
      <vt:lpstr>u3bCT</vt:lpstr>
      <vt:lpstr>u4CT</vt:lpstr>
      <vt:lpstr>u5CT</vt:lpstr>
      <vt:lpstr>uDialysisCT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Jeerath Phannajit</cp:lastModifiedBy>
  <cp:revision/>
  <dcterms:created xsi:type="dcterms:W3CDTF">2023-04-29T09:25:17Z</dcterms:created>
  <dcterms:modified xsi:type="dcterms:W3CDTF">2023-11-30T17:01:03Z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0x0101002342830970DB904584C6EAD2FD327112</vt:lpwstr>
  </property>
  <property fmtid="{D5CDD505-2E9C-101B-9397-08002B2CF9AE}" pid="3" name="MediaServiceImageTags">
    <vt:lpwstr/>
  </property>
</Properties>
</file>