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C7DB9EA5-CB88-E640-BC19-511819F88518}" xr6:coauthVersionLast="45" xr6:coauthVersionMax="45" xr10:uidLastSave="{00000000-0000-0000-0000-000000000000}"/>
  <bookViews>
    <workbookView xWindow="0" yWindow="0" windowWidth="28800" windowHeight="18000" activeTab="7" xr2:uid="{55DBE848-7224-D04B-937E-069EB3240523}"/>
  </bookViews>
  <sheets>
    <sheet name="Sheet1" sheetId="1" r:id="rId1"/>
    <sheet name="FREQUENCY" sheetId="7" r:id="rId2"/>
    <sheet name="INDEX &amp; MATCH" sheetId="8" r:id="rId3"/>
    <sheet name="LOOKUP" sheetId="9" r:id="rId4"/>
    <sheet name="VLOOKUP" sheetId="10" r:id="rId5"/>
    <sheet name="HLOOKUP" sheetId="11" r:id="rId6"/>
    <sheet name="SUMIF" sheetId="12" r:id="rId7"/>
    <sheet name="SUMIFS" sheetId="13" r:id="rId8"/>
    <sheet name="COUNTIF" sheetId="14" r:id="rId9"/>
    <sheet name="COUNTIFS" sheetId="15" r:id="rId10"/>
    <sheet name="COUNTA &amp; COUNT BLANK" sheetId="16" r:id="rId11"/>
    <sheet name="AVERAGE IF &amp; AVERAGE IFS" sheetId="17" r:id="rId12"/>
    <sheet name="SUBTOTAL" sheetId="18" r:id="rId13"/>
    <sheet name="SUMPRODUCT" sheetId="19" r:id="rId14"/>
    <sheet name="IF FORMULA" sheetId="20" r:id="rId15"/>
    <sheet name="IF AND IF OR" sheetId="21" r:id="rId16"/>
    <sheet name="NESTED IF" sheetId="22" r:id="rId17"/>
    <sheet name="LEFT,MID,RIGHT,FIND" sheetId="23" r:id="rId18"/>
    <sheet name="REPEAT" sheetId="24" r:id="rId19"/>
    <sheet name="SUBSTITUTE" sheetId="25" r:id="rId20"/>
    <sheet name="PMT,IPMT,PPMT,PV,FV" sheetId="26" r:id="rId21"/>
  </sheets>
  <definedNames>
    <definedName name="_xlnm._FilterDatabase" localSheetId="0" hidden="1">Sheet1!$A$2:$M$7</definedName>
    <definedName name="_xlchart.v1.0" hidden="1">Sheet1!$B$3:$B$7</definedName>
    <definedName name="_xlchart.v1.1" hidden="1">Sheet1!$C$2</definedName>
    <definedName name="_xlchart.v1.10" hidden="1">Sheet1!$D$2</definedName>
    <definedName name="_xlchart.v1.11" hidden="1">Sheet1!$D$3:$D$7</definedName>
    <definedName name="_xlchart.v1.12" hidden="1">Sheet1!$E$2</definedName>
    <definedName name="_xlchart.v1.13" hidden="1">Sheet1!$E$3:$E$7</definedName>
    <definedName name="_xlchart.v1.14" hidden="1">Sheet1!$B$3:$B$7</definedName>
    <definedName name="_xlchart.v1.15" hidden="1">Sheet1!$C$2</definedName>
    <definedName name="_xlchart.v1.16" hidden="1">Sheet1!$C$3:$C$7</definedName>
    <definedName name="_xlchart.v1.17" hidden="1">Sheet1!$D$2</definedName>
    <definedName name="_xlchart.v1.18" hidden="1">Sheet1!$D$3:$D$7</definedName>
    <definedName name="_xlchart.v1.19" hidden="1">Sheet1!$E$2</definedName>
    <definedName name="_xlchart.v1.2" hidden="1">Sheet1!$C$3:$C$7</definedName>
    <definedName name="_xlchart.v1.20" hidden="1">Sheet1!$E$3:$E$7</definedName>
    <definedName name="_xlchart.v1.21" hidden="1">Sheet1!$B$3:$B$7</definedName>
    <definedName name="_xlchart.v1.22" hidden="1">Sheet1!$C$2</definedName>
    <definedName name="_xlchart.v1.23" hidden="1">Sheet1!$C$3:$C$7</definedName>
    <definedName name="_xlchart.v1.24" hidden="1">Sheet1!$D$2</definedName>
    <definedName name="_xlchart.v1.25" hidden="1">Sheet1!$D$3:$D$7</definedName>
    <definedName name="_xlchart.v1.26" hidden="1">Sheet1!$E$2</definedName>
    <definedName name="_xlchart.v1.27" hidden="1">Sheet1!$E$3:$E$7</definedName>
    <definedName name="_xlchart.v1.3" hidden="1">Sheet1!$D$2</definedName>
    <definedName name="_xlchart.v1.4" hidden="1">Sheet1!$D$3:$D$7</definedName>
    <definedName name="_xlchart.v1.5" hidden="1">Sheet1!$E$2</definedName>
    <definedName name="_xlchart.v1.6" hidden="1">Sheet1!$E$3:$E$7</definedName>
    <definedName name="_xlchart.v1.7" hidden="1">Sheet1!$B$3:$B$7</definedName>
    <definedName name="_xlchart.v1.8" hidden="1">Sheet1!$C$2</definedName>
    <definedName name="_xlchart.v1.9" hidden="1">Sheet1!$C$3:$C$7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4" l="1"/>
  <c r="H2" i="23"/>
  <c r="H3" i="23"/>
  <c r="H4" i="23"/>
  <c r="H5" i="23"/>
  <c r="H6" i="23"/>
  <c r="H7" i="23"/>
  <c r="H8" i="23"/>
  <c r="H9" i="23"/>
  <c r="H10" i="23"/>
  <c r="H11" i="23"/>
  <c r="H12" i="23"/>
  <c r="H13" i="23"/>
  <c r="G3" i="23"/>
  <c r="G4" i="23"/>
  <c r="G5" i="23"/>
  <c r="G6" i="23"/>
  <c r="G7" i="23"/>
  <c r="G8" i="23"/>
  <c r="G9" i="23"/>
  <c r="G10" i="23"/>
  <c r="G11" i="23"/>
  <c r="G12" i="23"/>
  <c r="G13" i="23"/>
  <c r="G2" i="23"/>
  <c r="F3" i="22"/>
  <c r="F4" i="22"/>
  <c r="F5" i="22"/>
  <c r="F6" i="22"/>
  <c r="F7" i="22"/>
  <c r="F8" i="22"/>
  <c r="F9" i="22"/>
  <c r="F10" i="22"/>
  <c r="F11" i="22"/>
  <c r="F12" i="22"/>
  <c r="F13" i="22"/>
  <c r="F2" i="22"/>
  <c r="E3" i="22"/>
  <c r="E4" i="22"/>
  <c r="E5" i="22"/>
  <c r="E6" i="22"/>
  <c r="E7" i="22"/>
  <c r="E8" i="22"/>
  <c r="E9" i="22"/>
  <c r="E10" i="22"/>
  <c r="E11" i="22"/>
  <c r="E12" i="22"/>
  <c r="E13" i="22"/>
  <c r="E2" i="22"/>
  <c r="F3" i="21"/>
  <c r="F4" i="21"/>
  <c r="F5" i="21"/>
  <c r="F6" i="21"/>
  <c r="F7" i="21"/>
  <c r="F8" i="21"/>
  <c r="F9" i="21"/>
  <c r="F10" i="21"/>
  <c r="F11" i="21"/>
  <c r="F12" i="21"/>
  <c r="F13" i="21"/>
  <c r="F2" i="21"/>
  <c r="E3" i="21"/>
  <c r="E4" i="21"/>
  <c r="E5" i="21"/>
  <c r="E6" i="21"/>
  <c r="E7" i="21"/>
  <c r="E8" i="21"/>
  <c r="E9" i="21"/>
  <c r="E10" i="21"/>
  <c r="E11" i="21"/>
  <c r="E12" i="21"/>
  <c r="E13" i="21"/>
  <c r="E2" i="21"/>
  <c r="D3" i="20"/>
  <c r="D4" i="20"/>
  <c r="D5" i="20"/>
  <c r="D6" i="20"/>
  <c r="D7" i="20"/>
  <c r="D8" i="20"/>
  <c r="D9" i="20"/>
  <c r="D10" i="20"/>
  <c r="D11" i="20"/>
  <c r="D12" i="20"/>
  <c r="D13" i="20"/>
  <c r="D2" i="20"/>
  <c r="E14" i="19"/>
  <c r="E3" i="19"/>
  <c r="E4" i="19"/>
  <c r="E5" i="19"/>
  <c r="E6" i="19"/>
  <c r="E7" i="19"/>
  <c r="E8" i="19"/>
  <c r="E9" i="19"/>
  <c r="E10" i="19"/>
  <c r="E11" i="19"/>
  <c r="E12" i="19"/>
  <c r="E13" i="19"/>
  <c r="E2" i="19"/>
  <c r="D15" i="18"/>
  <c r="D10" i="18"/>
  <c r="D5" i="18"/>
  <c r="D16" i="18" s="1"/>
  <c r="G2" i="12"/>
  <c r="G3" i="12"/>
  <c r="G1" i="12"/>
  <c r="H3" i="26"/>
  <c r="H4" i="26"/>
  <c r="H5" i="26"/>
  <c r="H6" i="26"/>
  <c r="H7" i="26"/>
  <c r="H8" i="26"/>
  <c r="H9" i="26"/>
  <c r="H10" i="26"/>
  <c r="H11" i="26"/>
  <c r="H12" i="26"/>
  <c r="H13" i="26"/>
  <c r="H15" i="26"/>
  <c r="H16" i="26"/>
  <c r="H2" i="26"/>
  <c r="C7" i="26" l="1"/>
  <c r="C14" i="26" s="1"/>
  <c r="C8" i="26"/>
  <c r="I3" i="26"/>
  <c r="I4" i="26"/>
  <c r="I5" i="26"/>
  <c r="I6" i="26"/>
  <c r="I7" i="26"/>
  <c r="I8" i="26"/>
  <c r="I9" i="26"/>
  <c r="I10" i="26"/>
  <c r="I11" i="26"/>
  <c r="I12" i="26"/>
  <c r="I13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I2" i="26"/>
  <c r="C9" i="26"/>
  <c r="J2" i="10"/>
  <c r="B5" i="25"/>
  <c r="B4" i="25"/>
  <c r="B3" i="25"/>
  <c r="B2" i="25"/>
  <c r="C3" i="24"/>
  <c r="C4" i="24"/>
  <c r="C5" i="24"/>
  <c r="C6" i="24"/>
  <c r="F3" i="23"/>
  <c r="F4" i="23"/>
  <c r="F5" i="23"/>
  <c r="F6" i="23"/>
  <c r="F7" i="23"/>
  <c r="F8" i="23"/>
  <c r="F9" i="23"/>
  <c r="F10" i="23"/>
  <c r="F11" i="23"/>
  <c r="F12" i="23"/>
  <c r="F13" i="23"/>
  <c r="F2" i="23"/>
  <c r="D3" i="23"/>
  <c r="D4" i="23"/>
  <c r="D5" i="23"/>
  <c r="D6" i="23"/>
  <c r="D7" i="23"/>
  <c r="D8" i="23"/>
  <c r="D9" i="23"/>
  <c r="D10" i="23"/>
  <c r="D11" i="23"/>
  <c r="D12" i="23"/>
  <c r="D13" i="23"/>
  <c r="D2" i="23"/>
  <c r="C3" i="23"/>
  <c r="C4" i="23"/>
  <c r="C5" i="23"/>
  <c r="C6" i="23"/>
  <c r="C7" i="23"/>
  <c r="C8" i="23"/>
  <c r="C9" i="23"/>
  <c r="C10" i="23"/>
  <c r="C11" i="23"/>
  <c r="C12" i="23"/>
  <c r="C13" i="23"/>
  <c r="C2" i="23"/>
  <c r="B3" i="23"/>
  <c r="B4" i="23"/>
  <c r="B5" i="23"/>
  <c r="B6" i="23"/>
  <c r="B7" i="23"/>
  <c r="B8" i="23"/>
  <c r="B9" i="23"/>
  <c r="B10" i="23"/>
  <c r="B11" i="23"/>
  <c r="B12" i="23"/>
  <c r="B13" i="23"/>
  <c r="B2" i="23"/>
  <c r="H12" i="17"/>
  <c r="H13" i="17"/>
  <c r="H11" i="17"/>
  <c r="G12" i="17"/>
  <c r="G13" i="17"/>
  <c r="G11" i="17"/>
  <c r="G3" i="17"/>
  <c r="G4" i="17"/>
  <c r="G2" i="17"/>
  <c r="Z9" i="16"/>
  <c r="Z8" i="16"/>
  <c r="Z4" i="16"/>
  <c r="Z3" i="16"/>
  <c r="I3" i="15"/>
  <c r="I4" i="15"/>
  <c r="I2" i="15"/>
  <c r="H3" i="15"/>
  <c r="H4" i="15"/>
  <c r="H2" i="15"/>
  <c r="I3" i="14"/>
  <c r="I4" i="14"/>
  <c r="I2" i="14"/>
  <c r="J3" i="13"/>
  <c r="J4" i="13"/>
  <c r="J2" i="13"/>
  <c r="I3" i="13"/>
  <c r="I4" i="13"/>
  <c r="I2" i="13"/>
  <c r="F9" i="11"/>
  <c r="G9" i="11"/>
  <c r="H9" i="11"/>
  <c r="I9" i="11"/>
  <c r="J11" i="10"/>
  <c r="J12" i="10"/>
  <c r="J13" i="10"/>
  <c r="J10" i="10"/>
  <c r="J3" i="10"/>
  <c r="J4" i="10"/>
  <c r="J5" i="10"/>
  <c r="T2" i="9"/>
  <c r="S2" i="9"/>
  <c r="R2" i="9"/>
  <c r="Q2" i="9"/>
  <c r="H3" i="8"/>
  <c r="P2" i="9"/>
  <c r="O2" i="9"/>
  <c r="N2" i="9"/>
  <c r="E2" i="7" a="1"/>
  <c r="E2" i="7" s="1"/>
  <c r="C15" i="26" l="1"/>
  <c r="J7" i="26"/>
  <c r="J35" i="26"/>
  <c r="J31" i="26"/>
  <c r="J27" i="26"/>
  <c r="J23" i="26"/>
  <c r="J19" i="26"/>
  <c r="J15" i="26"/>
  <c r="J11" i="26"/>
  <c r="J3" i="26"/>
  <c r="J36" i="26"/>
  <c r="J32" i="26"/>
  <c r="J28" i="26"/>
  <c r="J24" i="26"/>
  <c r="J20" i="26"/>
  <c r="J16" i="26"/>
  <c r="J12" i="26"/>
  <c r="J8" i="26"/>
  <c r="J4" i="26"/>
  <c r="J34" i="26"/>
  <c r="J26" i="26"/>
  <c r="J18" i="26"/>
  <c r="J10" i="26"/>
  <c r="J37" i="26"/>
  <c r="J33" i="26"/>
  <c r="J29" i="26"/>
  <c r="J25" i="26"/>
  <c r="J21" i="26"/>
  <c r="J17" i="26"/>
  <c r="J13" i="26"/>
  <c r="J9" i="26"/>
  <c r="J5" i="26"/>
  <c r="J30" i="26"/>
  <c r="J22" i="26"/>
  <c r="J6" i="26"/>
  <c r="J2" i="26"/>
  <c r="E3" i="7"/>
  <c r="E9" i="7"/>
  <c r="E5" i="7"/>
  <c r="E8" i="7"/>
  <c r="E4" i="7"/>
  <c r="E7" i="7"/>
  <c r="E10" i="7"/>
  <c r="E6" i="7"/>
  <c r="J4" i="1" l="1"/>
  <c r="J5" i="1"/>
  <c r="J6" i="1"/>
  <c r="J7" i="1"/>
  <c r="L4" i="1"/>
  <c r="L5" i="1"/>
  <c r="L6" i="1"/>
  <c r="M6" i="1" s="1"/>
  <c r="L7" i="1"/>
  <c r="L3" i="1"/>
  <c r="F3" i="1"/>
  <c r="K3" i="1" s="1"/>
  <c r="F4" i="1"/>
  <c r="K4" i="1" s="1"/>
  <c r="F5" i="1"/>
  <c r="K5" i="1" s="1"/>
  <c r="K6" i="1"/>
  <c r="F7" i="1"/>
  <c r="K7" i="1" s="1"/>
  <c r="G3" i="1"/>
  <c r="H3" i="1"/>
  <c r="I3" i="1"/>
  <c r="J3" i="1"/>
  <c r="G4" i="1"/>
  <c r="H4" i="1"/>
  <c r="I4" i="1"/>
  <c r="G5" i="1"/>
  <c r="H5" i="1"/>
  <c r="I5" i="1"/>
  <c r="G6" i="1"/>
  <c r="H6" i="1"/>
  <c r="I6" i="1"/>
  <c r="G7" i="1"/>
  <c r="H7" i="1"/>
  <c r="I7" i="1"/>
  <c r="M4" i="1" l="1"/>
  <c r="M3" i="1"/>
  <c r="M5" i="1"/>
  <c r="M7" i="1"/>
  <c r="I14" i="26"/>
  <c r="H14" i="26"/>
  <c r="J14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" authorId="0" shapeId="0" xr:uid="{57EC639B-5560-DF40-AC40-D8D687B99A1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1" authorId="0" shapeId="0" xr:uid="{AEE90A58-2A9D-344E-9830-62118FA0409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<sst xmlns="http://schemas.openxmlformats.org/spreadsheetml/2006/main" count="772" uniqueCount="242">
  <si>
    <t>SR NO</t>
  </si>
  <si>
    <t>NAME OF STUDENT</t>
  </si>
  <si>
    <t>TOTAL</t>
  </si>
  <si>
    <t>MAX</t>
  </si>
  <si>
    <t>MIN</t>
  </si>
  <si>
    <t>COUNT</t>
  </si>
  <si>
    <t>AVG</t>
  </si>
  <si>
    <t>%AVG</t>
  </si>
  <si>
    <t>RESULT</t>
  </si>
  <si>
    <t>GRADE</t>
  </si>
  <si>
    <t>STUDENT RECORD</t>
  </si>
  <si>
    <t>Prince Jangid</t>
  </si>
  <si>
    <t>Jitendra Sharma</t>
  </si>
  <si>
    <t>Jitendra Yadav</t>
  </si>
  <si>
    <t>Payal Sharma</t>
  </si>
  <si>
    <t>Barfi</t>
  </si>
  <si>
    <t>Hindi</t>
  </si>
  <si>
    <t>English</t>
  </si>
  <si>
    <t>Maths</t>
  </si>
  <si>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</si>
  <si>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</si>
  <si>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</si>
  <si>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</si>
  <si>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</si>
  <si>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</si>
  <si>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</si>
  <si>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</si>
  <si>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</si>
  <si>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</si>
  <si>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Vinod Singh</t>
  </si>
  <si>
    <t>Ravi Verma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</si>
  <si>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</si>
  <si>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</si>
  <si>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</si>
  <si>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</si>
  <si>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</si>
  <si>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</si>
  <si>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</si>
  <si>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Sameer Vaje</t>
  </si>
  <si>
    <t>Vinod Pal</t>
  </si>
  <si>
    <t>Ravi Verman</t>
  </si>
  <si>
    <t>Kiran Bhor</t>
  </si>
  <si>
    <t>Unique</t>
  </si>
  <si>
    <t>Frequency</t>
  </si>
  <si>
    <t>Batches Time Table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</si>
  <si>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</si>
  <si>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</si>
  <si>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</si>
  <si>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</si>
  <si>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</si>
  <si>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</si>
  <si>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</si>
  <si>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</si>
  <si>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</si>
  <si>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</si>
  <si>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Index &amp; Match</t>
  </si>
  <si>
    <t>Select</t>
  </si>
  <si>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</si>
  <si>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</si>
  <si>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</si>
  <si>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</si>
  <si>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</si>
  <si>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</si>
  <si>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</si>
  <si>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</si>
  <si>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</si>
  <si>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</si>
  <si>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</si>
  <si>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</si>
  <si>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</si>
  <si>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</si>
  <si>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</si>
  <si>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</si>
  <si>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</si>
  <si>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</si>
  <si>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</si>
  <si>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</si>
  <si>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</si>
  <si>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</si>
  <si>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</si>
  <si>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</si>
  <si>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</si>
  <si>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</si>
  <si>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</si>
  <si>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</si>
  <si>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</si>
  <si>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LookUP</t>
  </si>
  <si>
    <t>Account No</t>
  </si>
  <si>
    <t>Amount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</si>
  <si>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</si>
  <si>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</si>
  <si>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</si>
  <si>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</si>
  <si>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</si>
  <si>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</si>
  <si>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</si>
  <si>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</si>
  <si>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</si>
  <si>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</si>
  <si>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</si>
  <si>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</si>
  <si>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</si>
  <si>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</si>
  <si>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</si>
  <si>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</si>
  <si>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</si>
  <si>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</si>
  <si>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</si>
  <si>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</si>
  <si>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</si>
  <si>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4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</si>
  <si>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</si>
  <si>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</si>
  <si>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</si>
  <si>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</si>
  <si>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</si>
  <si>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</si>
  <si>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</si>
  <si>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</si>
  <si>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</si>
  <si>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</si>
  <si>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</si>
  <si>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</si>
  <si>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Debit</t>
  </si>
  <si>
    <t>Cash</t>
  </si>
  <si>
    <t>Credit</t>
  </si>
  <si>
    <t>Debit Card</t>
  </si>
  <si>
    <t>Total</t>
  </si>
  <si>
    <t>Type</t>
  </si>
  <si>
    <t>SEMINAR SEAT BOOKINGS</t>
  </si>
  <si>
    <t>F</t>
  </si>
  <si>
    <t>M</t>
  </si>
  <si>
    <t>BOOKED</t>
  </si>
  <si>
    <t>BLANK</t>
  </si>
  <si>
    <t>MALE</t>
  </si>
  <si>
    <t>FEMALE</t>
  </si>
  <si>
    <t>DEBIT</t>
  </si>
  <si>
    <t>CREDIT</t>
  </si>
  <si>
    <t>TYPE</t>
  </si>
  <si>
    <t>AVERAGE</t>
  </si>
  <si>
    <t>Cash Total</t>
  </si>
  <si>
    <t>Debit Card Total</t>
  </si>
  <si>
    <t>Online Total</t>
  </si>
  <si>
    <t>Grand Total</t>
  </si>
  <si>
    <t>ITEM NAME</t>
  </si>
  <si>
    <t>QTY</t>
  </si>
  <si>
    <t>RATE</t>
  </si>
  <si>
    <t>SPMS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</si>
  <si>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</si>
  <si>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</si>
  <si>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</si>
  <si>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</si>
  <si>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</si>
  <si>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</si>
  <si>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</si>
  <si>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</si>
  <si>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</si>
  <si>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</si>
  <si>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</si>
  <si>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GRAND TOTAL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</si>
  <si>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</si>
  <si>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</si>
  <si>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</si>
  <si>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</si>
  <si>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</si>
  <si>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</si>
  <si>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</si>
  <si>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</si>
  <si>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Ex BONUS</t>
  </si>
  <si>
    <t>CITY AND PINCODE</t>
  </si>
  <si>
    <t>Mumbai -400086</t>
  </si>
  <si>
    <t>Mumbai -400087</t>
  </si>
  <si>
    <t>Mumbai -400088</t>
  </si>
  <si>
    <t>Mumbai -400089</t>
  </si>
  <si>
    <t>Mumbai -400090</t>
  </si>
  <si>
    <t>Mumbai -400091</t>
  </si>
  <si>
    <t>Mumbai -400092</t>
  </si>
  <si>
    <t>Mumbai -400093</t>
  </si>
  <si>
    <t>Mumbai -400094</t>
  </si>
  <si>
    <t>Mumbai -400095</t>
  </si>
  <si>
    <t>Mumbai -400096</t>
  </si>
  <si>
    <t>Mumbai -400097</t>
  </si>
  <si>
    <t>LEFT</t>
  </si>
  <si>
    <t>MID</t>
  </si>
  <si>
    <t>RIGHT</t>
  </si>
  <si>
    <t>Delhi -400087</t>
  </si>
  <si>
    <t>Pune -400088</t>
  </si>
  <si>
    <t>Chennai -400089</t>
  </si>
  <si>
    <t>Alhabad -400090</t>
  </si>
  <si>
    <t>Surat -400091</t>
  </si>
  <si>
    <t>Ahmedabad -400092</t>
  </si>
  <si>
    <t>Punji -400093</t>
  </si>
  <si>
    <t>Bhopal -400094</t>
  </si>
  <si>
    <t>Ranchi -400095</t>
  </si>
  <si>
    <t>Amrutsar -400096</t>
  </si>
  <si>
    <t>Kolkatta -400097</t>
  </si>
  <si>
    <t>SPLIT / EXPLODE</t>
  </si>
  <si>
    <t>INDEX NO</t>
  </si>
  <si>
    <t>Mumbai</t>
  </si>
  <si>
    <t>Delhi</t>
  </si>
  <si>
    <t>Pune</t>
  </si>
  <si>
    <t>Chennai</t>
  </si>
  <si>
    <t>Alhabad</t>
  </si>
  <si>
    <t>Surat</t>
  </si>
  <si>
    <t>Ahmedabad</t>
  </si>
  <si>
    <t>Punji</t>
  </si>
  <si>
    <t>Bhopal</t>
  </si>
  <si>
    <t>Ranchi</t>
  </si>
  <si>
    <t>Amrutsar</t>
  </si>
  <si>
    <t>Kolkatta</t>
  </si>
  <si>
    <t>Software</t>
  </si>
  <si>
    <t>Ratings</t>
  </si>
  <si>
    <t>Star</t>
  </si>
  <si>
    <t>Photoshop</t>
  </si>
  <si>
    <t>Word</t>
  </si>
  <si>
    <t>PowerPoint</t>
  </si>
  <si>
    <t>MOB NO / DATA</t>
  </si>
  <si>
    <t>AFTER SUBSTITUTE</t>
  </si>
  <si>
    <t>MUMBAI, 400086</t>
  </si>
  <si>
    <t>9812-12-12-12</t>
  </si>
  <si>
    <t>DELHI,400001</t>
  </si>
  <si>
    <t>PMT</t>
  </si>
  <si>
    <t>PAYMENT TERMS</t>
  </si>
  <si>
    <t>GENERAL NAMES</t>
  </si>
  <si>
    <t>FORMULA ARGUMENTS</t>
  </si>
  <si>
    <t>PER ANNM</t>
  </si>
  <si>
    <t>INTEREST RATE</t>
  </si>
  <si>
    <t>%AGE</t>
  </si>
  <si>
    <t>LOAN AMOUNT</t>
  </si>
  <si>
    <t>RUPEES</t>
  </si>
  <si>
    <t>P.V</t>
  </si>
  <si>
    <t>DURATION</t>
  </si>
  <si>
    <t>MONTHS</t>
  </si>
  <si>
    <t>"N" NUMBER OF PERIOD</t>
  </si>
  <si>
    <t>EMI</t>
  </si>
  <si>
    <t>AFTER 60 M</t>
  </si>
  <si>
    <t>TOTAL PAID</t>
  </si>
  <si>
    <t>INTEREST</t>
  </si>
  <si>
    <t>IPMT</t>
  </si>
  <si>
    <t>PPMT</t>
  </si>
  <si>
    <t>9887-12-75-75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</si>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</sst>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#,##0.00_);[Red]\(&quot;₹&quot;#,##0.00\)"/>
    <numFmt numFmtId="43" formatCode="_(* #,##0.00_);_(* \(#,##0.00\);_(* &quot;-&quot;??_);_(@_)"/>
    <numFmt numFmtId="176" formatCode="[$-F400]h:mm:ss\ AM/PM"/>
    <numFmt numFmtId="177" formatCode="_(* #,##0_);_(* \(#,##0\);_(* &quot;-&quot;??_);_(@_)"/>
    <numFmt numFmtId="178" formatCode="_ * #,##0.00_ ;_ * \-#,##0.00_ ;_ * &quot;-&quot;??_ ;_ @_ "/>
    <numFmt numFmtId="179" formatCode="&quot;Rs.&quot;\ #,##0.00;[Red]&quot;Rs.&quot;\ \-#,##0.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Impact"/>
      <family val="2"/>
    </font>
    <font>
      <sz val="16"/>
      <color theme="1"/>
      <name val="Calibri"/>
      <family val="2"/>
      <scheme val="minor"/>
    </font>
    <font>
      <b/>
      <sz val="20"/>
      <color theme="0"/>
      <name val="Times New Roman"/>
      <family val="1"/>
    </font>
    <font>
      <sz val="20"/>
      <color theme="1"/>
      <name val="Calibri"/>
      <family val="2"/>
      <scheme val="minor"/>
    </font>
    <font>
      <sz val="20"/>
      <color rgb="FF000000"/>
      <name val="Times New Roman"/>
      <family val="1"/>
    </font>
    <font>
      <sz val="2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20"/>
      <color rgb="FF000000"/>
      <name val="Calibri"/>
      <family val="2"/>
      <scheme val="minor"/>
    </font>
    <font>
      <sz val="20"/>
      <color theme="0"/>
      <name val="Arial Black"/>
      <family val="2"/>
    </font>
    <font>
      <sz val="20"/>
      <color theme="1"/>
      <name val="Arial Black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1D14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559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8" fillId="0" borderId="0" applyFont="0" applyFill="0" applyBorder="0" applyAlignment="0" applyProtection="0"/>
  </cellStyleXfs>
  <cellXfs count="90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2" fontId="0" fillId="0" borderId="8" xfId="0" applyNumberFormat="1" applyBorder="1"/>
    <xf numFmtId="1" fontId="0" fillId="0" borderId="5" xfId="0" applyNumberFormat="1" applyBorder="1"/>
    <xf numFmtId="1" fontId="0" fillId="0" borderId="1" xfId="0" applyNumberFormat="1" applyBorder="1"/>
    <xf numFmtId="1" fontId="0" fillId="0" borderId="8" xfId="0" applyNumberFormat="1" applyBorder="1"/>
    <xf numFmtId="0" fontId="0" fillId="2" borderId="1" xfId="0" applyFill="1" applyBorder="1"/>
    <xf numFmtId="0" fontId="2" fillId="3" borderId="8" xfId="0" applyFont="1" applyFill="1" applyBorder="1"/>
    <xf numFmtId="0" fontId="0" fillId="0" borderId="0" xfId="0" applyBorder="1"/>
    <xf numFmtId="0" fontId="4" fillId="4" borderId="10" xfId="0" applyFont="1" applyFill="1" applyBorder="1" applyAlignment="1">
      <alignment horizontal="center"/>
    </xf>
    <xf numFmtId="0" fontId="0" fillId="2" borderId="9" xfId="0" applyFill="1" applyBorder="1"/>
    <xf numFmtId="0" fontId="2" fillId="5" borderId="0" xfId="0" applyFont="1" applyFill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/>
    <xf numFmtId="0" fontId="5" fillId="6" borderId="1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9" fillId="7" borderId="1" xfId="2" applyFont="1" applyFill="1" applyBorder="1" applyAlignment="1">
      <alignment horizontal="center" vertical="center"/>
    </xf>
    <xf numFmtId="177" fontId="9" fillId="7" borderId="1" xfId="3" applyNumberFormat="1" applyFont="1" applyFill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/>
    </xf>
    <xf numFmtId="177" fontId="10" fillId="0" borderId="1" xfId="3" applyNumberFormat="1" applyFont="1" applyBorder="1"/>
    <xf numFmtId="0" fontId="10" fillId="0" borderId="1" xfId="2" applyFont="1" applyBorder="1"/>
    <xf numFmtId="0" fontId="11" fillId="6" borderId="1" xfId="0" applyFont="1" applyFill="1" applyBorder="1" applyAlignment="1">
      <alignment horizontal="center"/>
    </xf>
    <xf numFmtId="43" fontId="11" fillId="6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178" fontId="13" fillId="0" borderId="1" xfId="1" applyNumberFormat="1" applyFont="1" applyBorder="1" applyAlignment="1">
      <alignment horizontal="center"/>
    </xf>
    <xf numFmtId="0" fontId="12" fillId="8" borderId="1" xfId="0" applyFont="1" applyFill="1" applyBorder="1"/>
    <xf numFmtId="14" fontId="12" fillId="0" borderId="1" xfId="0" applyNumberFormat="1" applyFont="1" applyBorder="1"/>
    <xf numFmtId="0" fontId="12" fillId="0" borderId="1" xfId="0" applyFont="1" applyBorder="1"/>
    <xf numFmtId="0" fontId="12" fillId="0" borderId="5" xfId="0" applyFont="1" applyBorder="1"/>
    <xf numFmtId="0" fontId="15" fillId="10" borderId="11" xfId="0" applyFont="1" applyFill="1" applyBorder="1" applyAlignment="1">
      <alignment horizontal="center"/>
    </xf>
    <xf numFmtId="0" fontId="15" fillId="10" borderId="12" xfId="0" applyFont="1" applyFill="1" applyBorder="1" applyAlignment="1">
      <alignment horizontal="center"/>
    </xf>
    <xf numFmtId="0" fontId="15" fillId="10" borderId="13" xfId="0" applyFont="1" applyFill="1" applyBorder="1" applyAlignment="1">
      <alignment horizontal="center"/>
    </xf>
    <xf numFmtId="0" fontId="12" fillId="0" borderId="0" xfId="0" applyFont="1"/>
    <xf numFmtId="0" fontId="15" fillId="6" borderId="0" xfId="0" applyFont="1" applyFill="1"/>
    <xf numFmtId="0" fontId="12" fillId="11" borderId="0" xfId="0" applyFont="1" applyFill="1"/>
    <xf numFmtId="0" fontId="12" fillId="2" borderId="0" xfId="0" applyFont="1" applyFill="1"/>
    <xf numFmtId="0" fontId="12" fillId="12" borderId="0" xfId="0" applyFont="1" applyFill="1"/>
    <xf numFmtId="0" fontId="12" fillId="8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14" fontId="12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indent="1"/>
    </xf>
    <xf numFmtId="0" fontId="12" fillId="0" borderId="1" xfId="0" applyFont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left" vertical="top"/>
    </xf>
    <xf numFmtId="0" fontId="12" fillId="8" borderId="3" xfId="0" applyFont="1" applyFill="1" applyBorder="1"/>
    <xf numFmtId="0" fontId="14" fillId="9" borderId="4" xfId="0" applyFont="1" applyFill="1" applyBorder="1"/>
    <xf numFmtId="0" fontId="20" fillId="6" borderId="1" xfId="0" applyFont="1" applyFill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79" fontId="12" fillId="0" borderId="0" xfId="0" applyNumberFormat="1" applyFont="1" applyAlignment="1">
      <alignment horizontal="center"/>
    </xf>
    <xf numFmtId="0" fontId="20" fillId="17" borderId="1" xfId="0" applyFont="1" applyFill="1" applyBorder="1" applyAlignment="1">
      <alignment horizontal="center"/>
    </xf>
    <xf numFmtId="8" fontId="0" fillId="0" borderId="0" xfId="0" applyNumberFormat="1"/>
    <xf numFmtId="8" fontId="12" fillId="0" borderId="1" xfId="0" applyNumberFormat="1" applyFont="1" applyBorder="1"/>
    <xf numFmtId="43" fontId="0" fillId="0" borderId="0" xfId="0" applyNumberFormat="1"/>
    <xf numFmtId="14" fontId="16" fillId="0" borderId="1" xfId="0" applyNumberFormat="1" applyFont="1" applyBorder="1" applyAlignment="1">
      <alignment horizontal="center"/>
    </xf>
    <xf numFmtId="0" fontId="15" fillId="17" borderId="1" xfId="0" applyFont="1" applyFill="1" applyBorder="1"/>
  </cellXfs>
  <cellStyles count="4">
    <cellStyle name="Comma" xfId="1" builtinId="3"/>
    <cellStyle name="Comma 2" xfId="3" xr:uid="{FC2D065F-1D09-4849-BA1B-85F8FECA6F2C}"/>
    <cellStyle name="Normal" xfId="0" builtinId="0"/>
    <cellStyle name="Normal 2" xfId="2" xr:uid="{1FC31FF4-D237-6E48-81FE-18551750650B}"/>
  </cellStyles>
  <dxfs count="26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2F5597"/>
      <color rgb="FF91D14F"/>
      <color rgb="FFFF0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Hindi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Jitendra Sharma</c:v>
                </c:pt>
                <c:pt idx="1">
                  <c:v>Prince Jangid</c:v>
                </c:pt>
                <c:pt idx="2">
                  <c:v>Payal Sharma</c:v>
                </c:pt>
                <c:pt idx="3">
                  <c:v>Barfi</c:v>
                </c:pt>
                <c:pt idx="4">
                  <c:v>Jitendra Yadav</c:v>
                </c:pt>
              </c:strCache>
            </c:strRef>
          </c:cat>
          <c:val>
            <c:numRef>
              <c:f>Sheet1!$C$3:$C$7</c:f>
              <c:numCache>
                <c:formatCode>0</c:formatCode>
                <c:ptCount val="5"/>
                <c:pt idx="0">
                  <c:v>45</c:v>
                </c:pt>
                <c:pt idx="1">
                  <c:v>89</c:v>
                </c:pt>
                <c:pt idx="2">
                  <c:v>56</c:v>
                </c:pt>
                <c:pt idx="3">
                  <c:v>12</c:v>
                </c:pt>
                <c:pt idx="4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F-FF4B-BA64-6B4BDE856BB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English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Jitendra Sharma</c:v>
                </c:pt>
                <c:pt idx="1">
                  <c:v>Prince Jangid</c:v>
                </c:pt>
                <c:pt idx="2">
                  <c:v>Payal Sharma</c:v>
                </c:pt>
                <c:pt idx="3">
                  <c:v>Barfi</c:v>
                </c:pt>
                <c:pt idx="4">
                  <c:v>Jitendra Yadav</c:v>
                </c:pt>
              </c:strCache>
            </c:strRef>
          </c:cat>
          <c:val>
            <c:numRef>
              <c:f>Sheet1!$D$3:$D$7</c:f>
              <c:numCache>
                <c:formatCode>0</c:formatCode>
                <c:ptCount val="5"/>
                <c:pt idx="0">
                  <c:v>43</c:v>
                </c:pt>
                <c:pt idx="1">
                  <c:v>91</c:v>
                </c:pt>
                <c:pt idx="2">
                  <c:v>41</c:v>
                </c:pt>
                <c:pt idx="3">
                  <c:v>25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F-FF4B-BA64-6B4BDE856BB4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Maths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Jitendra Sharma</c:v>
                </c:pt>
                <c:pt idx="1">
                  <c:v>Prince Jangid</c:v>
                </c:pt>
                <c:pt idx="2">
                  <c:v>Payal Sharma</c:v>
                </c:pt>
                <c:pt idx="3">
                  <c:v>Barfi</c:v>
                </c:pt>
                <c:pt idx="4">
                  <c:v>Jitendra Yadav</c:v>
                </c:pt>
              </c:strCache>
            </c:strRef>
          </c:cat>
          <c:val>
            <c:numRef>
              <c:f>Sheet1!$E$3:$E$7</c:f>
              <c:numCache>
                <c:formatCode>0</c:formatCode>
                <c:ptCount val="5"/>
                <c:pt idx="0">
                  <c:v>81</c:v>
                </c:pt>
                <c:pt idx="1">
                  <c:v>90</c:v>
                </c:pt>
                <c:pt idx="2">
                  <c:v>35</c:v>
                </c:pt>
                <c:pt idx="3">
                  <c:v>47</c:v>
                </c:pt>
                <c:pt idx="4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BF-FF4B-BA64-6B4BDE856B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85153904"/>
        <c:axId val="1903308512"/>
      </c:barChart>
      <c:catAx>
        <c:axId val="188515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08512"/>
        <c:crosses val="autoZero"/>
        <c:auto val="1"/>
        <c:lblAlgn val="ctr"/>
        <c:lblOffset val="100"/>
        <c:noMultiLvlLbl val="0"/>
      </c:catAx>
      <c:valAx>
        <c:axId val="19033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5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24423</xdr:colOff>
      <xdr:row>7</xdr:row>
      <xdr:rowOff>124313</xdr:rowOff>
    </xdr:from>
    <xdr:to>
      <xdr:col>7</xdr:col>
      <xdr:colOff>212481</xdr:colOff>
      <xdr:row>21</xdr:row>
      <xdr:rowOff>46648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2B9B49-B538-7C42-AE4A-C47CF26D1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F90BCC-4699-2F43-A3D2-969B0830D39C}" name="Table4" displayName="Table4" ref="A2:M7" totalsRowShown="0" headerRowDxfId="14" headerRowBorderDxfId="24" tableBorderDxfId="25" totalsRowBorderDxfId="23">
  <autoFilter ref="A2:M7" xr:uid="{2048CF11-63A9-5045-96D8-AAE80780CC21}"/>
  <sortState xmlns:xlrd2="http://schemas.microsoft.com/office/spreadsheetml/2017/richdata2" ref="A3:M7">
    <sortCondition ref="A2:A7"/>
  </sortState>
  <tableColumns count="13">
    <tableColumn id="1" xr3:uid="{B6F05241-7DDF-9D49-B43D-506395C21300}" name="SR NO" dataDxfId="22"/>
    <tableColumn id="2" xr3:uid="{6EF87F58-7D60-BC49-A2A2-1EFBF9ACF3F6}" name="NAME OF STUDENT" dataDxfId="13"/>
    <tableColumn id="3" xr3:uid="{CA80E1D5-E508-0C4A-BDD5-6A52A2AEC94C}" name="Hindi" dataDxfId="12"/>
    <tableColumn id="4" xr3:uid="{8B74D16F-4A6F-0243-B709-2EA3C303BF24}" name="English" dataDxfId="11"/>
    <tableColumn id="5" xr3:uid="{2DD7A5AE-B3E2-EB40-A84F-9C6523604127}" name="Maths" dataDxfId="9"/>
    <tableColumn id="6" xr3:uid="{90610119-78C9-A34C-AC15-AC255BF603B4}" name="TOTAL" dataDxfId="10">
      <calculatedColumnFormula>SUM(Sheet1!$C3:$E3)</calculatedColumnFormula>
    </tableColumn>
    <tableColumn id="7" xr3:uid="{0CDE0E6A-C22A-0C4E-A30F-1A2AFF5DF801}" name="MAX" dataDxfId="21">
      <calculatedColumnFormula>MAX(C3:E3)</calculatedColumnFormula>
    </tableColumn>
    <tableColumn id="8" xr3:uid="{B7A353BB-DE28-1C4E-BFA5-50693790E140}" name="MIN" dataDxfId="20">
      <calculatedColumnFormula>MIN(C3:E3)</calculatedColumnFormula>
    </tableColumn>
    <tableColumn id="9" xr3:uid="{A4676632-570B-1946-97CE-EE2882FDB2EF}" name="COUNT" dataDxfId="19">
      <calculatedColumnFormula>COUNT(C3:E3)</calculatedColumnFormula>
    </tableColumn>
    <tableColumn id="10" xr3:uid="{AAD546E3-8758-8543-AFC6-EA9B9D792EBA}" name="AVG" dataDxfId="18">
      <calculatedColumnFormula>AVERAGE(C3:E3)</calculatedColumnFormula>
    </tableColumn>
    <tableColumn id="11" xr3:uid="{956FE1DD-093A-B349-8132-0652A095C7A9}" name="%AVG" dataDxfId="17">
      <calculatedColumnFormula>F3/350*100</calculatedColumnFormula>
    </tableColumn>
    <tableColumn id="12" xr3:uid="{7069EB54-CF1D-264D-BB27-0085B6CBB46C}" name="RESULT" dataDxfId="16">
      <calculatedColumnFormula>IF(AND(C3&gt;=35,D3&gt;=35,E3&gt;=35),"Pass","Fail")</calculatedColumnFormula>
    </tableColumn>
    <tableColumn id="13" xr3:uid="{34305A89-399A-9F44-A0F3-A39E03CCA9FC}" name="GRADE" dataDxfId="15">
      <calculatedColumnFormula>IF(L3="Fail","Fail",IF(K3&gt;=75,"A+",IF(K3&gt;60,"A",IF(K3&gt;45,"B",IF(K3&gt;35,"C")))))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A79-6DEF-EC41-B422-E5811040DEED}">
  <dimension ref="A1:M20"/>
  <sheetViews>
    <sheetView zoomScale="20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baseColWidth="10" defaultRowHeight="16" x14ac:dyDescent="0.2"/>
  <cols>
    <col min="1" max="1" width="8.33203125" customWidth="1"/>
    <col min="2" max="2" width="19.5" customWidth="1"/>
    <col min="3" max="5" width="7.5" customWidth="1"/>
    <col min="6" max="6" width="8.5" customWidth="1"/>
    <col min="7" max="7" width="7" customWidth="1"/>
    <col min="8" max="8" width="6.83203125" customWidth="1"/>
    <col min="9" max="9" width="9.1640625" customWidth="1"/>
    <col min="10" max="10" width="6.83203125" customWidth="1"/>
    <col min="11" max="11" width="12.33203125" bestFit="1" customWidth="1"/>
    <col min="12" max="12" width="9.5" customWidth="1"/>
    <col min="13" max="13" width="9.1640625" customWidth="1"/>
  </cols>
  <sheetData>
    <row r="1" spans="1:13" x14ac:dyDescent="0.2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4" t="s">
        <v>0</v>
      </c>
      <c r="B2" s="10" t="s">
        <v>1</v>
      </c>
      <c r="C2" s="16" t="s">
        <v>16</v>
      </c>
      <c r="D2" s="16" t="s">
        <v>17</v>
      </c>
      <c r="E2" s="16" t="s">
        <v>18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1" t="s">
        <v>9</v>
      </c>
    </row>
    <row r="3" spans="1:13" x14ac:dyDescent="0.2">
      <c r="A3" s="8">
        <v>1</v>
      </c>
      <c r="B3" s="6" t="s">
        <v>12</v>
      </c>
      <c r="C3" s="17">
        <v>45</v>
      </c>
      <c r="D3" s="17">
        <v>43</v>
      </c>
      <c r="E3" s="17">
        <v>81</v>
      </c>
      <c r="F3" s="6">
        <f>SUM(Sheet1!$C3:$E3)</f>
        <v>169</v>
      </c>
      <c r="G3" s="6">
        <f>MAX(C3:E3)</f>
        <v>81</v>
      </c>
      <c r="H3" s="6">
        <f>MIN(C3:E3)</f>
        <v>43</v>
      </c>
      <c r="I3" s="6">
        <f>COUNT(C3:E3)</f>
        <v>3</v>
      </c>
      <c r="J3" s="6">
        <f>AVERAGE(C3:E3)</f>
        <v>56.333333333333336</v>
      </c>
      <c r="K3" s="7">
        <f>F3/350*100</f>
        <v>48.285714285714285</v>
      </c>
      <c r="L3" s="6" t="str">
        <f>IF(AND(C3&gt;=35,D3&gt;=35,E3&gt;=35),"Pass","Fail")</f>
        <v>Pass</v>
      </c>
      <c r="M3" s="9" t="str">
        <f>IF(L3="Fail","Fail",IF(K3&gt;=75,"A+",IF(K3&gt;60,"A",IF(K3&gt;45,"B",IF(K3&gt;35,"C")))))</f>
        <v>B</v>
      </c>
    </row>
    <row r="4" spans="1:13" x14ac:dyDescent="0.2">
      <c r="A4" s="8">
        <v>2</v>
      </c>
      <c r="B4" s="6" t="s">
        <v>11</v>
      </c>
      <c r="C4" s="17">
        <v>89</v>
      </c>
      <c r="D4" s="17">
        <v>91</v>
      </c>
      <c r="E4" s="17">
        <v>90</v>
      </c>
      <c r="F4" s="6">
        <f>SUM(Sheet1!$C4:$E4)</f>
        <v>270</v>
      </c>
      <c r="G4" s="6">
        <f>MAX(C4:E4)</f>
        <v>91</v>
      </c>
      <c r="H4" s="5">
        <f>MIN(C4:E4)</f>
        <v>89</v>
      </c>
      <c r="I4" s="6">
        <f>COUNT(C4:E4)</f>
        <v>3</v>
      </c>
      <c r="J4" s="6">
        <f>AVERAGE(C4:E4)</f>
        <v>90</v>
      </c>
      <c r="K4" s="7">
        <f>F4/350*100</f>
        <v>77.142857142857153</v>
      </c>
      <c r="L4" s="6" t="str">
        <f>IF(AND(C4&gt;=35,D4&gt;=35,E4&gt;=35),"Pass","Fail")</f>
        <v>Pass</v>
      </c>
      <c r="M4" s="9" t="str">
        <f>IF(L4="Fail","Fail",IF(K4&gt;=75,"A+",IF(K4&gt;60,"A",IF(K4&gt;45,"B",IF(K4&gt;35,"C")))))</f>
        <v>A+</v>
      </c>
    </row>
    <row r="5" spans="1:13" x14ac:dyDescent="0.2">
      <c r="A5" s="8">
        <v>3</v>
      </c>
      <c r="B5" s="6" t="s">
        <v>14</v>
      </c>
      <c r="C5" s="17">
        <v>56</v>
      </c>
      <c r="D5" s="17">
        <v>41</v>
      </c>
      <c r="E5" s="17">
        <v>35</v>
      </c>
      <c r="F5" s="6">
        <f>SUM(Sheet1!$C5:$E5)</f>
        <v>132</v>
      </c>
      <c r="G5" s="6">
        <f>MAX(C5:E5)</f>
        <v>56</v>
      </c>
      <c r="H5" s="6">
        <f>MIN(C5:E5)</f>
        <v>35</v>
      </c>
      <c r="I5" s="6">
        <f>COUNT(C5:E5)</f>
        <v>3</v>
      </c>
      <c r="J5" s="6">
        <f>AVERAGE(C5:E5)</f>
        <v>44</v>
      </c>
      <c r="K5" s="7">
        <f>F5/350*100</f>
        <v>37.714285714285715</v>
      </c>
      <c r="L5" s="6" t="str">
        <f>IF(AND(C5&gt;=35,D5&gt;=35,E5&gt;=35),"Pass","Fail")</f>
        <v>Pass</v>
      </c>
      <c r="M5" s="9" t="str">
        <f>IF(L5="Fail","Fail",IF(K5&gt;=75,"A+",IF(K5&gt;60,"A",IF(K5&gt;45,"B",IF(K5&gt;35,"C")))))</f>
        <v>C</v>
      </c>
    </row>
    <row r="6" spans="1:13" x14ac:dyDescent="0.2">
      <c r="A6" s="8">
        <v>4</v>
      </c>
      <c r="B6" s="6" t="s">
        <v>15</v>
      </c>
      <c r="C6" s="17">
        <v>12</v>
      </c>
      <c r="D6" s="17">
        <v>25</v>
      </c>
      <c r="E6" s="17">
        <v>47</v>
      </c>
      <c r="F6" s="6">
        <v>80</v>
      </c>
      <c r="G6" s="6">
        <f>MAX(C6:E6)</f>
        <v>47</v>
      </c>
      <c r="H6" s="6">
        <f>MIN(C6:E6)</f>
        <v>12</v>
      </c>
      <c r="I6" s="6">
        <f>COUNT(C6:E6)</f>
        <v>3</v>
      </c>
      <c r="J6" s="6">
        <f>AVERAGE(C6:E6)</f>
        <v>28</v>
      </c>
      <c r="K6" s="7">
        <f>F6/350*100</f>
        <v>22.857142857142858</v>
      </c>
      <c r="L6" s="6" t="str">
        <f>IF(AND(C6&gt;=35,D6&gt;=35,E6&gt;=35),"Pass","Fail")</f>
        <v>Fail</v>
      </c>
      <c r="M6" s="9" t="str">
        <f>IF(L6="Fail","Fail",IF(K6&gt;=75,"A+",IF(K6&gt;60,"A",IF(K6&gt;45,"B",IF(K6&gt;35,"C")))))</f>
        <v>Fail</v>
      </c>
    </row>
    <row r="7" spans="1:13" x14ac:dyDescent="0.2">
      <c r="A7" s="12">
        <v>5</v>
      </c>
      <c r="B7" s="13" t="s">
        <v>13</v>
      </c>
      <c r="C7" s="18">
        <v>93</v>
      </c>
      <c r="D7" s="18">
        <v>97</v>
      </c>
      <c r="E7" s="18">
        <v>82</v>
      </c>
      <c r="F7" s="13">
        <f>SUM(Sheet1!$C7:$E7)</f>
        <v>272</v>
      </c>
      <c r="G7" s="13">
        <f>MAX(C7:E7)</f>
        <v>97</v>
      </c>
      <c r="H7" s="13">
        <f>MIN(C7:E7)</f>
        <v>82</v>
      </c>
      <c r="I7" s="13">
        <f>COUNT(C7:E7)</f>
        <v>3</v>
      </c>
      <c r="J7" s="13">
        <f>AVERAGE(C7:E7)</f>
        <v>90.666666666666671</v>
      </c>
      <c r="K7" s="15">
        <f>F7/350*100</f>
        <v>77.714285714285708</v>
      </c>
      <c r="L7" s="13" t="str">
        <f>IF(AND(C7&gt;=35,D7&gt;=35,E7&gt;=35),"Pass","Fail")</f>
        <v>Pass</v>
      </c>
      <c r="M7" s="9" t="str">
        <f>IF(L7="Fail","Fail",IF(K7&gt;=75,"A+",IF(K7&gt;60,"A",IF(K7&gt;45,"B",IF(K7&gt;35,"C")))))</f>
        <v>A+</v>
      </c>
    </row>
    <row r="10" spans="1:13" x14ac:dyDescent="0.2">
      <c r="B10" s="2"/>
    </row>
    <row r="11" spans="1:13" x14ac:dyDescent="0.2">
      <c r="B11" s="2"/>
    </row>
    <row r="12" spans="1:13" x14ac:dyDescent="0.2">
      <c r="B12" s="2"/>
    </row>
    <row r="13" spans="1:13" x14ac:dyDescent="0.2">
      <c r="B13" s="2"/>
    </row>
    <row r="14" spans="1:13" x14ac:dyDescent="0.2">
      <c r="B14" s="2"/>
    </row>
    <row r="15" spans="1:13" x14ac:dyDescent="0.2">
      <c r="B15" s="2"/>
    </row>
    <row r="16" spans="1:1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</sheetData>
  <mergeCells count="1">
    <mergeCell ref="A1:M1"/>
  </mergeCells>
  <conditionalFormatting sqref="B10:B20">
    <cfRule type="timePeriod" dxfId="8" priority="11" timePeriod="thisWeek">
      <formula>AND(TODAY()-ROUNDDOWN(B10,0)&lt;=WEEKDAY(TODAY())-1,ROUNDDOWN(B10,0)-TODAY()&lt;=7-WEEKDAY(TODAY()))</formula>
    </cfRule>
    <cfRule type="timePeriod" dxfId="7" priority="12" timePeriod="today">
      <formula>FLOOR(B10,1)=TODAY()</formula>
    </cfRule>
  </conditionalFormatting>
  <conditionalFormatting sqref="B8:B1048576">
    <cfRule type="duplicateValues" dxfId="6" priority="18"/>
  </conditionalFormatting>
  <conditionalFormatting sqref="C2:E7">
    <cfRule type="iconSet" priority="1">
      <iconSet iconSet="4Rating">
        <cfvo type="percent" val="0"/>
        <cfvo type="percent" val="25"/>
        <cfvo type="percent" val="50"/>
        <cfvo type="percent" val="75"/>
      </iconSet>
    </cfRule>
    <cfRule type="cellIs" dxfId="5" priority="2" operator="lessThan">
      <formula>35</formula>
    </cfRule>
  </conditionalFormatting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769F-509E-354C-B0C2-76DD9636EBEA}">
  <dimension ref="A1:E21"/>
  <sheetViews>
    <sheetView workbookViewId="0">
      <selection activeCell="E2" sqref="E2:E10"/>
    </sheetView>
  </sheetViews>
  <sheetFormatPr baseColWidth="10" defaultRowHeight="16" x14ac:dyDescent="0.2"/>
  <cols>
    <col min="1" max="1" width="7.83203125" customWidth="1"/>
    <col min="2" max="2" width="22.33203125" customWidth="1"/>
    <col min="3" max="4" width="9" customWidth="1"/>
  </cols>
  <sheetData>
    <row r="1" spans="1:5" x14ac:dyDescent="0.2">
      <c r="A1" s="20" t="s">
        <v>19</v>
      </c>
      <c r="B1" s="20" t="s">
        <v>20</v>
      </c>
      <c r="C1" s="20" t="s">
        <v>21</v>
      </c>
      <c r="D1" s="20" t="s">
        <v>42</v>
      </c>
      <c r="E1" s="20" t="s">
        <v>43</v>
      </c>
    </row>
    <row r="2" spans="1:5" x14ac:dyDescent="0.2">
      <c r="A2" s="6">
        <v>1</v>
      </c>
      <c r="B2" s="6" t="s">
        <v>22</v>
      </c>
      <c r="C2" s="6">
        <v>29</v>
      </c>
      <c r="D2" s="6">
        <v>29</v>
      </c>
      <c r="E2" s="6">
        <f t="array" ref="E2:E10">FREQUENCY(C2:C21,D2:D10)</f>
        <v>3</v>
      </c>
    </row>
    <row r="3" spans="1:5" x14ac:dyDescent="0.2">
      <c r="A3" s="6">
        <v>2</v>
      </c>
      <c r="B3" s="6" t="s">
        <v>23</v>
      </c>
      <c r="C3" s="6">
        <v>20</v>
      </c>
      <c r="D3" s="6">
        <v>20</v>
      </c>
      <c r="E3" s="6">
        <v>4</v>
      </c>
    </row>
    <row r="4" spans="1:5" x14ac:dyDescent="0.2">
      <c r="A4" s="6">
        <v>3</v>
      </c>
      <c r="B4" s="6" t="s">
        <v>24</v>
      </c>
      <c r="C4" s="6">
        <v>33</v>
      </c>
      <c r="D4" s="6">
        <v>33</v>
      </c>
      <c r="E4" s="6">
        <v>2</v>
      </c>
    </row>
    <row r="5" spans="1:5" x14ac:dyDescent="0.2">
      <c r="A5" s="6">
        <v>4</v>
      </c>
      <c r="B5" s="6" t="s">
        <v>25</v>
      </c>
      <c r="C5" s="6">
        <v>20</v>
      </c>
      <c r="D5" s="6">
        <v>21</v>
      </c>
      <c r="E5" s="6">
        <v>2</v>
      </c>
    </row>
    <row r="6" spans="1:5" x14ac:dyDescent="0.2">
      <c r="A6" s="6">
        <v>5</v>
      </c>
      <c r="B6" s="6" t="s">
        <v>26</v>
      </c>
      <c r="C6" s="6">
        <v>29</v>
      </c>
      <c r="D6" s="6">
        <v>34</v>
      </c>
      <c r="E6" s="6">
        <v>1</v>
      </c>
    </row>
    <row r="7" spans="1:5" x14ac:dyDescent="0.2">
      <c r="A7" s="6">
        <v>6</v>
      </c>
      <c r="B7" s="6" t="s">
        <v>27</v>
      </c>
      <c r="C7" s="6">
        <v>33</v>
      </c>
      <c r="D7" s="6">
        <v>28</v>
      </c>
      <c r="E7" s="6">
        <v>2</v>
      </c>
    </row>
    <row r="8" spans="1:5" x14ac:dyDescent="0.2">
      <c r="A8" s="6">
        <v>7</v>
      </c>
      <c r="B8" s="6" t="s">
        <v>28</v>
      </c>
      <c r="C8" s="6">
        <v>21</v>
      </c>
      <c r="D8" s="6">
        <v>27</v>
      </c>
      <c r="E8" s="6">
        <v>3</v>
      </c>
    </row>
    <row r="9" spans="1:5" x14ac:dyDescent="0.2">
      <c r="A9" s="6">
        <v>8</v>
      </c>
      <c r="B9" s="6" t="s">
        <v>29</v>
      </c>
      <c r="C9" s="6">
        <v>29</v>
      </c>
      <c r="D9" s="6">
        <v>22</v>
      </c>
      <c r="E9" s="6">
        <v>1</v>
      </c>
    </row>
    <row r="10" spans="1:5" x14ac:dyDescent="0.2">
      <c r="A10" s="6">
        <v>9</v>
      </c>
      <c r="B10" s="6" t="s">
        <v>30</v>
      </c>
      <c r="C10" s="6">
        <v>34</v>
      </c>
      <c r="D10" s="6">
        <v>23</v>
      </c>
      <c r="E10" s="6">
        <v>2</v>
      </c>
    </row>
    <row r="11" spans="1:5" x14ac:dyDescent="0.2">
      <c r="A11" s="6">
        <v>10</v>
      </c>
      <c r="B11" s="6" t="s">
        <v>31</v>
      </c>
      <c r="C11" s="6">
        <v>28</v>
      </c>
      <c r="D11" s="6"/>
      <c r="E11" s="6"/>
    </row>
    <row r="12" spans="1:5" x14ac:dyDescent="0.2">
      <c r="A12" s="6">
        <v>11</v>
      </c>
      <c r="B12" s="6" t="s">
        <v>32</v>
      </c>
      <c r="C12" s="6">
        <v>20</v>
      </c>
      <c r="D12" s="6"/>
      <c r="E12" s="6"/>
    </row>
    <row r="13" spans="1:5" x14ac:dyDescent="0.2">
      <c r="A13" s="6">
        <v>12</v>
      </c>
      <c r="B13" s="6" t="s">
        <v>33</v>
      </c>
      <c r="C13" s="6">
        <v>27</v>
      </c>
      <c r="D13" s="6"/>
      <c r="E13" s="6"/>
    </row>
    <row r="14" spans="1:5" x14ac:dyDescent="0.2">
      <c r="A14" s="6">
        <v>13</v>
      </c>
      <c r="B14" s="6" t="s">
        <v>34</v>
      </c>
      <c r="C14" s="6">
        <v>21</v>
      </c>
      <c r="D14" s="6"/>
      <c r="E14" s="6"/>
    </row>
    <row r="15" spans="1:5" x14ac:dyDescent="0.2">
      <c r="A15" s="6">
        <v>14</v>
      </c>
      <c r="B15" s="6" t="s">
        <v>35</v>
      </c>
      <c r="C15" s="6">
        <v>28</v>
      </c>
      <c r="D15" s="6"/>
      <c r="E15" s="6"/>
    </row>
    <row r="16" spans="1:5" x14ac:dyDescent="0.2">
      <c r="A16" s="6">
        <v>15</v>
      </c>
      <c r="B16" s="6" t="s">
        <v>36</v>
      </c>
      <c r="C16" s="6">
        <v>27</v>
      </c>
      <c r="D16" s="6"/>
      <c r="E16" s="6"/>
    </row>
    <row r="17" spans="1:5" x14ac:dyDescent="0.2">
      <c r="A17" s="6">
        <v>16</v>
      </c>
      <c r="B17" s="6" t="s">
        <v>37</v>
      </c>
      <c r="C17" s="6">
        <v>20</v>
      </c>
      <c r="D17" s="6"/>
      <c r="E17" s="6"/>
    </row>
    <row r="18" spans="1:5" x14ac:dyDescent="0.2">
      <c r="A18" s="6">
        <v>17</v>
      </c>
      <c r="B18" s="6" t="s">
        <v>38</v>
      </c>
      <c r="C18" s="6">
        <v>22</v>
      </c>
      <c r="D18" s="6"/>
      <c r="E18" s="6"/>
    </row>
    <row r="19" spans="1:5" x14ac:dyDescent="0.2">
      <c r="A19" s="6">
        <v>18</v>
      </c>
      <c r="B19" s="6" t="s">
        <v>39</v>
      </c>
      <c r="C19" s="6">
        <v>23</v>
      </c>
      <c r="D19" s="6"/>
      <c r="E19" s="6"/>
    </row>
    <row r="20" spans="1:5" x14ac:dyDescent="0.2">
      <c r="A20" s="6">
        <v>19</v>
      </c>
      <c r="B20" s="6" t="s">
        <v>40</v>
      </c>
      <c r="C20" s="6">
        <v>27</v>
      </c>
      <c r="D20" s="6"/>
      <c r="E20" s="6"/>
    </row>
    <row r="21" spans="1:5" x14ac:dyDescent="0.2">
      <c r="A21" s="6">
        <v>20</v>
      </c>
      <c r="B21" s="6" t="s">
        <v>41</v>
      </c>
      <c r="C21" s="6">
        <v>23</v>
      </c>
      <c r="D21" s="6"/>
      <c r="E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86BE-4D01-6145-84BB-6E251E3AA07D}">
  <dimension ref="A1:K10"/>
  <sheetViews>
    <sheetView workbookViewId="0">
      <selection activeCell="I6" sqref="I6"/>
    </sheetView>
  </sheetViews>
  <sheetFormatPr baseColWidth="10" defaultRowHeight="16" x14ac:dyDescent="0.2"/>
  <cols>
    <col min="1" max="5" width="23.5" customWidth="1"/>
    <col min="7" max="7" width="12.1640625" bestFit="1" customWidth="1"/>
    <col min="11" max="11" width="11.5" bestFit="1" customWidth="1"/>
  </cols>
  <sheetData>
    <row r="1" spans="1:11" x14ac:dyDescent="0.2">
      <c r="A1" s="22" t="s">
        <v>44</v>
      </c>
      <c r="B1" s="22"/>
      <c r="C1" s="22"/>
      <c r="D1" s="22"/>
      <c r="E1" s="22"/>
      <c r="G1" s="24" t="s">
        <v>55</v>
      </c>
      <c r="H1" s="24"/>
    </row>
    <row r="2" spans="1:11" x14ac:dyDescent="0.2">
      <c r="A2" s="19" t="s">
        <v>45</v>
      </c>
      <c r="B2" s="19" t="s">
        <v>46</v>
      </c>
      <c r="C2" s="19" t="s">
        <v>47</v>
      </c>
      <c r="D2" s="19" t="s">
        <v>48</v>
      </c>
      <c r="E2" s="19" t="s">
        <v>49</v>
      </c>
      <c r="G2" s="23" t="s">
        <v>56</v>
      </c>
      <c r="H2" t="s">
        <v>49</v>
      </c>
    </row>
    <row r="3" spans="1:11" x14ac:dyDescent="0.2">
      <c r="A3" s="25">
        <v>0.29166666666666669</v>
      </c>
      <c r="B3" s="6" t="s">
        <v>50</v>
      </c>
      <c r="C3" s="6" t="s">
        <v>51</v>
      </c>
      <c r="D3" s="6" t="s">
        <v>52</v>
      </c>
      <c r="E3" s="6" t="s">
        <v>53</v>
      </c>
      <c r="G3" s="26">
        <v>0.41666666666666702</v>
      </c>
      <c r="H3" t="str">
        <f>INDEX(A2:E9,MATCH(G3,A2:A9,0),MATCH(H2,A2:E2,0))</f>
        <v>Tally</v>
      </c>
    </row>
    <row r="4" spans="1:11" x14ac:dyDescent="0.2">
      <c r="A4" s="25">
        <v>0.33333333333333298</v>
      </c>
      <c r="B4" s="6" t="s">
        <v>51</v>
      </c>
      <c r="C4" s="6" t="s">
        <v>54</v>
      </c>
      <c r="D4" s="6" t="s">
        <v>51</v>
      </c>
      <c r="E4" s="6" t="s">
        <v>52</v>
      </c>
    </row>
    <row r="5" spans="1:11" x14ac:dyDescent="0.2">
      <c r="A5" s="25">
        <v>0.375</v>
      </c>
      <c r="B5" s="6" t="s">
        <v>53</v>
      </c>
      <c r="C5" s="6" t="s">
        <v>52</v>
      </c>
      <c r="D5" s="6" t="s">
        <v>52</v>
      </c>
      <c r="E5" s="6" t="s">
        <v>51</v>
      </c>
    </row>
    <row r="6" spans="1:11" x14ac:dyDescent="0.2">
      <c r="A6" s="25">
        <v>0.41666666666666702</v>
      </c>
      <c r="B6" s="6" t="s">
        <v>52</v>
      </c>
      <c r="C6" s="6" t="s">
        <v>50</v>
      </c>
      <c r="D6" s="6" t="s">
        <v>53</v>
      </c>
      <c r="E6" s="6" t="s">
        <v>50</v>
      </c>
    </row>
    <row r="7" spans="1:11" x14ac:dyDescent="0.2">
      <c r="A7" s="25">
        <v>0.45833333333333298</v>
      </c>
      <c r="B7" s="6" t="s">
        <v>50</v>
      </c>
      <c r="C7" s="6" t="s">
        <v>51</v>
      </c>
      <c r="D7" s="6" t="s">
        <v>50</v>
      </c>
      <c r="E7" s="6" t="s">
        <v>51</v>
      </c>
    </row>
    <row r="8" spans="1:11" x14ac:dyDescent="0.2">
      <c r="A8" s="25">
        <v>0.5</v>
      </c>
      <c r="B8" s="6" t="s">
        <v>51</v>
      </c>
      <c r="C8" s="6" t="s">
        <v>52</v>
      </c>
      <c r="D8" s="6" t="s">
        <v>51</v>
      </c>
      <c r="E8" s="6" t="s">
        <v>50</v>
      </c>
    </row>
    <row r="9" spans="1:11" x14ac:dyDescent="0.2">
      <c r="A9" s="25">
        <v>0.54166666666666696</v>
      </c>
      <c r="B9" s="6" t="s">
        <v>53</v>
      </c>
      <c r="C9" s="6" t="s">
        <v>54</v>
      </c>
      <c r="D9" s="6" t="s">
        <v>52</v>
      </c>
      <c r="E9" s="6" t="s">
        <v>51</v>
      </c>
    </row>
    <row r="10" spans="1:11" x14ac:dyDescent="0.2">
      <c r="K10" s="26"/>
    </row>
  </sheetData>
  <mergeCells count="2">
    <mergeCell ref="A1:E1"/>
    <mergeCell ref="G1:H1"/>
  </mergeCells>
  <dataValidations count="2">
    <dataValidation type="list" allowBlank="1" showInputMessage="1" showErrorMessage="1" sqref="G3 K10" xr:uid="{86F0208A-271D-2143-8FAE-EB63DCD6C06B}">
      <formula1>$A$3:$A$9</formula1>
    </dataValidation>
    <dataValidation type="list" allowBlank="1" showInputMessage="1" showErrorMessage="1" sqref="H2" xr:uid="{BD1A2FE5-2A71-CB46-B345-7E0A60EFEBA4}">
      <formula1>$B$2:$E$2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7DB9-3C05-884B-9C19-00EF9AE54716}">
  <dimension ref="A1:T21"/>
  <sheetViews>
    <sheetView workbookViewId="0">
      <selection activeCell="E30" sqref="E30"/>
    </sheetView>
  </sheetViews>
  <sheetFormatPr baseColWidth="10" defaultRowHeight="16" x14ac:dyDescent="0.2"/>
  <cols>
    <col min="1" max="1" width="7.33203125" bestFit="1" customWidth="1"/>
    <col min="2" max="2" width="25.33203125" bestFit="1" customWidth="1"/>
    <col min="3" max="3" width="10.33203125" bestFit="1" customWidth="1"/>
    <col min="4" max="4" width="8.83203125" bestFit="1" customWidth="1"/>
    <col min="5" max="5" width="14" bestFit="1" customWidth="1"/>
    <col min="6" max="6" width="11.5" bestFit="1" customWidth="1"/>
    <col min="7" max="7" width="7" customWidth="1"/>
    <col min="8" max="8" width="9.1640625" customWidth="1"/>
    <col min="9" max="9" width="9.1640625" bestFit="1" customWidth="1"/>
    <col min="13" max="13" width="22" bestFit="1" customWidth="1"/>
  </cols>
  <sheetData>
    <row r="1" spans="1:20" ht="19" x14ac:dyDescent="0.25">
      <c r="A1" s="27" t="s">
        <v>57</v>
      </c>
      <c r="B1" s="27" t="s">
        <v>58</v>
      </c>
      <c r="C1" s="27" t="s">
        <v>59</v>
      </c>
      <c r="D1" s="28" t="s">
        <v>60</v>
      </c>
      <c r="E1" s="27" t="s">
        <v>61</v>
      </c>
      <c r="F1" s="27" t="s">
        <v>62</v>
      </c>
      <c r="G1" s="27" t="s">
        <v>63</v>
      </c>
      <c r="H1" s="27" t="s">
        <v>64</v>
      </c>
      <c r="I1" s="27" t="s">
        <v>65</v>
      </c>
      <c r="M1" s="27" t="s">
        <v>86</v>
      </c>
      <c r="N1" s="27" t="s">
        <v>59</v>
      </c>
      <c r="O1" s="28" t="s">
        <v>60</v>
      </c>
      <c r="P1" s="27" t="s">
        <v>61</v>
      </c>
      <c r="Q1" s="27" t="s">
        <v>62</v>
      </c>
      <c r="R1" s="27" t="s">
        <v>63</v>
      </c>
      <c r="S1" s="27" t="s">
        <v>64</v>
      </c>
      <c r="T1" s="27" t="s">
        <v>65</v>
      </c>
    </row>
    <row r="2" spans="1:20" ht="19" x14ac:dyDescent="0.25">
      <c r="A2" s="29">
        <v>1</v>
      </c>
      <c r="B2" s="29" t="s">
        <v>66</v>
      </c>
      <c r="C2" s="30">
        <v>26</v>
      </c>
      <c r="D2" s="31">
        <v>2370</v>
      </c>
      <c r="E2" s="30">
        <v>2290</v>
      </c>
      <c r="F2" s="30">
        <v>7150</v>
      </c>
      <c r="G2" s="30">
        <v>559</v>
      </c>
      <c r="H2" s="30">
        <v>72</v>
      </c>
      <c r="I2" s="30">
        <v>6519</v>
      </c>
      <c r="M2" s="29" t="s">
        <v>72</v>
      </c>
      <c r="N2">
        <f>LOOKUP(M2,B1:B21,C1:C21)</f>
        <v>22</v>
      </c>
      <c r="O2" s="1">
        <f>LOOKUP(M2,B1:B21,D1:D21)</f>
        <v>2005.3846153846155</v>
      </c>
      <c r="P2">
        <f>LOOKUP(M2,B1:B21,E1:E21)</f>
        <v>1937.6923076923078</v>
      </c>
      <c r="Q2">
        <f>LOOKUP(M2,B1:B21,F1:F21)</f>
        <v>6050</v>
      </c>
      <c r="R2">
        <f>LOOKUP(M2,B1:B21,G1:G21)</f>
        <v>473</v>
      </c>
      <c r="S2">
        <f>LOOKUP(M2,B1:B21,H1:H21)</f>
        <v>61</v>
      </c>
      <c r="T2">
        <f>LOOKUP(M2,B1:B21,I1:I21)</f>
        <v>5516</v>
      </c>
    </row>
    <row r="3" spans="1:20" ht="19" x14ac:dyDescent="0.25">
      <c r="A3" s="29">
        <v>2</v>
      </c>
      <c r="B3" s="29" t="s">
        <v>67</v>
      </c>
      <c r="C3" s="30">
        <v>15</v>
      </c>
      <c r="D3" s="31">
        <v>1315.3846153846155</v>
      </c>
      <c r="E3" s="30">
        <v>1275</v>
      </c>
      <c r="F3" s="30">
        <v>3975</v>
      </c>
      <c r="G3" s="30">
        <v>311</v>
      </c>
      <c r="H3" s="30">
        <v>40</v>
      </c>
      <c r="I3" s="30">
        <v>3624</v>
      </c>
    </row>
    <row r="4" spans="1:20" ht="21" x14ac:dyDescent="0.25">
      <c r="A4" s="29">
        <v>3</v>
      </c>
      <c r="B4" s="29" t="s">
        <v>68</v>
      </c>
      <c r="C4" s="30">
        <v>26</v>
      </c>
      <c r="D4" s="31">
        <v>2370</v>
      </c>
      <c r="E4" s="30">
        <v>2290</v>
      </c>
      <c r="F4" s="30">
        <v>7150</v>
      </c>
      <c r="G4" s="30">
        <v>559</v>
      </c>
      <c r="H4" s="30">
        <v>72</v>
      </c>
      <c r="I4" s="30">
        <v>6519</v>
      </c>
      <c r="K4" s="34"/>
    </row>
    <row r="5" spans="1:20" ht="19" x14ac:dyDescent="0.25">
      <c r="A5" s="29">
        <v>4</v>
      </c>
      <c r="B5" s="29" t="s">
        <v>69</v>
      </c>
      <c r="C5" s="30">
        <v>26</v>
      </c>
      <c r="D5" s="31">
        <v>2370</v>
      </c>
      <c r="E5" s="30">
        <v>2290</v>
      </c>
      <c r="F5" s="30">
        <v>7150</v>
      </c>
      <c r="G5" s="30">
        <v>559</v>
      </c>
      <c r="H5" s="30">
        <v>72</v>
      </c>
      <c r="I5" s="30">
        <v>6519</v>
      </c>
    </row>
    <row r="6" spans="1:20" ht="19" x14ac:dyDescent="0.25">
      <c r="A6" s="29">
        <v>5</v>
      </c>
      <c r="B6" s="29" t="s">
        <v>70</v>
      </c>
      <c r="C6" s="30">
        <v>3</v>
      </c>
      <c r="D6" s="31">
        <v>273.46153846153845</v>
      </c>
      <c r="E6" s="30">
        <v>264.23076923076923</v>
      </c>
      <c r="F6" s="30">
        <v>825</v>
      </c>
      <c r="G6" s="30">
        <v>65</v>
      </c>
      <c r="H6" s="30">
        <v>8</v>
      </c>
      <c r="I6" s="30">
        <v>752</v>
      </c>
    </row>
    <row r="7" spans="1:20" ht="19" x14ac:dyDescent="0.25">
      <c r="A7" s="29">
        <v>6</v>
      </c>
      <c r="B7" s="29" t="s">
        <v>71</v>
      </c>
      <c r="C7" s="30">
        <v>2</v>
      </c>
      <c r="D7" s="31">
        <v>182.30769230769232</v>
      </c>
      <c r="E7" s="30">
        <v>176.15384615384616</v>
      </c>
      <c r="F7" s="30">
        <v>550</v>
      </c>
      <c r="G7" s="30">
        <v>43</v>
      </c>
      <c r="H7" s="30">
        <v>6</v>
      </c>
      <c r="I7" s="30">
        <v>501</v>
      </c>
    </row>
    <row r="8" spans="1:20" ht="19" x14ac:dyDescent="0.25">
      <c r="A8" s="29">
        <v>7</v>
      </c>
      <c r="B8" s="29" t="s">
        <v>72</v>
      </c>
      <c r="C8" s="30">
        <v>22</v>
      </c>
      <c r="D8" s="31">
        <v>2005.3846153846155</v>
      </c>
      <c r="E8" s="30">
        <v>1937.6923076923078</v>
      </c>
      <c r="F8" s="30">
        <v>6050</v>
      </c>
      <c r="G8" s="30">
        <v>473</v>
      </c>
      <c r="H8" s="30">
        <v>61</v>
      </c>
      <c r="I8" s="30">
        <v>5516</v>
      </c>
    </row>
    <row r="9" spans="1:20" ht="19" x14ac:dyDescent="0.25">
      <c r="A9" s="29">
        <v>8</v>
      </c>
      <c r="B9" s="29" t="s">
        <v>73</v>
      </c>
      <c r="C9" s="30">
        <v>22</v>
      </c>
      <c r="D9" s="31">
        <v>2005.3846153846155</v>
      </c>
      <c r="E9" s="30">
        <v>1937.6923076923078</v>
      </c>
      <c r="F9" s="30">
        <v>6050</v>
      </c>
      <c r="G9" s="30">
        <v>473</v>
      </c>
      <c r="H9" s="30">
        <v>61</v>
      </c>
      <c r="I9" s="30">
        <v>5516</v>
      </c>
    </row>
    <row r="10" spans="1:20" ht="19" x14ac:dyDescent="0.25">
      <c r="A10" s="29">
        <v>9</v>
      </c>
      <c r="B10" s="29" t="s">
        <v>74</v>
      </c>
      <c r="C10" s="30">
        <v>26</v>
      </c>
      <c r="D10" s="31">
        <v>2370</v>
      </c>
      <c r="E10" s="30">
        <v>2290</v>
      </c>
      <c r="F10" s="30">
        <v>7150</v>
      </c>
      <c r="G10" s="30">
        <v>559</v>
      </c>
      <c r="H10" s="30">
        <v>72</v>
      </c>
      <c r="I10" s="30">
        <v>6519</v>
      </c>
    </row>
    <row r="11" spans="1:20" ht="19" x14ac:dyDescent="0.25">
      <c r="A11" s="29">
        <v>10</v>
      </c>
      <c r="B11" s="29" t="s">
        <v>75</v>
      </c>
      <c r="C11" s="30">
        <v>26</v>
      </c>
      <c r="D11" s="31">
        <v>2370</v>
      </c>
      <c r="E11" s="30">
        <v>2290</v>
      </c>
      <c r="F11" s="30">
        <v>7150</v>
      </c>
      <c r="G11" s="30">
        <v>559</v>
      </c>
      <c r="H11" s="30">
        <v>72</v>
      </c>
      <c r="I11" s="30">
        <v>6519</v>
      </c>
    </row>
    <row r="12" spans="1:20" ht="19" x14ac:dyDescent="0.25">
      <c r="A12" s="29">
        <v>11</v>
      </c>
      <c r="B12" s="29" t="s">
        <v>76</v>
      </c>
      <c r="C12" s="30">
        <v>26</v>
      </c>
      <c r="D12" s="31">
        <v>2370</v>
      </c>
      <c r="E12" s="30">
        <v>2290</v>
      </c>
      <c r="F12" s="30">
        <v>7150</v>
      </c>
      <c r="G12" s="30">
        <v>559</v>
      </c>
      <c r="H12" s="30">
        <v>72</v>
      </c>
      <c r="I12" s="30">
        <v>6519</v>
      </c>
    </row>
    <row r="13" spans="1:20" ht="19" x14ac:dyDescent="0.25">
      <c r="A13" s="29">
        <v>12</v>
      </c>
      <c r="B13" s="29" t="s">
        <v>77</v>
      </c>
      <c r="C13" s="30">
        <v>24</v>
      </c>
      <c r="D13" s="31">
        <v>2104.6153846153848</v>
      </c>
      <c r="E13" s="30">
        <v>2040</v>
      </c>
      <c r="F13" s="30">
        <v>6360</v>
      </c>
      <c r="G13" s="30">
        <v>497</v>
      </c>
      <c r="H13" s="30">
        <v>64</v>
      </c>
      <c r="I13" s="30">
        <v>5799</v>
      </c>
    </row>
    <row r="14" spans="1:20" ht="19" x14ac:dyDescent="0.25">
      <c r="A14" s="29">
        <v>13</v>
      </c>
      <c r="B14" s="29" t="s">
        <v>78</v>
      </c>
      <c r="C14" s="30">
        <v>26</v>
      </c>
      <c r="D14" s="31">
        <v>2370</v>
      </c>
      <c r="E14" s="30">
        <v>2290</v>
      </c>
      <c r="F14" s="30">
        <v>7150</v>
      </c>
      <c r="G14" s="30">
        <v>559</v>
      </c>
      <c r="H14" s="30">
        <v>72</v>
      </c>
      <c r="I14" s="30">
        <v>6519</v>
      </c>
    </row>
    <row r="15" spans="1:20" ht="19" x14ac:dyDescent="0.25">
      <c r="A15" s="29">
        <v>14</v>
      </c>
      <c r="B15" s="29" t="s">
        <v>79</v>
      </c>
      <c r="C15" s="30">
        <v>25</v>
      </c>
      <c r="D15" s="31">
        <v>2278.8461538461538</v>
      </c>
      <c r="E15" s="30">
        <v>2201.9230769230771</v>
      </c>
      <c r="F15" s="30">
        <v>6875</v>
      </c>
      <c r="G15" s="30">
        <v>538</v>
      </c>
      <c r="H15" s="30">
        <v>69</v>
      </c>
      <c r="I15" s="30">
        <v>6268</v>
      </c>
    </row>
    <row r="16" spans="1:20" ht="19" x14ac:dyDescent="0.25">
      <c r="A16" s="29">
        <v>15</v>
      </c>
      <c r="B16" s="29" t="s">
        <v>80</v>
      </c>
      <c r="C16" s="30">
        <v>17</v>
      </c>
      <c r="D16" s="31">
        <v>1549.6153846153848</v>
      </c>
      <c r="E16" s="30">
        <v>1497.3076923076924</v>
      </c>
      <c r="F16" s="30">
        <v>4675</v>
      </c>
      <c r="G16" s="30">
        <v>366</v>
      </c>
      <c r="H16" s="30">
        <v>47</v>
      </c>
      <c r="I16" s="30">
        <v>4262</v>
      </c>
    </row>
    <row r="17" spans="1:9" ht="19" x14ac:dyDescent="0.25">
      <c r="A17" s="29">
        <v>16</v>
      </c>
      <c r="B17" s="29" t="s">
        <v>81</v>
      </c>
      <c r="C17" s="30">
        <v>17</v>
      </c>
      <c r="D17" s="31">
        <v>1549.6153846153848</v>
      </c>
      <c r="E17" s="30">
        <v>1497.3076923076924</v>
      </c>
      <c r="F17" s="30">
        <v>4675</v>
      </c>
      <c r="G17" s="30">
        <v>366</v>
      </c>
      <c r="H17" s="30">
        <v>47</v>
      </c>
      <c r="I17" s="30">
        <v>4262</v>
      </c>
    </row>
    <row r="18" spans="1:9" ht="19" x14ac:dyDescent="0.25">
      <c r="A18" s="29">
        <v>17</v>
      </c>
      <c r="B18" s="29" t="s">
        <v>82</v>
      </c>
      <c r="C18" s="30">
        <v>3</v>
      </c>
      <c r="D18" s="31">
        <v>263.07692307692309</v>
      </c>
      <c r="E18" s="30">
        <v>255</v>
      </c>
      <c r="F18" s="30">
        <v>795</v>
      </c>
      <c r="G18" s="30">
        <v>62</v>
      </c>
      <c r="H18" s="30">
        <v>8</v>
      </c>
      <c r="I18" s="30">
        <v>725</v>
      </c>
    </row>
    <row r="19" spans="1:9" ht="19" x14ac:dyDescent="0.25">
      <c r="A19" s="29">
        <v>18</v>
      </c>
      <c r="B19" s="29" t="s">
        <v>83</v>
      </c>
      <c r="C19" s="30">
        <v>19</v>
      </c>
      <c r="D19" s="31">
        <v>1731.9230769230771</v>
      </c>
      <c r="E19" s="30">
        <v>1673.4615384615386</v>
      </c>
      <c r="F19" s="30">
        <v>5225</v>
      </c>
      <c r="G19" s="30">
        <v>409</v>
      </c>
      <c r="H19" s="30">
        <v>52</v>
      </c>
      <c r="I19" s="30">
        <v>4764</v>
      </c>
    </row>
    <row r="20" spans="1:9" ht="19" x14ac:dyDescent="0.25">
      <c r="A20" s="29">
        <v>19</v>
      </c>
      <c r="B20" s="29" t="s">
        <v>84</v>
      </c>
      <c r="C20" s="30">
        <v>26</v>
      </c>
      <c r="D20" s="31">
        <v>2370</v>
      </c>
      <c r="E20" s="30">
        <v>2290</v>
      </c>
      <c r="F20" s="30">
        <v>7150</v>
      </c>
      <c r="G20" s="30">
        <v>559</v>
      </c>
      <c r="H20" s="30">
        <v>72</v>
      </c>
      <c r="I20" s="30">
        <v>6519</v>
      </c>
    </row>
    <row r="21" spans="1:9" ht="19" x14ac:dyDescent="0.25">
      <c r="A21" s="29">
        <v>20</v>
      </c>
      <c r="B21" s="29" t="s">
        <v>85</v>
      </c>
      <c r="C21" s="30">
        <v>5</v>
      </c>
      <c r="D21" s="31">
        <v>455.76923076923083</v>
      </c>
      <c r="E21" s="30">
        <v>440.38461538461542</v>
      </c>
      <c r="F21" s="30">
        <v>1375</v>
      </c>
      <c r="G21" s="30">
        <v>108</v>
      </c>
      <c r="H21" s="30">
        <v>14</v>
      </c>
      <c r="I21" s="30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0412-ADC9-534C-A539-89568FC54854}">
  <dimension ref="A1:N20"/>
  <sheetViews>
    <sheetView workbookViewId="0">
      <selection activeCell="F19" sqref="F19"/>
    </sheetView>
  </sheetViews>
  <sheetFormatPr baseColWidth="10" defaultRowHeight="20" customHeight="1" x14ac:dyDescent="0.2"/>
  <cols>
    <col min="2" max="6" width="20.83203125" customWidth="1"/>
    <col min="9" max="9" width="13.6640625" bestFit="1" customWidth="1"/>
    <col min="10" max="10" width="20.5" style="3" customWidth="1"/>
  </cols>
  <sheetData>
    <row r="1" spans="1:10" ht="20" customHeight="1" x14ac:dyDescent="0.25">
      <c r="A1" s="32" t="s">
        <v>0</v>
      </c>
      <c r="B1" s="32" t="s">
        <v>87</v>
      </c>
      <c r="C1" s="33" t="s">
        <v>88</v>
      </c>
      <c r="D1" s="32" t="s">
        <v>89</v>
      </c>
      <c r="E1" s="32" t="s">
        <v>90</v>
      </c>
      <c r="F1" s="32" t="s">
        <v>91</v>
      </c>
      <c r="I1" s="32" t="s">
        <v>87</v>
      </c>
      <c r="J1" s="34">
        <v>5600001</v>
      </c>
    </row>
    <row r="2" spans="1:10" ht="20" customHeight="1" x14ac:dyDescent="0.25">
      <c r="A2" s="6">
        <v>1</v>
      </c>
      <c r="B2" s="34">
        <v>5600001</v>
      </c>
      <c r="C2" s="35">
        <v>5000</v>
      </c>
      <c r="D2" s="36" t="s">
        <v>92</v>
      </c>
      <c r="E2" s="36" t="s">
        <v>93</v>
      </c>
      <c r="F2" s="36" t="s">
        <v>94</v>
      </c>
      <c r="I2" s="33" t="s">
        <v>88</v>
      </c>
      <c r="J2" s="3">
        <f>VLOOKUP(J1,B:F,2,0)</f>
        <v>5000</v>
      </c>
    </row>
    <row r="3" spans="1:10" ht="20" customHeight="1" x14ac:dyDescent="0.25">
      <c r="A3" s="6">
        <v>2</v>
      </c>
      <c r="B3" s="34">
        <v>5600002</v>
      </c>
      <c r="C3" s="35">
        <v>14571</v>
      </c>
      <c r="D3" s="36" t="s">
        <v>95</v>
      </c>
      <c r="E3" s="36" t="s">
        <v>93</v>
      </c>
      <c r="F3" s="36" t="s">
        <v>96</v>
      </c>
      <c r="I3" s="32" t="s">
        <v>89</v>
      </c>
      <c r="J3" s="3" t="str">
        <f t="shared" ref="J3:J5" si="0">VLOOKUP($J$1,B:F,ROW(),0)</f>
        <v>IRA</v>
      </c>
    </row>
    <row r="4" spans="1:10" ht="20" customHeight="1" x14ac:dyDescent="0.25">
      <c r="A4" s="6">
        <v>3</v>
      </c>
      <c r="B4" s="34">
        <v>5600003</v>
      </c>
      <c r="C4" s="35">
        <v>500</v>
      </c>
      <c r="D4" s="36" t="s">
        <v>97</v>
      </c>
      <c r="E4" s="36" t="s">
        <v>93</v>
      </c>
      <c r="F4" s="36" t="s">
        <v>94</v>
      </c>
      <c r="I4" s="32" t="s">
        <v>90</v>
      </c>
      <c r="J4" s="3" t="str">
        <f t="shared" si="0"/>
        <v>Central</v>
      </c>
    </row>
    <row r="5" spans="1:10" ht="20" customHeight="1" x14ac:dyDescent="0.25">
      <c r="A5" s="6">
        <v>4</v>
      </c>
      <c r="B5" s="34">
        <v>5600004</v>
      </c>
      <c r="C5" s="35">
        <v>15000</v>
      </c>
      <c r="D5" s="36" t="s">
        <v>95</v>
      </c>
      <c r="E5" s="36" t="s">
        <v>93</v>
      </c>
      <c r="F5" s="36" t="s">
        <v>94</v>
      </c>
      <c r="I5" s="32" t="s">
        <v>91</v>
      </c>
      <c r="J5" s="3" t="str">
        <f t="shared" si="0"/>
        <v>Existing</v>
      </c>
    </row>
    <row r="6" spans="1:10" ht="20" customHeight="1" x14ac:dyDescent="0.25">
      <c r="A6" s="6">
        <v>5</v>
      </c>
      <c r="B6" s="34">
        <v>5600005</v>
      </c>
      <c r="C6" s="35">
        <v>4623</v>
      </c>
      <c r="D6" s="36" t="s">
        <v>98</v>
      </c>
      <c r="E6" s="36" t="s">
        <v>99</v>
      </c>
      <c r="F6" s="36" t="s">
        <v>94</v>
      </c>
    </row>
    <row r="7" spans="1:10" ht="20" customHeight="1" x14ac:dyDescent="0.25">
      <c r="A7" s="6">
        <v>6</v>
      </c>
      <c r="B7" s="34">
        <v>5600006</v>
      </c>
      <c r="C7" s="35">
        <v>8721</v>
      </c>
      <c r="D7" s="36" t="s">
        <v>98</v>
      </c>
      <c r="E7" s="36" t="s">
        <v>100</v>
      </c>
      <c r="F7" s="36" t="s">
        <v>96</v>
      </c>
    </row>
    <row r="8" spans="1:10" ht="20" customHeight="1" x14ac:dyDescent="0.25">
      <c r="A8" s="6">
        <v>7</v>
      </c>
      <c r="B8" s="34">
        <v>5600007</v>
      </c>
      <c r="C8" s="35">
        <v>15276</v>
      </c>
      <c r="D8" s="36" t="s">
        <v>98</v>
      </c>
      <c r="E8" s="36" t="s">
        <v>99</v>
      </c>
      <c r="F8" s="36" t="s">
        <v>94</v>
      </c>
    </row>
    <row r="9" spans="1:10" ht="20" customHeight="1" x14ac:dyDescent="0.25">
      <c r="A9" s="6">
        <v>8</v>
      </c>
      <c r="B9" s="34">
        <v>5600008</v>
      </c>
      <c r="C9" s="35">
        <v>5000</v>
      </c>
      <c r="D9" s="36" t="s">
        <v>98</v>
      </c>
      <c r="E9" s="36" t="s">
        <v>100</v>
      </c>
      <c r="F9" s="36" t="s">
        <v>94</v>
      </c>
      <c r="I9" s="32" t="s">
        <v>87</v>
      </c>
      <c r="J9" s="34">
        <v>5600002</v>
      </c>
    </row>
    <row r="10" spans="1:10" ht="20" customHeight="1" x14ac:dyDescent="0.25">
      <c r="A10" s="6">
        <v>9</v>
      </c>
      <c r="B10" s="34">
        <v>5600009</v>
      </c>
      <c r="C10" s="35">
        <v>15759</v>
      </c>
      <c r="D10" s="36" t="s">
        <v>95</v>
      </c>
      <c r="E10" s="36" t="s">
        <v>100</v>
      </c>
      <c r="F10" s="36" t="s">
        <v>94</v>
      </c>
      <c r="I10" s="33" t="s">
        <v>88</v>
      </c>
      <c r="J10" s="3">
        <f>VLOOKUP($J$9,B:F,ROW()-8,0)</f>
        <v>14571</v>
      </c>
    </row>
    <row r="11" spans="1:10" ht="20" customHeight="1" x14ac:dyDescent="0.25">
      <c r="A11" s="6">
        <v>10</v>
      </c>
      <c r="B11" s="34">
        <v>5600010</v>
      </c>
      <c r="C11" s="35">
        <v>12000</v>
      </c>
      <c r="D11" s="36" t="s">
        <v>95</v>
      </c>
      <c r="E11" s="36" t="s">
        <v>100</v>
      </c>
      <c r="F11" s="36" t="s">
        <v>94</v>
      </c>
      <c r="I11" s="32" t="s">
        <v>89</v>
      </c>
      <c r="J11" s="3" t="str">
        <f t="shared" ref="J11:J13" si="1">VLOOKUP($J$9,B:F,ROW()-8,0)</f>
        <v>CD</v>
      </c>
    </row>
    <row r="12" spans="1:10" ht="20" customHeight="1" x14ac:dyDescent="0.25">
      <c r="A12" s="6">
        <v>11</v>
      </c>
      <c r="B12" s="34">
        <v>5600011</v>
      </c>
      <c r="C12" s="35">
        <v>7177</v>
      </c>
      <c r="D12" s="36" t="s">
        <v>98</v>
      </c>
      <c r="E12" s="36" t="s">
        <v>99</v>
      </c>
      <c r="F12" s="36" t="s">
        <v>94</v>
      </c>
      <c r="I12" s="32" t="s">
        <v>90</v>
      </c>
      <c r="J12" s="3" t="str">
        <f t="shared" si="1"/>
        <v>Central</v>
      </c>
    </row>
    <row r="13" spans="1:10" ht="20" customHeight="1" x14ac:dyDescent="0.25">
      <c r="A13" s="6">
        <v>12</v>
      </c>
      <c r="B13" s="34">
        <v>5600012</v>
      </c>
      <c r="C13" s="35">
        <v>6837</v>
      </c>
      <c r="D13" s="36" t="s">
        <v>98</v>
      </c>
      <c r="E13" s="36" t="s">
        <v>100</v>
      </c>
      <c r="F13" s="36" t="s">
        <v>94</v>
      </c>
      <c r="I13" s="32" t="s">
        <v>91</v>
      </c>
      <c r="J13" s="3" t="str">
        <f t="shared" si="1"/>
        <v>New</v>
      </c>
    </row>
    <row r="14" spans="1:10" ht="20" customHeight="1" x14ac:dyDescent="0.25">
      <c r="A14" s="6">
        <v>13</v>
      </c>
      <c r="B14" s="34">
        <v>5600013</v>
      </c>
      <c r="C14" s="35">
        <v>3171</v>
      </c>
      <c r="D14" s="36" t="s">
        <v>97</v>
      </c>
      <c r="E14" s="36" t="s">
        <v>100</v>
      </c>
      <c r="F14" s="36" t="s">
        <v>94</v>
      </c>
    </row>
    <row r="15" spans="1:10" ht="20" customHeight="1" x14ac:dyDescent="0.25">
      <c r="A15" s="6">
        <v>14</v>
      </c>
      <c r="B15" s="34">
        <v>5600014</v>
      </c>
      <c r="C15" s="35">
        <v>50000</v>
      </c>
      <c r="D15" s="36" t="s">
        <v>98</v>
      </c>
      <c r="E15" s="36" t="s">
        <v>93</v>
      </c>
      <c r="F15" s="36" t="s">
        <v>94</v>
      </c>
    </row>
    <row r="16" spans="1:10" ht="20" customHeight="1" x14ac:dyDescent="0.25">
      <c r="A16" s="6">
        <v>15</v>
      </c>
      <c r="B16" s="34">
        <v>5600015</v>
      </c>
      <c r="C16" s="35">
        <v>4690</v>
      </c>
      <c r="D16" s="36" t="s">
        <v>97</v>
      </c>
      <c r="E16" s="36" t="s">
        <v>99</v>
      </c>
      <c r="F16" s="36" t="s">
        <v>96</v>
      </c>
    </row>
    <row r="17" spans="1:14" ht="20" customHeight="1" x14ac:dyDescent="0.25">
      <c r="A17" s="6">
        <v>16</v>
      </c>
      <c r="B17" s="34">
        <v>5600016</v>
      </c>
      <c r="C17" s="35">
        <v>12438</v>
      </c>
      <c r="D17" s="36" t="s">
        <v>97</v>
      </c>
      <c r="E17" s="36" t="s">
        <v>93</v>
      </c>
      <c r="F17" s="36" t="s">
        <v>94</v>
      </c>
    </row>
    <row r="18" spans="1:14" ht="20" customHeight="1" x14ac:dyDescent="0.25">
      <c r="A18" s="6">
        <v>17</v>
      </c>
      <c r="B18" s="34">
        <v>5600017</v>
      </c>
      <c r="C18" s="35">
        <v>5000</v>
      </c>
      <c r="D18" s="36" t="s">
        <v>97</v>
      </c>
      <c r="E18" s="36" t="s">
        <v>99</v>
      </c>
      <c r="F18" s="36" t="s">
        <v>94</v>
      </c>
    </row>
    <row r="20" spans="1:14" ht="20" customHeight="1" x14ac:dyDescent="0.2">
      <c r="K20" s="3"/>
      <c r="L20" s="3"/>
      <c r="M20" s="3"/>
      <c r="N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61A6-D07C-584C-A157-4D66B3B81570}">
  <dimension ref="A1:R9"/>
  <sheetViews>
    <sheetView workbookViewId="0">
      <selection activeCell="F9" sqref="F9"/>
    </sheetView>
  </sheetViews>
  <sheetFormatPr baseColWidth="10" defaultRowHeight="16" x14ac:dyDescent="0.2"/>
  <cols>
    <col min="1" max="1" width="13.6640625" bestFit="1" customWidth="1"/>
    <col min="2" max="3" width="10.5" bestFit="1" customWidth="1"/>
    <col min="4" max="4" width="11" bestFit="1" customWidth="1"/>
    <col min="5" max="5" width="13.6640625" bestFit="1" customWidth="1"/>
    <col min="6" max="7" width="11.33203125" bestFit="1" customWidth="1"/>
    <col min="8" max="8" width="15.5" bestFit="1" customWidth="1"/>
    <col min="9" max="9" width="12.1640625" bestFit="1" customWidth="1"/>
    <col min="10" max="11" width="11" bestFit="1" customWidth="1"/>
    <col min="12" max="12" width="15.5" bestFit="1" customWidth="1"/>
    <col min="13" max="14" width="11" bestFit="1" customWidth="1"/>
    <col min="15" max="15" width="10.5" bestFit="1" customWidth="1"/>
    <col min="16" max="16" width="15.5" bestFit="1" customWidth="1"/>
    <col min="17" max="17" width="11" bestFit="1" customWidth="1"/>
    <col min="18" max="18" width="15.5" bestFit="1" customWidth="1"/>
  </cols>
  <sheetData>
    <row r="1" spans="1:18" ht="49" customHeight="1" x14ac:dyDescent="0.25">
      <c r="A1" s="32" t="s">
        <v>87</v>
      </c>
      <c r="B1" s="34">
        <v>5600001</v>
      </c>
      <c r="C1" s="34">
        <v>5600002</v>
      </c>
      <c r="D1" s="34">
        <v>5600003</v>
      </c>
      <c r="E1" s="34">
        <v>5600004</v>
      </c>
      <c r="F1" s="34">
        <v>5600005</v>
      </c>
      <c r="G1" s="34">
        <v>5600006</v>
      </c>
      <c r="H1" s="34">
        <v>5600007</v>
      </c>
      <c r="I1" s="34">
        <v>5600008</v>
      </c>
      <c r="J1" s="34">
        <v>5600009</v>
      </c>
      <c r="K1" s="34">
        <v>5600010</v>
      </c>
      <c r="L1" s="34">
        <v>5600011</v>
      </c>
      <c r="M1" s="34">
        <v>5600012</v>
      </c>
      <c r="N1" s="34">
        <v>5600013</v>
      </c>
      <c r="O1" s="34">
        <v>5600014</v>
      </c>
      <c r="P1" s="34">
        <v>5600015</v>
      </c>
      <c r="Q1" s="34">
        <v>5600016</v>
      </c>
      <c r="R1" s="34">
        <v>5600017</v>
      </c>
    </row>
    <row r="2" spans="1:18" ht="49" customHeight="1" x14ac:dyDescent="0.25">
      <c r="A2" s="33" t="s">
        <v>88</v>
      </c>
      <c r="B2" s="35">
        <v>5000</v>
      </c>
      <c r="C2" s="35">
        <v>14571</v>
      </c>
      <c r="D2" s="35">
        <v>500</v>
      </c>
      <c r="E2" s="35">
        <v>15000</v>
      </c>
      <c r="F2" s="35">
        <v>4623</v>
      </c>
      <c r="G2" s="35">
        <v>8721</v>
      </c>
      <c r="H2" s="35">
        <v>15276</v>
      </c>
      <c r="I2" s="35">
        <v>5000</v>
      </c>
      <c r="J2" s="35">
        <v>15759</v>
      </c>
      <c r="K2" s="35">
        <v>12000</v>
      </c>
      <c r="L2" s="35">
        <v>7177</v>
      </c>
      <c r="M2" s="35">
        <v>6837</v>
      </c>
      <c r="N2" s="35">
        <v>3171</v>
      </c>
      <c r="O2" s="35">
        <v>50000</v>
      </c>
      <c r="P2" s="35">
        <v>4690</v>
      </c>
      <c r="Q2" s="35">
        <v>12438</v>
      </c>
      <c r="R2" s="35">
        <v>5000</v>
      </c>
    </row>
    <row r="3" spans="1:18" ht="49" customHeight="1" x14ac:dyDescent="0.25">
      <c r="A3" s="32" t="s">
        <v>89</v>
      </c>
      <c r="B3" s="36" t="s">
        <v>92</v>
      </c>
      <c r="C3" s="36" t="s">
        <v>95</v>
      </c>
      <c r="D3" s="36" t="s">
        <v>97</v>
      </c>
      <c r="E3" s="36" t="s">
        <v>95</v>
      </c>
      <c r="F3" s="36" t="s">
        <v>98</v>
      </c>
      <c r="G3" s="36" t="s">
        <v>98</v>
      </c>
      <c r="H3" s="36" t="s">
        <v>98</v>
      </c>
      <c r="I3" s="36" t="s">
        <v>98</v>
      </c>
      <c r="J3" s="36" t="s">
        <v>95</v>
      </c>
      <c r="K3" s="36" t="s">
        <v>95</v>
      </c>
      <c r="L3" s="36" t="s">
        <v>98</v>
      </c>
      <c r="M3" s="36" t="s">
        <v>98</v>
      </c>
      <c r="N3" s="36" t="s">
        <v>97</v>
      </c>
      <c r="O3" s="36" t="s">
        <v>98</v>
      </c>
      <c r="P3" s="36" t="s">
        <v>97</v>
      </c>
      <c r="Q3" s="36" t="s">
        <v>97</v>
      </c>
      <c r="R3" s="36" t="s">
        <v>97</v>
      </c>
    </row>
    <row r="4" spans="1:18" ht="49" customHeight="1" x14ac:dyDescent="0.25">
      <c r="A4" s="32" t="s">
        <v>90</v>
      </c>
      <c r="B4" s="36" t="s">
        <v>93</v>
      </c>
      <c r="C4" s="36" t="s">
        <v>93</v>
      </c>
      <c r="D4" s="36" t="s">
        <v>93</v>
      </c>
      <c r="E4" s="36" t="s">
        <v>93</v>
      </c>
      <c r="F4" s="36" t="s">
        <v>99</v>
      </c>
      <c r="G4" s="36" t="s">
        <v>100</v>
      </c>
      <c r="H4" s="36" t="s">
        <v>99</v>
      </c>
      <c r="I4" s="36" t="s">
        <v>100</v>
      </c>
      <c r="J4" s="36" t="s">
        <v>100</v>
      </c>
      <c r="K4" s="36" t="s">
        <v>100</v>
      </c>
      <c r="L4" s="36" t="s">
        <v>99</v>
      </c>
      <c r="M4" s="36" t="s">
        <v>100</v>
      </c>
      <c r="N4" s="36" t="s">
        <v>100</v>
      </c>
      <c r="O4" s="36" t="s">
        <v>93</v>
      </c>
      <c r="P4" s="36" t="s">
        <v>99</v>
      </c>
      <c r="Q4" s="36" t="s">
        <v>93</v>
      </c>
      <c r="R4" s="36" t="s">
        <v>99</v>
      </c>
    </row>
    <row r="5" spans="1:18" ht="49" customHeight="1" x14ac:dyDescent="0.25">
      <c r="A5" s="32" t="s">
        <v>91</v>
      </c>
      <c r="B5" s="36" t="s">
        <v>94</v>
      </c>
      <c r="C5" s="36" t="s">
        <v>96</v>
      </c>
      <c r="D5" s="36" t="s">
        <v>94</v>
      </c>
      <c r="E5" s="36" t="s">
        <v>94</v>
      </c>
      <c r="F5" s="36" t="s">
        <v>94</v>
      </c>
      <c r="G5" s="36" t="s">
        <v>96</v>
      </c>
      <c r="H5" s="36" t="s">
        <v>94</v>
      </c>
      <c r="I5" s="36" t="s">
        <v>94</v>
      </c>
      <c r="J5" s="36" t="s">
        <v>94</v>
      </c>
      <c r="K5" s="36" t="s">
        <v>94</v>
      </c>
      <c r="L5" s="36" t="s">
        <v>94</v>
      </c>
      <c r="M5" s="36" t="s">
        <v>94</v>
      </c>
      <c r="N5" s="36" t="s">
        <v>94</v>
      </c>
      <c r="O5" s="36" t="s">
        <v>94</v>
      </c>
      <c r="P5" s="36" t="s">
        <v>96</v>
      </c>
      <c r="Q5" s="36" t="s">
        <v>94</v>
      </c>
      <c r="R5" s="36" t="s">
        <v>94</v>
      </c>
    </row>
    <row r="8" spans="1:18" ht="20" x14ac:dyDescent="0.2">
      <c r="E8" s="32" t="s">
        <v>87</v>
      </c>
      <c r="F8" s="33" t="s">
        <v>88</v>
      </c>
      <c r="G8" s="32" t="s">
        <v>89</v>
      </c>
      <c r="H8" s="32" t="s">
        <v>90</v>
      </c>
      <c r="I8" s="32" t="s">
        <v>91</v>
      </c>
    </row>
    <row r="9" spans="1:18" ht="21" x14ac:dyDescent="0.25">
      <c r="E9" s="34">
        <v>5600007</v>
      </c>
      <c r="F9">
        <f>HLOOKUP($E$9,1:5,COLUMN()-4,0)</f>
        <v>15276</v>
      </c>
      <c r="G9" t="str">
        <f t="shared" ref="G9:I9" si="0">HLOOKUP($E$9,1:5,COLUMN()-4,0)</f>
        <v>Savings</v>
      </c>
      <c r="H9" t="str">
        <f t="shared" si="0"/>
        <v>North County</v>
      </c>
      <c r="I9" t="str">
        <f t="shared" si="0"/>
        <v>Existing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8907-B4BC-3340-AB81-69EE07F1C85C}">
  <dimension ref="A1:G16"/>
  <sheetViews>
    <sheetView workbookViewId="0">
      <selection activeCell="F11" sqref="F11"/>
    </sheetView>
  </sheetViews>
  <sheetFormatPr baseColWidth="10" defaultRowHeight="16" x14ac:dyDescent="0.2"/>
  <cols>
    <col min="1" max="1" width="24.1640625" bestFit="1" customWidth="1"/>
    <col min="2" max="2" width="28.6640625" bestFit="1" customWidth="1"/>
    <col min="3" max="3" width="17.33203125" bestFit="1" customWidth="1"/>
    <col min="5" max="5" width="12" bestFit="1" customWidth="1"/>
    <col min="6" max="6" width="28.6640625" bestFit="1" customWidth="1"/>
  </cols>
  <sheetData>
    <row r="1" spans="1:7" ht="26" x14ac:dyDescent="0.3">
      <c r="A1" s="37" t="s">
        <v>101</v>
      </c>
      <c r="B1" s="37" t="s">
        <v>102</v>
      </c>
      <c r="C1" s="38" t="s">
        <v>103</v>
      </c>
      <c r="F1" s="39" t="s">
        <v>105</v>
      </c>
      <c r="G1">
        <f>SUMIF($B$2:$B$13,F1,$C$2:$C$13)</f>
        <v>104000</v>
      </c>
    </row>
    <row r="2" spans="1:7" ht="26" x14ac:dyDescent="0.3">
      <c r="A2" s="39" t="s">
        <v>104</v>
      </c>
      <c r="B2" s="39" t="s">
        <v>105</v>
      </c>
      <c r="C2" s="40">
        <v>15000</v>
      </c>
      <c r="F2" s="39" t="s">
        <v>107</v>
      </c>
      <c r="G2">
        <f t="shared" ref="G2:G3" si="0">SUMIF($B$2:$B$13,F2,$C$2:$C$13)</f>
        <v>102000</v>
      </c>
    </row>
    <row r="3" spans="1:7" ht="26" x14ac:dyDescent="0.3">
      <c r="A3" s="39" t="s">
        <v>106</v>
      </c>
      <c r="B3" s="39" t="s">
        <v>107</v>
      </c>
      <c r="C3" s="40">
        <v>15000</v>
      </c>
      <c r="F3" s="39" t="s">
        <v>109</v>
      </c>
      <c r="G3">
        <f t="shared" si="0"/>
        <v>49000</v>
      </c>
    </row>
    <row r="4" spans="1:7" ht="26" x14ac:dyDescent="0.3">
      <c r="A4" s="39" t="s">
        <v>108</v>
      </c>
      <c r="B4" s="39" t="s">
        <v>109</v>
      </c>
      <c r="C4" s="40">
        <v>12000</v>
      </c>
    </row>
    <row r="5" spans="1:7" ht="26" x14ac:dyDescent="0.3">
      <c r="A5" s="39" t="s">
        <v>110</v>
      </c>
      <c r="B5" s="39" t="s">
        <v>105</v>
      </c>
      <c r="C5" s="40">
        <v>12000</v>
      </c>
    </row>
    <row r="6" spans="1:7" ht="26" x14ac:dyDescent="0.3">
      <c r="A6" s="39" t="s">
        <v>111</v>
      </c>
      <c r="B6" s="39" t="s">
        <v>105</v>
      </c>
      <c r="C6" s="40">
        <v>15000</v>
      </c>
    </row>
    <row r="7" spans="1:7" ht="26" x14ac:dyDescent="0.3">
      <c r="A7" s="39" t="s">
        <v>112</v>
      </c>
      <c r="B7" s="39" t="s">
        <v>107</v>
      </c>
      <c r="C7" s="40">
        <v>12000</v>
      </c>
    </row>
    <row r="8" spans="1:7" ht="26" x14ac:dyDescent="0.3">
      <c r="A8" s="39" t="s">
        <v>113</v>
      </c>
      <c r="B8" s="39" t="s">
        <v>109</v>
      </c>
      <c r="C8" s="40">
        <v>12000</v>
      </c>
    </row>
    <row r="9" spans="1:7" ht="26" x14ac:dyDescent="0.3">
      <c r="A9" s="39" t="s">
        <v>114</v>
      </c>
      <c r="B9" s="39" t="s">
        <v>105</v>
      </c>
      <c r="C9" s="40">
        <v>15000</v>
      </c>
    </row>
    <row r="10" spans="1:7" ht="26" x14ac:dyDescent="0.3">
      <c r="A10" s="39" t="s">
        <v>115</v>
      </c>
      <c r="B10" s="39" t="s">
        <v>105</v>
      </c>
      <c r="C10" s="40">
        <v>12000</v>
      </c>
    </row>
    <row r="11" spans="1:7" ht="26" x14ac:dyDescent="0.3">
      <c r="A11" s="39" t="s">
        <v>116</v>
      </c>
      <c r="B11" s="39" t="s">
        <v>107</v>
      </c>
      <c r="C11" s="40">
        <v>75000</v>
      </c>
      <c r="F11" s="87"/>
    </row>
    <row r="12" spans="1:7" ht="26" x14ac:dyDescent="0.3">
      <c r="A12" s="39" t="s">
        <v>117</v>
      </c>
      <c r="B12" s="39" t="s">
        <v>109</v>
      </c>
      <c r="C12" s="41">
        <v>25000</v>
      </c>
    </row>
    <row r="13" spans="1:7" ht="26" x14ac:dyDescent="0.3">
      <c r="A13" s="39" t="s">
        <v>118</v>
      </c>
      <c r="B13" s="39" t="s">
        <v>105</v>
      </c>
      <c r="C13" s="41">
        <v>35000</v>
      </c>
    </row>
    <row r="16" spans="1:7" x14ac:dyDescent="0.2">
      <c r="E16" s="8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E0C0-E932-B94B-A42C-9E8E0EAF541B}">
  <dimension ref="A1:J13"/>
  <sheetViews>
    <sheetView tabSelected="1" workbookViewId="0">
      <selection activeCell="H10" sqref="H10"/>
    </sheetView>
  </sheetViews>
  <sheetFormatPr baseColWidth="10" defaultRowHeight="16" x14ac:dyDescent="0.2"/>
  <cols>
    <col min="1" max="1" width="14.1640625" bestFit="1" customWidth="1"/>
    <col min="2" max="2" width="24" bestFit="1" customWidth="1"/>
    <col min="3" max="3" width="19" bestFit="1" customWidth="1"/>
    <col min="4" max="4" width="12.83203125" bestFit="1" customWidth="1"/>
    <col min="8" max="8" width="16.33203125" bestFit="1" customWidth="1"/>
    <col min="9" max="9" width="9" bestFit="1" customWidth="1"/>
    <col min="10" max="10" width="10" bestFit="1" customWidth="1"/>
  </cols>
  <sheetData>
    <row r="1" spans="1:10" ht="26" x14ac:dyDescent="0.3">
      <c r="A1" s="42" t="s">
        <v>119</v>
      </c>
      <c r="B1" s="42" t="s">
        <v>120</v>
      </c>
      <c r="C1" s="42" t="s">
        <v>121</v>
      </c>
      <c r="D1" s="42" t="s">
        <v>88</v>
      </c>
      <c r="H1" s="42" t="s">
        <v>127</v>
      </c>
      <c r="I1" s="42" t="s">
        <v>123</v>
      </c>
      <c r="J1" s="42" t="s">
        <v>125</v>
      </c>
    </row>
    <row r="2" spans="1:10" ht="26" x14ac:dyDescent="0.3">
      <c r="A2" s="43">
        <v>43739</v>
      </c>
      <c r="B2" s="44" t="s">
        <v>122</v>
      </c>
      <c r="C2" s="44" t="s">
        <v>123</v>
      </c>
      <c r="D2" s="44">
        <v>15000</v>
      </c>
      <c r="H2" s="44" t="s">
        <v>122</v>
      </c>
      <c r="I2" s="6">
        <f>SUMIFS($D$2:$D$13,$B$2:$B$13,H2,$C$2:$C$13,$I$1)</f>
        <v>19500</v>
      </c>
      <c r="J2" s="6">
        <f>SUMIFS($D$2:$D$13,$B$2:$B$13,H2,$C$2:$C$13,$J$1)</f>
        <v>5150</v>
      </c>
    </row>
    <row r="3" spans="1:10" ht="26" x14ac:dyDescent="0.3">
      <c r="A3" s="43">
        <v>43740</v>
      </c>
      <c r="B3" s="44" t="s">
        <v>124</v>
      </c>
      <c r="C3" s="44" t="s">
        <v>125</v>
      </c>
      <c r="D3" s="44">
        <v>10000</v>
      </c>
      <c r="H3" s="44" t="s">
        <v>124</v>
      </c>
      <c r="I3" s="6">
        <f t="shared" ref="I3:I4" si="0">SUMIFS($D$2:$D$13,$B$2:$B$13,H3,$C$2:$C$13,$I$1)</f>
        <v>6500</v>
      </c>
      <c r="J3" s="6">
        <f t="shared" ref="J3:J4" si="1">SUMIFS($D$2:$D$13,$B$2:$B$13,H3,$C$2:$C$13,$J$1)</f>
        <v>15100</v>
      </c>
    </row>
    <row r="4" spans="1:10" ht="26" x14ac:dyDescent="0.3">
      <c r="A4" s="43">
        <v>43741</v>
      </c>
      <c r="B4" s="44" t="s">
        <v>122</v>
      </c>
      <c r="C4" s="44" t="s">
        <v>123</v>
      </c>
      <c r="D4" s="44">
        <v>4500</v>
      </c>
      <c r="H4" s="44" t="s">
        <v>126</v>
      </c>
      <c r="I4" s="6">
        <f t="shared" si="0"/>
        <v>11510</v>
      </c>
      <c r="J4" s="6">
        <f t="shared" si="1"/>
        <v>0</v>
      </c>
    </row>
    <row r="5" spans="1:10" ht="26" x14ac:dyDescent="0.3">
      <c r="A5" s="43">
        <v>43742</v>
      </c>
      <c r="B5" s="44" t="s">
        <v>124</v>
      </c>
      <c r="C5" s="44" t="s">
        <v>123</v>
      </c>
      <c r="D5" s="44">
        <v>6500</v>
      </c>
    </row>
    <row r="6" spans="1:10" ht="26" x14ac:dyDescent="0.3">
      <c r="A6" s="43">
        <v>43743</v>
      </c>
      <c r="B6" s="44" t="s">
        <v>122</v>
      </c>
      <c r="C6" s="44" t="s">
        <v>125</v>
      </c>
      <c r="D6" s="44">
        <v>4500</v>
      </c>
    </row>
    <row r="7" spans="1:10" ht="26" x14ac:dyDescent="0.3">
      <c r="A7" s="43">
        <v>43744</v>
      </c>
      <c r="B7" s="44" t="s">
        <v>126</v>
      </c>
      <c r="C7" s="44" t="s">
        <v>123</v>
      </c>
      <c r="D7" s="44">
        <v>6000</v>
      </c>
    </row>
    <row r="8" spans="1:10" ht="26" x14ac:dyDescent="0.3">
      <c r="A8" s="43">
        <v>43745</v>
      </c>
      <c r="B8" s="44" t="s">
        <v>124</v>
      </c>
      <c r="C8" s="44" t="s">
        <v>125</v>
      </c>
      <c r="D8" s="44">
        <v>4500</v>
      </c>
    </row>
    <row r="9" spans="1:10" ht="26" x14ac:dyDescent="0.3">
      <c r="A9" s="43">
        <v>43746</v>
      </c>
      <c r="B9" s="44" t="s">
        <v>124</v>
      </c>
      <c r="C9" s="44" t="s">
        <v>125</v>
      </c>
      <c r="D9" s="44">
        <v>600</v>
      </c>
    </row>
    <row r="10" spans="1:10" ht="26" x14ac:dyDescent="0.3">
      <c r="A10" s="43">
        <v>43747</v>
      </c>
      <c r="B10" s="44" t="s">
        <v>126</v>
      </c>
      <c r="C10" s="44" t="s">
        <v>123</v>
      </c>
      <c r="D10" s="44">
        <v>1500</v>
      </c>
    </row>
    <row r="11" spans="1:10" ht="26" x14ac:dyDescent="0.3">
      <c r="A11" s="43">
        <v>43748</v>
      </c>
      <c r="B11" s="44" t="s">
        <v>126</v>
      </c>
      <c r="C11" s="44" t="s">
        <v>123</v>
      </c>
      <c r="D11" s="44">
        <v>1450</v>
      </c>
    </row>
    <row r="12" spans="1:10" ht="26" x14ac:dyDescent="0.3">
      <c r="A12" s="43">
        <v>43749</v>
      </c>
      <c r="B12" s="44" t="s">
        <v>122</v>
      </c>
      <c r="C12" s="44" t="s">
        <v>125</v>
      </c>
      <c r="D12" s="44">
        <v>650</v>
      </c>
    </row>
    <row r="13" spans="1:10" ht="26" x14ac:dyDescent="0.3">
      <c r="A13" s="43">
        <v>43750</v>
      </c>
      <c r="B13" s="44" t="s">
        <v>126</v>
      </c>
      <c r="C13" s="44" t="s">
        <v>123</v>
      </c>
      <c r="D13" s="44">
        <v>2560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AFF5-131D-DE45-A9A6-7960E5F540AD}">
  <dimension ref="A1:J13"/>
  <sheetViews>
    <sheetView workbookViewId="0">
      <selection activeCell="G12" sqref="G12"/>
    </sheetView>
  </sheetViews>
  <sheetFormatPr baseColWidth="10" defaultRowHeight="16" x14ac:dyDescent="0.2"/>
  <cols>
    <col min="1" max="1" width="14.1640625" bestFit="1" customWidth="1"/>
    <col min="2" max="2" width="24" bestFit="1" customWidth="1"/>
    <col min="3" max="3" width="19" bestFit="1" customWidth="1"/>
    <col min="4" max="4" width="12.83203125" bestFit="1" customWidth="1"/>
    <col min="8" max="8" width="16.33203125" bestFit="1" customWidth="1"/>
    <col min="9" max="9" width="9" bestFit="1" customWidth="1"/>
    <col min="10" max="10" width="10" bestFit="1" customWidth="1"/>
  </cols>
  <sheetData>
    <row r="1" spans="1:10" ht="26" x14ac:dyDescent="0.3">
      <c r="A1" s="42" t="s">
        <v>119</v>
      </c>
      <c r="B1" s="42" t="s">
        <v>120</v>
      </c>
      <c r="C1" s="42" t="s">
        <v>121</v>
      </c>
      <c r="D1" s="42" t="s">
        <v>88</v>
      </c>
      <c r="H1" s="42" t="s">
        <v>128</v>
      </c>
      <c r="I1" s="72" t="s">
        <v>127</v>
      </c>
      <c r="J1" s="73"/>
    </row>
    <row r="2" spans="1:10" ht="26" x14ac:dyDescent="0.3">
      <c r="A2" s="43">
        <v>43739</v>
      </c>
      <c r="B2" s="44" t="s">
        <v>122</v>
      </c>
      <c r="C2" s="44" t="s">
        <v>123</v>
      </c>
      <c r="D2" s="44">
        <v>5000</v>
      </c>
      <c r="H2" s="44" t="s">
        <v>122</v>
      </c>
      <c r="I2" s="6">
        <f>COUNTIF($B$2:$B$13,H2)</f>
        <v>4</v>
      </c>
    </row>
    <row r="3" spans="1:10" ht="26" x14ac:dyDescent="0.3">
      <c r="A3" s="43">
        <v>43740</v>
      </c>
      <c r="B3" s="44" t="s">
        <v>124</v>
      </c>
      <c r="C3" s="44" t="s">
        <v>125</v>
      </c>
      <c r="D3" s="44">
        <v>6000</v>
      </c>
      <c r="H3" s="44" t="s">
        <v>124</v>
      </c>
      <c r="I3" s="6">
        <f t="shared" ref="I3:I4" si="0">COUNTIF($B$2:$B$13,H3)</f>
        <v>4</v>
      </c>
    </row>
    <row r="4" spans="1:10" ht="26" x14ac:dyDescent="0.3">
      <c r="A4" s="43">
        <v>43741</v>
      </c>
      <c r="B4" s="44" t="s">
        <v>122</v>
      </c>
      <c r="C4" s="44" t="s">
        <v>123</v>
      </c>
      <c r="D4" s="44">
        <v>4500</v>
      </c>
      <c r="H4" s="44" t="s">
        <v>126</v>
      </c>
      <c r="I4" s="6">
        <f t="shared" si="0"/>
        <v>4</v>
      </c>
    </row>
    <row r="5" spans="1:10" ht="26" x14ac:dyDescent="0.3">
      <c r="A5" s="43">
        <v>43742</v>
      </c>
      <c r="B5" s="44" t="s">
        <v>124</v>
      </c>
      <c r="C5" s="44" t="s">
        <v>123</v>
      </c>
      <c r="D5" s="44">
        <v>6500</v>
      </c>
    </row>
    <row r="6" spans="1:10" ht="26" x14ac:dyDescent="0.3">
      <c r="A6" s="43">
        <v>43743</v>
      </c>
      <c r="B6" s="44" t="s">
        <v>122</v>
      </c>
      <c r="C6" s="44" t="s">
        <v>125</v>
      </c>
      <c r="D6" s="44">
        <v>4500</v>
      </c>
    </row>
    <row r="7" spans="1:10" ht="26" x14ac:dyDescent="0.3">
      <c r="A7" s="43">
        <v>43744</v>
      </c>
      <c r="B7" s="44" t="s">
        <v>126</v>
      </c>
      <c r="C7" s="44" t="s">
        <v>123</v>
      </c>
      <c r="D7" s="44">
        <v>6000</v>
      </c>
    </row>
    <row r="8" spans="1:10" ht="26" x14ac:dyDescent="0.3">
      <c r="A8" s="43">
        <v>43745</v>
      </c>
      <c r="B8" s="44" t="s">
        <v>124</v>
      </c>
      <c r="C8" s="44" t="s">
        <v>125</v>
      </c>
      <c r="D8" s="44">
        <v>4500</v>
      </c>
    </row>
    <row r="9" spans="1:10" ht="26" x14ac:dyDescent="0.3">
      <c r="A9" s="43">
        <v>43746</v>
      </c>
      <c r="B9" s="44" t="s">
        <v>124</v>
      </c>
      <c r="C9" s="44" t="s">
        <v>125</v>
      </c>
      <c r="D9" s="44">
        <v>600</v>
      </c>
    </row>
    <row r="10" spans="1:10" ht="26" x14ac:dyDescent="0.3">
      <c r="A10" s="43">
        <v>43747</v>
      </c>
      <c r="B10" s="44" t="s">
        <v>126</v>
      </c>
      <c r="C10" s="44" t="s">
        <v>123</v>
      </c>
      <c r="D10" s="44">
        <v>1500</v>
      </c>
    </row>
    <row r="11" spans="1:10" ht="26" x14ac:dyDescent="0.3">
      <c r="A11" s="43">
        <v>43748</v>
      </c>
      <c r="B11" s="44" t="s">
        <v>126</v>
      </c>
      <c r="C11" s="44" t="s">
        <v>123</v>
      </c>
      <c r="D11" s="44">
        <v>1450</v>
      </c>
    </row>
    <row r="12" spans="1:10" ht="26" x14ac:dyDescent="0.3">
      <c r="A12" s="43">
        <v>43749</v>
      </c>
      <c r="B12" s="44" t="s">
        <v>122</v>
      </c>
      <c r="C12" s="44" t="s">
        <v>125</v>
      </c>
      <c r="D12" s="44">
        <v>650</v>
      </c>
    </row>
    <row r="13" spans="1:10" ht="26" x14ac:dyDescent="0.3">
      <c r="A13" s="43">
        <v>43750</v>
      </c>
      <c r="B13" s="44" t="s">
        <v>126</v>
      </c>
      <c r="C13" s="44" t="s">
        <v>123</v>
      </c>
      <c r="D13" s="44">
        <v>2560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1670-4956-3E41-A268-AC4E6B63994F}">
  <dimension ref="A1:I13"/>
  <sheetViews>
    <sheetView workbookViewId="0">
      <selection activeCell="B9" sqref="B9"/>
    </sheetView>
  </sheetViews>
  <sheetFormatPr baseColWidth="10" defaultRowHeight="16" x14ac:dyDescent="0.2"/>
  <cols>
    <col min="1" max="1" width="14.1640625" bestFit="1" customWidth="1"/>
    <col min="2" max="2" width="24" bestFit="1" customWidth="1"/>
    <col min="3" max="3" width="19" bestFit="1" customWidth="1"/>
    <col min="4" max="4" width="12.83203125" bestFit="1" customWidth="1"/>
    <col min="7" max="7" width="16.33203125" bestFit="1" customWidth="1"/>
    <col min="8" max="8" width="9" bestFit="1" customWidth="1"/>
    <col min="9" max="9" width="10" bestFit="1" customWidth="1"/>
  </cols>
  <sheetData>
    <row r="1" spans="1:9" ht="26" x14ac:dyDescent="0.3">
      <c r="A1" s="42" t="s">
        <v>119</v>
      </c>
      <c r="B1" s="42" t="s">
        <v>120</v>
      </c>
      <c r="C1" s="42" t="s">
        <v>121</v>
      </c>
      <c r="D1" s="42" t="s">
        <v>88</v>
      </c>
      <c r="G1" s="42" t="s">
        <v>127</v>
      </c>
      <c r="H1" s="42" t="s">
        <v>123</v>
      </c>
      <c r="I1" s="42" t="s">
        <v>125</v>
      </c>
    </row>
    <row r="2" spans="1:9" ht="26" x14ac:dyDescent="0.3">
      <c r="A2" s="43">
        <v>43739</v>
      </c>
      <c r="B2" s="44" t="s">
        <v>122</v>
      </c>
      <c r="C2" s="44" t="s">
        <v>123</v>
      </c>
      <c r="D2" s="44">
        <v>5000</v>
      </c>
      <c r="G2" s="44" t="s">
        <v>122</v>
      </c>
      <c r="H2" s="6">
        <f>COUNTIFS($B$2:$B$13,G2,$C$2:$C$13,$H$1)</f>
        <v>2</v>
      </c>
      <c r="I2" s="6">
        <f>COUNTIFS($B$2:$B$13,G2,$C$2:$C$13,$I$1)</f>
        <v>2</v>
      </c>
    </row>
    <row r="3" spans="1:9" ht="26" x14ac:dyDescent="0.3">
      <c r="A3" s="43">
        <v>43740</v>
      </c>
      <c r="B3" s="44" t="s">
        <v>124</v>
      </c>
      <c r="C3" s="44" t="s">
        <v>125</v>
      </c>
      <c r="D3" s="44">
        <v>6000</v>
      </c>
      <c r="G3" s="44" t="s">
        <v>124</v>
      </c>
      <c r="H3" s="6">
        <f t="shared" ref="H3:I3" si="0">COUNTIFS($B$2:$B$13,G3,$C$2:$C$13,$H$1)</f>
        <v>1</v>
      </c>
      <c r="I3" s="6">
        <f t="shared" ref="I3:I4" si="1">COUNTIFS($B$2:$B$13,G3,$C$2:$C$13,$I$1)</f>
        <v>3</v>
      </c>
    </row>
    <row r="4" spans="1:9" ht="26" x14ac:dyDescent="0.3">
      <c r="A4" s="43">
        <v>43741</v>
      </c>
      <c r="B4" s="44" t="s">
        <v>122</v>
      </c>
      <c r="C4" s="44" t="s">
        <v>123</v>
      </c>
      <c r="D4" s="44">
        <v>4500</v>
      </c>
      <c r="G4" s="44" t="s">
        <v>126</v>
      </c>
      <c r="H4" s="6">
        <f t="shared" ref="H4:I4" si="2">COUNTIFS($B$2:$B$13,G4,$C$2:$C$13,$H$1)</f>
        <v>4</v>
      </c>
      <c r="I4" s="6">
        <f t="shared" si="1"/>
        <v>0</v>
      </c>
    </row>
    <row r="5" spans="1:9" ht="26" x14ac:dyDescent="0.3">
      <c r="A5" s="43">
        <v>43742</v>
      </c>
      <c r="B5" s="44" t="s">
        <v>124</v>
      </c>
      <c r="C5" s="44" t="s">
        <v>123</v>
      </c>
      <c r="D5" s="44">
        <v>6500</v>
      </c>
    </row>
    <row r="6" spans="1:9" ht="26" x14ac:dyDescent="0.3">
      <c r="A6" s="43">
        <v>43743</v>
      </c>
      <c r="B6" s="44" t="s">
        <v>122</v>
      </c>
      <c r="C6" s="44" t="s">
        <v>125</v>
      </c>
      <c r="D6" s="44">
        <v>4500</v>
      </c>
    </row>
    <row r="7" spans="1:9" ht="26" x14ac:dyDescent="0.3">
      <c r="A7" s="43">
        <v>43744</v>
      </c>
      <c r="B7" s="44" t="s">
        <v>126</v>
      </c>
      <c r="C7" s="44" t="s">
        <v>123</v>
      </c>
      <c r="D7" s="44">
        <v>6000</v>
      </c>
    </row>
    <row r="8" spans="1:9" ht="26" x14ac:dyDescent="0.3">
      <c r="A8" s="43">
        <v>43745</v>
      </c>
      <c r="B8" s="44" t="s">
        <v>124</v>
      </c>
      <c r="C8" s="44" t="s">
        <v>125</v>
      </c>
      <c r="D8" s="44">
        <v>4500</v>
      </c>
    </row>
    <row r="9" spans="1:9" ht="26" x14ac:dyDescent="0.3">
      <c r="A9" s="43">
        <v>43746</v>
      </c>
      <c r="B9" s="44" t="s">
        <v>124</v>
      </c>
      <c r="C9" s="44" t="s">
        <v>125</v>
      </c>
      <c r="D9" s="44">
        <v>600</v>
      </c>
    </row>
    <row r="10" spans="1:9" ht="26" x14ac:dyDescent="0.3">
      <c r="A10" s="43">
        <v>43747</v>
      </c>
      <c r="B10" s="44" t="s">
        <v>126</v>
      </c>
      <c r="C10" s="44" t="s">
        <v>123</v>
      </c>
      <c r="D10" s="44">
        <v>1500</v>
      </c>
    </row>
    <row r="11" spans="1:9" ht="26" x14ac:dyDescent="0.3">
      <c r="A11" s="43">
        <v>43748</v>
      </c>
      <c r="B11" s="44" t="s">
        <v>126</v>
      </c>
      <c r="C11" s="44" t="s">
        <v>123</v>
      </c>
      <c r="D11" s="44">
        <v>1450</v>
      </c>
    </row>
    <row r="12" spans="1:9" ht="26" x14ac:dyDescent="0.3">
      <c r="A12" s="43">
        <v>43749</v>
      </c>
      <c r="B12" s="44" t="s">
        <v>122</v>
      </c>
      <c r="C12" s="44" t="s">
        <v>125</v>
      </c>
      <c r="D12" s="44">
        <v>650</v>
      </c>
    </row>
    <row r="13" spans="1:9" ht="26" x14ac:dyDescent="0.3">
      <c r="A13" s="43">
        <v>43750</v>
      </c>
      <c r="B13" s="44" t="s">
        <v>126</v>
      </c>
      <c r="C13" s="44" t="s">
        <v>123</v>
      </c>
      <c r="D13" s="44">
        <v>2560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2491-4F8D-8041-91D9-7EC587237AC9}">
  <dimension ref="C1:Z14"/>
  <sheetViews>
    <sheetView workbookViewId="0">
      <selection activeCell="Y14" sqref="Y14"/>
    </sheetView>
  </sheetViews>
  <sheetFormatPr baseColWidth="10" defaultColWidth="4.83203125" defaultRowHeight="30" customHeight="1" x14ac:dyDescent="0.3"/>
  <cols>
    <col min="25" max="25" width="13" style="49" bestFit="1" customWidth="1"/>
    <col min="26" max="26" width="6.5" style="49" bestFit="1" customWidth="1"/>
  </cols>
  <sheetData>
    <row r="1" spans="3:26" ht="30" customHeight="1" thickBot="1" x14ac:dyDescent="0.35">
      <c r="C1" s="46" t="s">
        <v>129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3:26" ht="30" customHeight="1" x14ac:dyDescent="0.3">
      <c r="C2" s="45" t="s">
        <v>130</v>
      </c>
      <c r="D2" s="45" t="s">
        <v>130</v>
      </c>
      <c r="E2" s="45" t="s">
        <v>130</v>
      </c>
      <c r="F2" s="45" t="s">
        <v>130</v>
      </c>
      <c r="G2" s="45" t="s">
        <v>130</v>
      </c>
      <c r="H2" s="45" t="s">
        <v>130</v>
      </c>
      <c r="I2" s="45" t="s">
        <v>130</v>
      </c>
      <c r="J2" s="45" t="s">
        <v>130</v>
      </c>
      <c r="K2" s="45" t="s">
        <v>130</v>
      </c>
      <c r="L2" s="45" t="s">
        <v>130</v>
      </c>
      <c r="M2" s="45" t="s">
        <v>130</v>
      </c>
      <c r="N2" s="45" t="s">
        <v>130</v>
      </c>
      <c r="O2" s="45" t="s">
        <v>130</v>
      </c>
      <c r="P2" s="45" t="s">
        <v>130</v>
      </c>
      <c r="Q2" s="45" t="s">
        <v>130</v>
      </c>
      <c r="R2" s="45" t="s">
        <v>130</v>
      </c>
      <c r="S2" s="45" t="s">
        <v>130</v>
      </c>
      <c r="T2" s="45" t="s">
        <v>130</v>
      </c>
      <c r="U2" s="45" t="s">
        <v>130</v>
      </c>
    </row>
    <row r="3" spans="3:26" ht="30" customHeight="1" x14ac:dyDescent="0.3">
      <c r="C3" s="44" t="s">
        <v>131</v>
      </c>
      <c r="D3" s="44" t="s">
        <v>131</v>
      </c>
      <c r="E3" s="44" t="s">
        <v>131</v>
      </c>
      <c r="F3" s="44" t="s">
        <v>131</v>
      </c>
      <c r="G3" s="44"/>
      <c r="H3" s="44"/>
      <c r="I3" s="44"/>
      <c r="J3" s="44"/>
      <c r="K3" s="44" t="s">
        <v>131</v>
      </c>
      <c r="L3" s="44" t="s">
        <v>131</v>
      </c>
      <c r="M3" s="44" t="s">
        <v>131</v>
      </c>
      <c r="N3" s="44"/>
      <c r="O3" s="44"/>
      <c r="P3" s="44"/>
      <c r="Q3" s="44"/>
      <c r="R3" s="44"/>
      <c r="S3" s="44" t="s">
        <v>131</v>
      </c>
      <c r="T3" s="44" t="s">
        <v>131</v>
      </c>
      <c r="U3" s="44" t="s">
        <v>131</v>
      </c>
      <c r="Y3" s="50" t="s">
        <v>132</v>
      </c>
      <c r="Z3" s="49">
        <f>COUNTA(C2:U14)</f>
        <v>138</v>
      </c>
    </row>
    <row r="4" spans="3:26" ht="30" customHeight="1" x14ac:dyDescent="0.3">
      <c r="C4" s="44" t="s">
        <v>130</v>
      </c>
      <c r="D4" s="44" t="s">
        <v>130</v>
      </c>
      <c r="E4" s="44" t="s">
        <v>130</v>
      </c>
      <c r="F4" s="44" t="s">
        <v>130</v>
      </c>
      <c r="G4" s="44"/>
      <c r="H4" s="44"/>
      <c r="I4" s="44"/>
      <c r="J4" s="44"/>
      <c r="K4" s="44" t="s">
        <v>130</v>
      </c>
      <c r="L4" s="44" t="s">
        <v>130</v>
      </c>
      <c r="M4" s="44" t="s">
        <v>130</v>
      </c>
      <c r="N4" s="44"/>
      <c r="O4" s="44" t="s">
        <v>131</v>
      </c>
      <c r="P4" s="44"/>
      <c r="Q4" s="44"/>
      <c r="R4" s="44"/>
      <c r="S4" s="44" t="s">
        <v>130</v>
      </c>
      <c r="T4" s="44" t="s">
        <v>130</v>
      </c>
      <c r="U4" s="44" t="s">
        <v>130</v>
      </c>
      <c r="Y4" s="51" t="s">
        <v>133</v>
      </c>
      <c r="Z4" s="49">
        <f>COUNTBLANK(C2:U14)</f>
        <v>109</v>
      </c>
    </row>
    <row r="5" spans="3:26" ht="30" customHeight="1" x14ac:dyDescent="0.3">
      <c r="C5" s="44" t="s">
        <v>131</v>
      </c>
      <c r="D5" s="44" t="s">
        <v>131</v>
      </c>
      <c r="E5" s="44" t="s">
        <v>131</v>
      </c>
      <c r="F5" s="44" t="s">
        <v>131</v>
      </c>
      <c r="G5" s="44"/>
      <c r="H5" s="44"/>
      <c r="I5" s="44"/>
      <c r="J5" s="44"/>
      <c r="K5" s="44" t="s">
        <v>131</v>
      </c>
      <c r="L5" s="44" t="s">
        <v>131</v>
      </c>
      <c r="M5" s="44" t="s">
        <v>131</v>
      </c>
      <c r="N5" s="44"/>
      <c r="O5" s="44" t="s">
        <v>130</v>
      </c>
      <c r="P5" s="44"/>
      <c r="Q5" s="44" t="s">
        <v>131</v>
      </c>
      <c r="R5" s="44"/>
      <c r="S5" s="44"/>
      <c r="T5" s="44" t="s">
        <v>131</v>
      </c>
      <c r="U5" s="44" t="s">
        <v>131</v>
      </c>
    </row>
    <row r="6" spans="3:26" ht="30" customHeight="1" x14ac:dyDescent="0.3">
      <c r="C6" s="44" t="s">
        <v>130</v>
      </c>
      <c r="D6" s="44" t="s">
        <v>130</v>
      </c>
      <c r="E6" s="44" t="s">
        <v>130</v>
      </c>
      <c r="F6" s="44" t="s">
        <v>130</v>
      </c>
      <c r="G6" s="44"/>
      <c r="H6" s="44"/>
      <c r="I6" s="44"/>
      <c r="J6" s="44"/>
      <c r="K6" s="44" t="s">
        <v>130</v>
      </c>
      <c r="L6" s="44"/>
      <c r="M6" s="44"/>
      <c r="N6" s="44"/>
      <c r="O6" s="44"/>
      <c r="P6" s="44"/>
      <c r="Q6" s="44" t="s">
        <v>130</v>
      </c>
      <c r="R6" s="44"/>
      <c r="S6" s="44"/>
      <c r="T6" s="44" t="s">
        <v>130</v>
      </c>
      <c r="U6" s="44" t="s">
        <v>130</v>
      </c>
    </row>
    <row r="7" spans="3:26" ht="30" customHeight="1" x14ac:dyDescent="0.3">
      <c r="C7" s="44" t="s">
        <v>130</v>
      </c>
      <c r="D7" s="44" t="s">
        <v>130</v>
      </c>
      <c r="E7" s="44" t="s">
        <v>130</v>
      </c>
      <c r="F7" s="44" t="s">
        <v>130</v>
      </c>
      <c r="G7" s="44" t="s">
        <v>130</v>
      </c>
      <c r="H7" s="44" t="s">
        <v>130</v>
      </c>
      <c r="I7" s="44" t="s">
        <v>130</v>
      </c>
      <c r="J7" s="44" t="s">
        <v>130</v>
      </c>
      <c r="K7" s="44" t="s">
        <v>130</v>
      </c>
      <c r="L7" s="44"/>
      <c r="M7" s="44"/>
      <c r="N7" s="44"/>
      <c r="O7" s="44"/>
      <c r="P7" s="44" t="s">
        <v>130</v>
      </c>
      <c r="Q7" s="44" t="s">
        <v>130</v>
      </c>
      <c r="R7" s="44"/>
      <c r="S7" s="44"/>
      <c r="T7" s="44" t="s">
        <v>130</v>
      </c>
      <c r="U7" s="44" t="s">
        <v>130</v>
      </c>
    </row>
    <row r="8" spans="3:26" ht="30" customHeight="1" x14ac:dyDescent="0.3">
      <c r="C8" s="44" t="s">
        <v>130</v>
      </c>
      <c r="D8" s="44" t="s">
        <v>130</v>
      </c>
      <c r="E8" s="44" t="s">
        <v>130</v>
      </c>
      <c r="F8" s="44" t="s">
        <v>130</v>
      </c>
      <c r="G8" s="44" t="s">
        <v>130</v>
      </c>
      <c r="H8" s="44" t="s">
        <v>130</v>
      </c>
      <c r="I8" s="44" t="s">
        <v>130</v>
      </c>
      <c r="J8" s="44" t="s">
        <v>130</v>
      </c>
      <c r="K8" s="44" t="s">
        <v>130</v>
      </c>
      <c r="L8" s="44"/>
      <c r="M8" s="44"/>
      <c r="N8" s="44"/>
      <c r="O8" s="44"/>
      <c r="P8" s="44" t="s">
        <v>130</v>
      </c>
      <c r="Q8" s="44" t="s">
        <v>130</v>
      </c>
      <c r="R8" s="44"/>
      <c r="S8" s="44"/>
      <c r="T8" s="44" t="s">
        <v>130</v>
      </c>
      <c r="U8" s="44" t="s">
        <v>130</v>
      </c>
      <c r="Y8" s="52" t="s">
        <v>134</v>
      </c>
      <c r="Z8" s="49">
        <f>COUNTIF(C2:U14,"M")</f>
        <v>56</v>
      </c>
    </row>
    <row r="9" spans="3:26" ht="30" customHeight="1" x14ac:dyDescent="0.3">
      <c r="C9" s="44" t="s">
        <v>130</v>
      </c>
      <c r="D9" s="44" t="s">
        <v>130</v>
      </c>
      <c r="E9" s="44" t="s">
        <v>130</v>
      </c>
      <c r="F9" s="44" t="s">
        <v>130</v>
      </c>
      <c r="G9" s="44" t="s">
        <v>130</v>
      </c>
      <c r="H9" s="44" t="s">
        <v>130</v>
      </c>
      <c r="I9" s="44" t="s">
        <v>130</v>
      </c>
      <c r="J9" s="44" t="s">
        <v>130</v>
      </c>
      <c r="K9" s="44" t="s">
        <v>130</v>
      </c>
      <c r="L9" s="44" t="s">
        <v>130</v>
      </c>
      <c r="M9" s="44" t="s">
        <v>130</v>
      </c>
      <c r="N9" s="44" t="s">
        <v>130</v>
      </c>
      <c r="O9" s="44" t="s">
        <v>130</v>
      </c>
      <c r="P9" s="44" t="s">
        <v>130</v>
      </c>
      <c r="Q9" s="44" t="s">
        <v>130</v>
      </c>
      <c r="R9" s="44"/>
      <c r="S9" s="44"/>
      <c r="T9" s="44" t="s">
        <v>130</v>
      </c>
      <c r="U9" s="44" t="s">
        <v>130</v>
      </c>
      <c r="Y9" s="53" t="s">
        <v>135</v>
      </c>
      <c r="Z9" s="49">
        <f>COUNTIF(C2:U14,"F")</f>
        <v>82</v>
      </c>
    </row>
    <row r="10" spans="3:26" ht="30" customHeight="1" x14ac:dyDescent="0.3">
      <c r="C10" s="44" t="s">
        <v>131</v>
      </c>
      <c r="D10" s="44" t="s">
        <v>131</v>
      </c>
      <c r="E10" s="44"/>
      <c r="F10" s="44"/>
      <c r="G10" s="44"/>
      <c r="H10" s="44"/>
      <c r="I10" s="44"/>
      <c r="J10" s="44"/>
      <c r="K10" s="44"/>
      <c r="L10" s="44" t="s">
        <v>131</v>
      </c>
      <c r="M10" s="44" t="s">
        <v>131</v>
      </c>
      <c r="N10" s="44" t="s">
        <v>131</v>
      </c>
      <c r="O10" s="44" t="s">
        <v>131</v>
      </c>
      <c r="P10" s="44" t="s">
        <v>131</v>
      </c>
      <c r="Q10" s="44" t="s">
        <v>131</v>
      </c>
      <c r="R10" s="44"/>
      <c r="S10" s="44"/>
      <c r="T10" s="44" t="s">
        <v>131</v>
      </c>
      <c r="U10" s="44" t="s">
        <v>131</v>
      </c>
    </row>
    <row r="11" spans="3:26" ht="30" customHeight="1" x14ac:dyDescent="0.3">
      <c r="C11" s="44" t="s">
        <v>131</v>
      </c>
      <c r="D11" s="44" t="s">
        <v>131</v>
      </c>
      <c r="E11" s="44"/>
      <c r="F11" s="44"/>
      <c r="G11" s="44"/>
      <c r="H11" s="44"/>
      <c r="I11" s="44"/>
      <c r="J11" s="44"/>
      <c r="K11" s="44"/>
      <c r="L11" s="44" t="s">
        <v>131</v>
      </c>
      <c r="M11" s="44" t="s">
        <v>131</v>
      </c>
      <c r="N11" s="44"/>
      <c r="O11" s="44"/>
      <c r="P11" s="44"/>
      <c r="Q11" s="44"/>
      <c r="R11" s="44"/>
      <c r="S11" s="44"/>
      <c r="T11" s="44" t="s">
        <v>131</v>
      </c>
      <c r="U11" s="44" t="s">
        <v>131</v>
      </c>
    </row>
    <row r="12" spans="3:26" ht="30" customHeight="1" x14ac:dyDescent="0.3">
      <c r="C12" s="44" t="s">
        <v>131</v>
      </c>
      <c r="D12" s="44" t="s">
        <v>131</v>
      </c>
      <c r="E12" s="44"/>
      <c r="F12" s="44"/>
      <c r="G12" s="44"/>
      <c r="H12" s="44" t="s">
        <v>130</v>
      </c>
      <c r="I12" s="44"/>
      <c r="J12" s="44"/>
      <c r="K12" s="44"/>
      <c r="L12" s="44" t="s">
        <v>131</v>
      </c>
      <c r="M12" s="44" t="s">
        <v>131</v>
      </c>
      <c r="N12" s="44"/>
      <c r="O12" s="44"/>
      <c r="P12" s="44"/>
      <c r="Q12" s="44"/>
      <c r="R12" s="44"/>
      <c r="S12" s="44"/>
      <c r="T12" s="44" t="s">
        <v>131</v>
      </c>
      <c r="U12" s="44" t="s">
        <v>131</v>
      </c>
    </row>
    <row r="13" spans="3:26" ht="30" customHeight="1" x14ac:dyDescent="0.3">
      <c r="C13" s="44" t="s">
        <v>131</v>
      </c>
      <c r="D13" s="44" t="s">
        <v>131</v>
      </c>
      <c r="E13" s="44"/>
      <c r="F13" s="44"/>
      <c r="G13" s="44"/>
      <c r="H13" s="44" t="s">
        <v>131</v>
      </c>
      <c r="I13" s="44"/>
      <c r="J13" s="44"/>
      <c r="K13" s="44"/>
      <c r="L13" s="44" t="s">
        <v>131</v>
      </c>
      <c r="M13" s="44" t="s">
        <v>131</v>
      </c>
      <c r="N13" s="44"/>
      <c r="O13" s="44"/>
      <c r="P13" s="44"/>
      <c r="Q13" s="44"/>
      <c r="R13" s="44"/>
      <c r="S13" s="44"/>
      <c r="T13" s="44" t="s">
        <v>131</v>
      </c>
      <c r="U13" s="44" t="s">
        <v>131</v>
      </c>
    </row>
    <row r="14" spans="3:26" ht="30" customHeight="1" x14ac:dyDescent="0.3">
      <c r="C14" s="44" t="s">
        <v>131</v>
      </c>
      <c r="D14" s="44" t="s">
        <v>131</v>
      </c>
      <c r="E14" s="44"/>
      <c r="F14" s="44"/>
      <c r="G14" s="44"/>
      <c r="H14" s="44"/>
      <c r="I14" s="44"/>
      <c r="J14" s="44"/>
      <c r="K14" s="44"/>
      <c r="L14" s="44" t="s">
        <v>131</v>
      </c>
      <c r="M14" s="44" t="s">
        <v>131</v>
      </c>
      <c r="N14" s="44"/>
      <c r="O14" s="44"/>
      <c r="P14" s="44"/>
      <c r="Q14" s="44"/>
      <c r="R14" s="44"/>
      <c r="S14" s="44"/>
      <c r="T14" s="44" t="s">
        <v>131</v>
      </c>
      <c r="U14" s="44" t="s">
        <v>131</v>
      </c>
    </row>
  </sheetData>
  <mergeCells count="1">
    <mergeCell ref="C1:U1"/>
  </mergeCells>
  <conditionalFormatting sqref="C2:U14">
    <cfRule type="containsText" dxfId="1" priority="1" operator="containsText" text="M">
      <formula>NOT(ISERROR(SEARCH("M",C2)))</formula>
    </cfRule>
    <cfRule type="containsText" dxfId="0" priority="2" operator="containsText" text="F">
      <formula>NOT(ISERROR(SEARCH("F",C2)))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BEA8-22BA-6546-8F99-174BE57ED769}">
  <dimension ref="A1:H17"/>
  <sheetViews>
    <sheetView workbookViewId="0">
      <selection activeCell="D17" sqref="D17"/>
    </sheetView>
  </sheetViews>
  <sheetFormatPr baseColWidth="10" defaultColWidth="20.83203125" defaultRowHeight="26" x14ac:dyDescent="0.3"/>
  <cols>
    <col min="1" max="4" width="30.83203125" style="55" customWidth="1"/>
    <col min="5" max="16384" width="20.83203125" style="55"/>
  </cols>
  <sheetData>
    <row r="1" spans="1:8" ht="30" customHeight="1" x14ac:dyDescent="0.3">
      <c r="A1" s="54" t="s">
        <v>119</v>
      </c>
      <c r="B1" s="54" t="s">
        <v>120</v>
      </c>
      <c r="C1" s="54" t="s">
        <v>121</v>
      </c>
      <c r="D1" s="54" t="s">
        <v>88</v>
      </c>
      <c r="F1" s="57" t="s">
        <v>138</v>
      </c>
      <c r="G1" s="57" t="s">
        <v>139</v>
      </c>
      <c r="H1" s="60"/>
    </row>
    <row r="2" spans="1:8" ht="30" customHeight="1" x14ac:dyDescent="0.3">
      <c r="A2" s="56">
        <v>43739</v>
      </c>
      <c r="B2" s="39" t="s">
        <v>122</v>
      </c>
      <c r="C2" s="39" t="s">
        <v>123</v>
      </c>
      <c r="D2" s="39">
        <v>5000</v>
      </c>
      <c r="F2" s="39" t="s">
        <v>122</v>
      </c>
      <c r="G2" s="58">
        <f>AVERAGEIF($B$2:$B$13,F2,$D$2:$D$13)</f>
        <v>3662.5</v>
      </c>
      <c r="H2" s="61"/>
    </row>
    <row r="3" spans="1:8" ht="30" customHeight="1" x14ac:dyDescent="0.3">
      <c r="A3" s="56">
        <v>43740</v>
      </c>
      <c r="B3" s="39" t="s">
        <v>124</v>
      </c>
      <c r="C3" s="39" t="s">
        <v>125</v>
      </c>
      <c r="D3" s="39">
        <v>6000</v>
      </c>
      <c r="F3" s="39" t="s">
        <v>124</v>
      </c>
      <c r="G3" s="58">
        <f t="shared" ref="G3:G4" si="0">AVERAGEIF($B$2:$B$13,F3,$D$2:$D$13)</f>
        <v>4400</v>
      </c>
      <c r="H3" s="61"/>
    </row>
    <row r="4" spans="1:8" ht="30" customHeight="1" x14ac:dyDescent="0.3">
      <c r="A4" s="56">
        <v>43741</v>
      </c>
      <c r="B4" s="39" t="s">
        <v>122</v>
      </c>
      <c r="C4" s="39" t="s">
        <v>123</v>
      </c>
      <c r="D4" s="39">
        <v>4500</v>
      </c>
      <c r="F4" s="39" t="s">
        <v>126</v>
      </c>
      <c r="G4" s="58">
        <f t="shared" si="0"/>
        <v>2877.5</v>
      </c>
      <c r="H4" s="61"/>
    </row>
    <row r="5" spans="1:8" ht="30" customHeight="1" x14ac:dyDescent="0.3">
      <c r="A5" s="56">
        <v>43742</v>
      </c>
      <c r="B5" s="39" t="s">
        <v>124</v>
      </c>
      <c r="C5" s="39" t="s">
        <v>123</v>
      </c>
      <c r="D5" s="39">
        <v>6500</v>
      </c>
      <c r="F5"/>
    </row>
    <row r="6" spans="1:8" ht="30" customHeight="1" x14ac:dyDescent="0.3">
      <c r="A6" s="56">
        <v>43743</v>
      </c>
      <c r="B6" s="39" t="s">
        <v>122</v>
      </c>
      <c r="C6" s="39" t="s">
        <v>125</v>
      </c>
      <c r="D6" s="39">
        <v>4500</v>
      </c>
      <c r="F6"/>
    </row>
    <row r="7" spans="1:8" ht="30" customHeight="1" x14ac:dyDescent="0.3">
      <c r="A7" s="56">
        <v>43744</v>
      </c>
      <c r="B7" s="39" t="s">
        <v>126</v>
      </c>
      <c r="C7" s="39" t="s">
        <v>123</v>
      </c>
      <c r="D7" s="39">
        <v>6000</v>
      </c>
      <c r="F7"/>
    </row>
    <row r="8" spans="1:8" ht="30" customHeight="1" x14ac:dyDescent="0.3">
      <c r="A8" s="56">
        <v>43745</v>
      </c>
      <c r="B8" s="39" t="s">
        <v>124</v>
      </c>
      <c r="C8" s="39" t="s">
        <v>125</v>
      </c>
      <c r="D8" s="39">
        <v>4500</v>
      </c>
      <c r="F8"/>
    </row>
    <row r="9" spans="1:8" ht="30" customHeight="1" x14ac:dyDescent="0.3">
      <c r="A9" s="56">
        <v>43746</v>
      </c>
      <c r="B9" s="39" t="s">
        <v>124</v>
      </c>
      <c r="C9" s="39" t="s">
        <v>125</v>
      </c>
      <c r="D9" s="39">
        <v>600</v>
      </c>
      <c r="F9"/>
    </row>
    <row r="10" spans="1:8" ht="30" customHeight="1" x14ac:dyDescent="0.3">
      <c r="A10" s="56">
        <v>43747</v>
      </c>
      <c r="B10" s="39" t="s">
        <v>126</v>
      </c>
      <c r="C10" s="39" t="s">
        <v>123</v>
      </c>
      <c r="D10" s="39">
        <v>1500</v>
      </c>
      <c r="F10" s="57" t="s">
        <v>2</v>
      </c>
      <c r="G10" s="57" t="s">
        <v>136</v>
      </c>
      <c r="H10" s="57" t="s">
        <v>137</v>
      </c>
    </row>
    <row r="11" spans="1:8" ht="30" customHeight="1" x14ac:dyDescent="0.3">
      <c r="A11" s="56">
        <v>43748</v>
      </c>
      <c r="B11" s="39" t="s">
        <v>126</v>
      </c>
      <c r="C11" s="39" t="s">
        <v>123</v>
      </c>
      <c r="D11" s="39">
        <v>1450</v>
      </c>
      <c r="F11" s="39" t="s">
        <v>122</v>
      </c>
      <c r="G11" s="58">
        <f>AVERAGEIFS($D$2:$D$13,$B$2:$B$13,F11,$C$2:$C$13,$G$10)</f>
        <v>4750</v>
      </c>
      <c r="H11" s="39">
        <f>IFERROR(AVERAGEIFS($D$2:$D$13,$B$2:$B$13,F11,$C$2:$C$13,$H$10),0)</f>
        <v>2575</v>
      </c>
    </row>
    <row r="12" spans="1:8" ht="30" customHeight="1" x14ac:dyDescent="0.3">
      <c r="A12" s="56">
        <v>43749</v>
      </c>
      <c r="B12" s="39" t="s">
        <v>122</v>
      </c>
      <c r="C12" s="39" t="s">
        <v>125</v>
      </c>
      <c r="D12" s="39">
        <v>650</v>
      </c>
      <c r="F12" s="39" t="s">
        <v>124</v>
      </c>
      <c r="G12" s="58">
        <f t="shared" ref="G12:G13" si="1">AVERAGEIFS($D$2:$D$13,$B$2:$B$13,F12,$C$2:$C$13,$G$10)</f>
        <v>6500</v>
      </c>
      <c r="H12" s="39">
        <f t="shared" ref="H12:H13" si="2">IFERROR(AVERAGEIFS($D$2:$D$13,$B$2:$B$13,F12,$C$2:$C$13,$H$10),0)</f>
        <v>3700</v>
      </c>
    </row>
    <row r="13" spans="1:8" ht="30" customHeight="1" x14ac:dyDescent="0.3">
      <c r="A13" s="56">
        <v>43750</v>
      </c>
      <c r="B13" s="39" t="s">
        <v>126</v>
      </c>
      <c r="C13" s="39" t="s">
        <v>123</v>
      </c>
      <c r="D13" s="39">
        <v>2560</v>
      </c>
      <c r="F13" s="39" t="s">
        <v>126</v>
      </c>
      <c r="G13" s="58">
        <f t="shared" si="1"/>
        <v>2877.5</v>
      </c>
      <c r="H13" s="39">
        <f t="shared" si="2"/>
        <v>0</v>
      </c>
    </row>
    <row r="17" spans="4:4" x14ac:dyDescent="0.3">
      <c r="D17" s="81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8BA2-1B93-AA46-991E-4ADED0B2712E}">
  <dimension ref="A1:D18"/>
  <sheetViews>
    <sheetView workbookViewId="0">
      <selection activeCell="D16" sqref="D16"/>
    </sheetView>
  </sheetViews>
  <sheetFormatPr baseColWidth="10" defaultColWidth="25.83203125" defaultRowHeight="30" customHeight="1" outlineLevelRow="2" x14ac:dyDescent="0.3"/>
  <cols>
    <col min="1" max="16384" width="25.83203125" style="55"/>
  </cols>
  <sheetData>
    <row r="1" spans="1:4" ht="30" customHeight="1" x14ac:dyDescent="0.3">
      <c r="A1" s="54" t="s">
        <v>119</v>
      </c>
      <c r="B1" s="54" t="s">
        <v>120</v>
      </c>
      <c r="C1" s="54" t="s">
        <v>121</v>
      </c>
      <c r="D1" s="54" t="s">
        <v>88</v>
      </c>
    </row>
    <row r="2" spans="1:4" ht="30" customHeight="1" outlineLevel="2" x14ac:dyDescent="0.3">
      <c r="A2" s="56">
        <v>43740</v>
      </c>
      <c r="B2" s="39" t="s">
        <v>124</v>
      </c>
      <c r="C2" s="39" t="s">
        <v>125</v>
      </c>
      <c r="D2" s="39">
        <v>6000</v>
      </c>
    </row>
    <row r="3" spans="1:4" ht="30" customHeight="1" outlineLevel="2" x14ac:dyDescent="0.3">
      <c r="A3" s="56">
        <v>43745</v>
      </c>
      <c r="B3" s="39" t="s">
        <v>124</v>
      </c>
      <c r="C3" s="39" t="s">
        <v>125</v>
      </c>
      <c r="D3" s="39">
        <v>4500</v>
      </c>
    </row>
    <row r="4" spans="1:4" ht="30" customHeight="1" outlineLevel="2" x14ac:dyDescent="0.3">
      <c r="A4" s="56">
        <v>43746</v>
      </c>
      <c r="B4" s="39" t="s">
        <v>124</v>
      </c>
      <c r="C4" s="39" t="s">
        <v>125</v>
      </c>
      <c r="D4" s="39">
        <v>600</v>
      </c>
    </row>
    <row r="5" spans="1:4" ht="30" customHeight="1" outlineLevel="1" x14ac:dyDescent="0.3">
      <c r="A5" s="56"/>
      <c r="B5" s="88" t="s">
        <v>140</v>
      </c>
      <c r="C5" s="39"/>
      <c r="D5" s="39">
        <f>SUBTOTAL(9,D2:D4)</f>
        <v>11100</v>
      </c>
    </row>
    <row r="6" spans="1:4" ht="30" customHeight="1" outlineLevel="2" x14ac:dyDescent="0.3">
      <c r="A6" s="56">
        <v>43744</v>
      </c>
      <c r="B6" s="39" t="s">
        <v>126</v>
      </c>
      <c r="C6" s="39" t="s">
        <v>123</v>
      </c>
      <c r="D6" s="39">
        <v>6000</v>
      </c>
    </row>
    <row r="7" spans="1:4" ht="30" customHeight="1" outlineLevel="2" x14ac:dyDescent="0.3">
      <c r="A7" s="56">
        <v>43747</v>
      </c>
      <c r="B7" s="39" t="s">
        <v>126</v>
      </c>
      <c r="C7" s="39" t="s">
        <v>123</v>
      </c>
      <c r="D7" s="39">
        <v>1500</v>
      </c>
    </row>
    <row r="8" spans="1:4" ht="30" customHeight="1" outlineLevel="2" x14ac:dyDescent="0.3">
      <c r="A8" s="56">
        <v>43748</v>
      </c>
      <c r="B8" s="39" t="s">
        <v>126</v>
      </c>
      <c r="C8" s="39" t="s">
        <v>123</v>
      </c>
      <c r="D8" s="39">
        <v>1450</v>
      </c>
    </row>
    <row r="9" spans="1:4" ht="30" customHeight="1" outlineLevel="2" x14ac:dyDescent="0.3">
      <c r="A9" s="56">
        <v>43750</v>
      </c>
      <c r="B9" s="39" t="s">
        <v>126</v>
      </c>
      <c r="C9" s="39" t="s">
        <v>123</v>
      </c>
      <c r="D9" s="39">
        <v>2560</v>
      </c>
    </row>
    <row r="10" spans="1:4" ht="30" customHeight="1" outlineLevel="1" x14ac:dyDescent="0.3">
      <c r="A10" s="56"/>
      <c r="B10" s="58" t="s">
        <v>141</v>
      </c>
      <c r="C10" s="39"/>
      <c r="D10" s="39">
        <f>SUBTOTAL(9,D6:D9)</f>
        <v>11510</v>
      </c>
    </row>
    <row r="11" spans="1:4" ht="30" customHeight="1" outlineLevel="2" x14ac:dyDescent="0.3">
      <c r="A11" s="56">
        <v>43739</v>
      </c>
      <c r="B11" s="39" t="s">
        <v>122</v>
      </c>
      <c r="C11" s="39" t="s">
        <v>123</v>
      </c>
      <c r="D11" s="39">
        <v>5000</v>
      </c>
    </row>
    <row r="12" spans="1:4" ht="30" customHeight="1" outlineLevel="2" x14ac:dyDescent="0.3">
      <c r="A12" s="56">
        <v>43741</v>
      </c>
      <c r="B12" s="39" t="s">
        <v>122</v>
      </c>
      <c r="C12" s="39" t="s">
        <v>123</v>
      </c>
      <c r="D12" s="39">
        <v>4500</v>
      </c>
    </row>
    <row r="13" spans="1:4" ht="30" customHeight="1" outlineLevel="2" x14ac:dyDescent="0.3">
      <c r="A13" s="56">
        <v>43743</v>
      </c>
      <c r="B13" s="39" t="s">
        <v>122</v>
      </c>
      <c r="C13" s="39" t="s">
        <v>125</v>
      </c>
      <c r="D13" s="39">
        <v>4500</v>
      </c>
    </row>
    <row r="14" spans="1:4" ht="30" customHeight="1" outlineLevel="2" x14ac:dyDescent="0.3">
      <c r="A14" s="56">
        <v>43749</v>
      </c>
      <c r="B14" s="39" t="s">
        <v>122</v>
      </c>
      <c r="C14" s="39" t="s">
        <v>125</v>
      </c>
      <c r="D14" s="39">
        <v>650</v>
      </c>
    </row>
    <row r="15" spans="1:4" ht="30" customHeight="1" outlineLevel="1" x14ac:dyDescent="0.3">
      <c r="A15" s="62"/>
      <c r="B15" s="63" t="s">
        <v>142</v>
      </c>
      <c r="C15" s="61"/>
      <c r="D15" s="61">
        <f>SUBTOTAL(9,D11:D14)</f>
        <v>14650</v>
      </c>
    </row>
    <row r="16" spans="1:4" ht="30" customHeight="1" x14ac:dyDescent="0.3">
      <c r="A16" s="62"/>
      <c r="B16" s="63" t="s">
        <v>143</v>
      </c>
      <c r="C16" s="61"/>
      <c r="D16" s="61">
        <f>SUBTOTAL(9,D2:D14)</f>
        <v>37260</v>
      </c>
    </row>
    <row r="17" spans="1:4" ht="30" customHeight="1" outlineLevel="1" x14ac:dyDescent="0.3">
      <c r="A17" s="62"/>
      <c r="B17" s="63"/>
      <c r="C17" s="61"/>
      <c r="D17" s="61"/>
    </row>
    <row r="18" spans="1:4" ht="30" customHeight="1" x14ac:dyDescent="0.3">
      <c r="A18" s="62"/>
      <c r="B18" s="63"/>
      <c r="C18" s="61"/>
      <c r="D18" s="61"/>
    </row>
  </sheetData>
  <sortState xmlns:xlrd2="http://schemas.microsoft.com/office/spreadsheetml/2017/richdata2" ref="A2:D14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B1C8-B03A-4047-BE5A-4090460CA808}">
  <dimension ref="A1:E14"/>
  <sheetViews>
    <sheetView workbookViewId="0">
      <selection activeCell="D8" sqref="D8"/>
    </sheetView>
  </sheetViews>
  <sheetFormatPr baseColWidth="10" defaultRowHeight="16" x14ac:dyDescent="0.2"/>
  <cols>
    <col min="1" max="4" width="25.83203125" customWidth="1"/>
    <col min="5" max="5" width="13.1640625" bestFit="1" customWidth="1"/>
  </cols>
  <sheetData>
    <row r="1" spans="1:5" ht="30" customHeight="1" x14ac:dyDescent="0.3">
      <c r="A1" s="54" t="s">
        <v>119</v>
      </c>
      <c r="B1" s="54" t="s">
        <v>144</v>
      </c>
      <c r="C1" s="54" t="s">
        <v>145</v>
      </c>
      <c r="D1" s="54" t="s">
        <v>146</v>
      </c>
      <c r="E1" s="54" t="s">
        <v>2</v>
      </c>
    </row>
    <row r="2" spans="1:5" ht="30" customHeight="1" x14ac:dyDescent="0.3">
      <c r="A2" s="56">
        <v>43739</v>
      </c>
      <c r="B2" s="39" t="s">
        <v>147</v>
      </c>
      <c r="C2" s="39">
        <v>500</v>
      </c>
      <c r="D2" s="39">
        <v>450</v>
      </c>
      <c r="E2" s="44">
        <f>C2*D2</f>
        <v>225000</v>
      </c>
    </row>
    <row r="3" spans="1:5" ht="30" customHeight="1" x14ac:dyDescent="0.3">
      <c r="A3" s="56">
        <v>43740</v>
      </c>
      <c r="B3" s="39" t="s">
        <v>148</v>
      </c>
      <c r="C3" s="39">
        <v>600</v>
      </c>
      <c r="D3" s="39">
        <v>950</v>
      </c>
      <c r="E3" s="44">
        <f t="shared" ref="E3:E14" si="0">C3*D3</f>
        <v>570000</v>
      </c>
    </row>
    <row r="4" spans="1:5" ht="30" customHeight="1" x14ac:dyDescent="0.3">
      <c r="A4" s="56">
        <v>43741</v>
      </c>
      <c r="B4" s="39" t="s">
        <v>149</v>
      </c>
      <c r="C4" s="39">
        <v>450</v>
      </c>
      <c r="D4" s="39">
        <v>350</v>
      </c>
      <c r="E4" s="44">
        <f t="shared" si="0"/>
        <v>157500</v>
      </c>
    </row>
    <row r="5" spans="1:5" ht="30" customHeight="1" x14ac:dyDescent="0.3">
      <c r="A5" s="56">
        <v>43742</v>
      </c>
      <c r="B5" s="39" t="s">
        <v>150</v>
      </c>
      <c r="C5" s="39">
        <v>350</v>
      </c>
      <c r="D5" s="39">
        <v>350</v>
      </c>
      <c r="E5" s="44">
        <f t="shared" si="0"/>
        <v>122500</v>
      </c>
    </row>
    <row r="6" spans="1:5" ht="30" customHeight="1" x14ac:dyDescent="0.3">
      <c r="A6" s="56">
        <v>43743</v>
      </c>
      <c r="B6" s="39" t="s">
        <v>151</v>
      </c>
      <c r="C6" s="39">
        <v>650</v>
      </c>
      <c r="D6" s="39">
        <v>250</v>
      </c>
      <c r="E6" s="44">
        <f t="shared" si="0"/>
        <v>162500</v>
      </c>
    </row>
    <row r="7" spans="1:5" ht="30" customHeight="1" x14ac:dyDescent="0.3">
      <c r="A7" s="56">
        <v>43744</v>
      </c>
      <c r="B7" s="39" t="s">
        <v>152</v>
      </c>
      <c r="C7" s="39">
        <v>150</v>
      </c>
      <c r="D7" s="39">
        <v>740</v>
      </c>
      <c r="E7" s="44">
        <f t="shared" si="0"/>
        <v>111000</v>
      </c>
    </row>
    <row r="8" spans="1:5" ht="30" customHeight="1" x14ac:dyDescent="0.3">
      <c r="A8" s="56">
        <v>43745</v>
      </c>
      <c r="B8" s="39" t="s">
        <v>153</v>
      </c>
      <c r="C8" s="39">
        <v>250</v>
      </c>
      <c r="D8" s="39">
        <v>3500</v>
      </c>
      <c r="E8" s="44">
        <f t="shared" si="0"/>
        <v>875000</v>
      </c>
    </row>
    <row r="9" spans="1:5" ht="30" customHeight="1" x14ac:dyDescent="0.3">
      <c r="A9" s="56">
        <v>43746</v>
      </c>
      <c r="B9" s="39" t="s">
        <v>154</v>
      </c>
      <c r="C9" s="39">
        <v>150</v>
      </c>
      <c r="D9" s="39">
        <v>2500</v>
      </c>
      <c r="E9" s="44">
        <f t="shared" si="0"/>
        <v>375000</v>
      </c>
    </row>
    <row r="10" spans="1:5" ht="30" customHeight="1" x14ac:dyDescent="0.3">
      <c r="A10" s="56">
        <v>43747</v>
      </c>
      <c r="B10" s="39" t="s">
        <v>155</v>
      </c>
      <c r="C10" s="39">
        <v>250</v>
      </c>
      <c r="D10" s="39">
        <v>2500</v>
      </c>
      <c r="E10" s="44">
        <f t="shared" si="0"/>
        <v>625000</v>
      </c>
    </row>
    <row r="11" spans="1:5" ht="30" customHeight="1" x14ac:dyDescent="0.3">
      <c r="A11" s="56">
        <v>43748</v>
      </c>
      <c r="B11" s="39" t="s">
        <v>156</v>
      </c>
      <c r="C11" s="39">
        <v>360</v>
      </c>
      <c r="D11" s="39">
        <v>3500</v>
      </c>
      <c r="E11" s="44">
        <f t="shared" si="0"/>
        <v>1260000</v>
      </c>
    </row>
    <row r="12" spans="1:5" ht="30" customHeight="1" x14ac:dyDescent="0.3">
      <c r="A12" s="56">
        <v>43749</v>
      </c>
      <c r="B12" s="39" t="s">
        <v>157</v>
      </c>
      <c r="C12" s="39">
        <v>120</v>
      </c>
      <c r="D12" s="39">
        <v>1800</v>
      </c>
      <c r="E12" s="44">
        <f t="shared" si="0"/>
        <v>216000</v>
      </c>
    </row>
    <row r="13" spans="1:5" ht="30" customHeight="1" x14ac:dyDescent="0.3">
      <c r="A13" s="56">
        <v>43750</v>
      </c>
      <c r="B13" s="39" t="s">
        <v>158</v>
      </c>
      <c r="C13" s="39">
        <v>210</v>
      </c>
      <c r="D13" s="39">
        <v>1200</v>
      </c>
      <c r="E13" s="44">
        <f t="shared" si="0"/>
        <v>252000</v>
      </c>
    </row>
    <row r="14" spans="1:5" ht="26" x14ac:dyDescent="0.3">
      <c r="A14" s="21"/>
      <c r="B14" s="64"/>
      <c r="C14" s="21"/>
      <c r="D14" s="65" t="s">
        <v>159</v>
      </c>
      <c r="E14" s="89">
        <f>SUMPRODUCT(C2:C13,D2:D13)</f>
        <v>4951500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B279-5641-E346-987D-ECA47135A002}">
  <dimension ref="A1:D13"/>
  <sheetViews>
    <sheetView workbookViewId="0">
      <selection activeCell="C13" sqref="C13"/>
    </sheetView>
  </sheetViews>
  <sheetFormatPr baseColWidth="10" defaultColWidth="25.83203125" defaultRowHeight="30" customHeight="1" x14ac:dyDescent="0.3"/>
  <cols>
    <col min="1" max="16384" width="25.83203125" style="55"/>
  </cols>
  <sheetData>
    <row r="1" spans="1:4" ht="30" customHeight="1" x14ac:dyDescent="0.3">
      <c r="A1" s="54" t="s">
        <v>119</v>
      </c>
      <c r="B1" s="54" t="s">
        <v>160</v>
      </c>
      <c r="C1" s="54" t="s">
        <v>161</v>
      </c>
      <c r="D1" s="54" t="s">
        <v>162</v>
      </c>
    </row>
    <row r="2" spans="1:4" ht="30" customHeight="1" x14ac:dyDescent="0.3">
      <c r="A2" s="56">
        <v>43739</v>
      </c>
      <c r="B2" s="39" t="s">
        <v>22</v>
      </c>
      <c r="C2" s="39">
        <v>15000</v>
      </c>
      <c r="D2" s="39" t="str">
        <f>IF(C2&gt;=20000,"YES","NO")</f>
        <v>NO</v>
      </c>
    </row>
    <row r="3" spans="1:4" ht="30" customHeight="1" x14ac:dyDescent="0.3">
      <c r="A3" s="56">
        <v>43740</v>
      </c>
      <c r="B3" s="39" t="s">
        <v>23</v>
      </c>
      <c r="C3" s="39">
        <v>16000</v>
      </c>
      <c r="D3" s="39" t="str">
        <f t="shared" ref="D3:D13" si="0">IF(C3&gt;=20000,"YES","NO")</f>
        <v>NO</v>
      </c>
    </row>
    <row r="4" spans="1:4" ht="30" customHeight="1" x14ac:dyDescent="0.3">
      <c r="A4" s="56">
        <v>43741</v>
      </c>
      <c r="B4" s="39" t="s">
        <v>24</v>
      </c>
      <c r="C4" s="39">
        <v>18000</v>
      </c>
      <c r="D4" s="39" t="str">
        <f t="shared" si="0"/>
        <v>NO</v>
      </c>
    </row>
    <row r="5" spans="1:4" ht="30" customHeight="1" x14ac:dyDescent="0.3">
      <c r="A5" s="56">
        <v>43742</v>
      </c>
      <c r="B5" s="39" t="s">
        <v>25</v>
      </c>
      <c r="C5" s="39">
        <v>19000</v>
      </c>
      <c r="D5" s="39" t="str">
        <f t="shared" si="0"/>
        <v>NO</v>
      </c>
    </row>
    <row r="6" spans="1:4" ht="30" customHeight="1" x14ac:dyDescent="0.3">
      <c r="A6" s="56">
        <v>43743</v>
      </c>
      <c r="B6" s="39" t="s">
        <v>26</v>
      </c>
      <c r="C6" s="39">
        <v>25000</v>
      </c>
      <c r="D6" s="39" t="str">
        <f t="shared" si="0"/>
        <v>YES</v>
      </c>
    </row>
    <row r="7" spans="1:4" ht="30" customHeight="1" x14ac:dyDescent="0.3">
      <c r="A7" s="56">
        <v>43744</v>
      </c>
      <c r="B7" s="39" t="s">
        <v>27</v>
      </c>
      <c r="C7" s="39">
        <v>22000</v>
      </c>
      <c r="D7" s="39" t="str">
        <f t="shared" si="0"/>
        <v>YES</v>
      </c>
    </row>
    <row r="8" spans="1:4" ht="30" customHeight="1" x14ac:dyDescent="0.3">
      <c r="A8" s="56">
        <v>43745</v>
      </c>
      <c r="B8" s="39" t="s">
        <v>28</v>
      </c>
      <c r="C8" s="39">
        <v>15000</v>
      </c>
      <c r="D8" s="39" t="str">
        <f t="shared" si="0"/>
        <v>NO</v>
      </c>
    </row>
    <row r="9" spans="1:4" ht="30" customHeight="1" x14ac:dyDescent="0.3">
      <c r="A9" s="56">
        <v>43746</v>
      </c>
      <c r="B9" s="39" t="s">
        <v>29</v>
      </c>
      <c r="C9" s="39">
        <v>35000</v>
      </c>
      <c r="D9" s="39" t="str">
        <f t="shared" si="0"/>
        <v>YES</v>
      </c>
    </row>
    <row r="10" spans="1:4" ht="30" customHeight="1" x14ac:dyDescent="0.3">
      <c r="A10" s="56">
        <v>43747</v>
      </c>
      <c r="B10" s="39" t="s">
        <v>30</v>
      </c>
      <c r="C10" s="39">
        <v>15000</v>
      </c>
      <c r="D10" s="39" t="str">
        <f t="shared" si="0"/>
        <v>NO</v>
      </c>
    </row>
    <row r="11" spans="1:4" ht="30" customHeight="1" x14ac:dyDescent="0.3">
      <c r="A11" s="56">
        <v>43748</v>
      </c>
      <c r="B11" s="39" t="s">
        <v>31</v>
      </c>
      <c r="C11" s="39">
        <v>35000</v>
      </c>
      <c r="D11" s="39" t="str">
        <f t="shared" si="0"/>
        <v>YES</v>
      </c>
    </row>
    <row r="12" spans="1:4" ht="30" customHeight="1" x14ac:dyDescent="0.3">
      <c r="A12" s="56">
        <v>43749</v>
      </c>
      <c r="B12" s="39" t="s">
        <v>32</v>
      </c>
      <c r="C12" s="39">
        <v>20000</v>
      </c>
      <c r="D12" s="39" t="str">
        <f t="shared" si="0"/>
        <v>YES</v>
      </c>
    </row>
    <row r="13" spans="1:4" ht="30" customHeight="1" x14ac:dyDescent="0.3">
      <c r="A13" s="56">
        <v>43750</v>
      </c>
      <c r="B13" s="39" t="s">
        <v>33</v>
      </c>
      <c r="C13" s="39">
        <v>21000</v>
      </c>
      <c r="D13" s="39" t="str">
        <f t="shared" si="0"/>
        <v>YES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E014-2825-AB4B-8BEC-5D3A5128EC53}">
  <dimension ref="A1:F13"/>
  <sheetViews>
    <sheetView workbookViewId="0">
      <selection activeCell="D6" sqref="D6"/>
    </sheetView>
  </sheetViews>
  <sheetFormatPr baseColWidth="10" defaultColWidth="30.83203125" defaultRowHeight="30" customHeight="1" x14ac:dyDescent="0.3"/>
  <cols>
    <col min="1" max="16384" width="30.83203125" style="55"/>
  </cols>
  <sheetData>
    <row r="1" spans="1:6" ht="30" customHeight="1" x14ac:dyDescent="0.3">
      <c r="A1" s="54" t="s">
        <v>119</v>
      </c>
      <c r="B1" s="54" t="s">
        <v>160</v>
      </c>
      <c r="C1" s="54" t="s">
        <v>163</v>
      </c>
      <c r="D1" s="54" t="s">
        <v>161</v>
      </c>
      <c r="E1" s="54" t="s">
        <v>162</v>
      </c>
      <c r="F1" s="54" t="s">
        <v>168</v>
      </c>
    </row>
    <row r="2" spans="1:6" ht="30" customHeight="1" x14ac:dyDescent="0.3">
      <c r="A2" s="56">
        <v>43739</v>
      </c>
      <c r="B2" s="39" t="s">
        <v>22</v>
      </c>
      <c r="C2" s="39" t="s">
        <v>164</v>
      </c>
      <c r="D2" s="39">
        <v>20000</v>
      </c>
      <c r="E2" s="39" t="str">
        <f>IF(AND(C2="MANAGER",D2&gt;=20000),"YES","NO")</f>
        <v>YES</v>
      </c>
      <c r="F2" s="39" t="str">
        <f>IF(OR(C2="MANAGER",D2&gt;=20000),"YES","NO")</f>
        <v>YES</v>
      </c>
    </row>
    <row r="3" spans="1:6" ht="30" customHeight="1" x14ac:dyDescent="0.3">
      <c r="A3" s="56">
        <v>43740</v>
      </c>
      <c r="B3" s="39" t="s">
        <v>23</v>
      </c>
      <c r="C3" s="39" t="s">
        <v>165</v>
      </c>
      <c r="D3" s="39">
        <v>16000</v>
      </c>
      <c r="E3" s="39" t="str">
        <f t="shared" ref="E3:E13" si="0">IF(AND(C3="MANAGER",D3&gt;=20000),"YES","NO")</f>
        <v>NO</v>
      </c>
      <c r="F3" s="39" t="str">
        <f t="shared" ref="F3:F13" si="1">IF(OR(C3="MANAGER",D3&gt;=20000),"YES","NO")</f>
        <v>NO</v>
      </c>
    </row>
    <row r="4" spans="1:6" ht="30" customHeight="1" x14ac:dyDescent="0.3">
      <c r="A4" s="56">
        <v>43741</v>
      </c>
      <c r="B4" s="39" t="s">
        <v>24</v>
      </c>
      <c r="C4" s="39" t="s">
        <v>164</v>
      </c>
      <c r="D4" s="39">
        <v>18000</v>
      </c>
      <c r="E4" s="39" t="str">
        <f t="shared" si="0"/>
        <v>NO</v>
      </c>
      <c r="F4" s="39" t="str">
        <f t="shared" si="1"/>
        <v>YES</v>
      </c>
    </row>
    <row r="5" spans="1:6" ht="30" customHeight="1" x14ac:dyDescent="0.3">
      <c r="A5" s="56">
        <v>43742</v>
      </c>
      <c r="B5" s="39" t="s">
        <v>25</v>
      </c>
      <c r="C5" s="39" t="s">
        <v>166</v>
      </c>
      <c r="D5" s="39">
        <v>19000</v>
      </c>
      <c r="E5" s="39" t="str">
        <f t="shared" si="0"/>
        <v>NO</v>
      </c>
      <c r="F5" s="39" t="str">
        <f t="shared" si="1"/>
        <v>NO</v>
      </c>
    </row>
    <row r="6" spans="1:6" ht="30" customHeight="1" x14ac:dyDescent="0.3">
      <c r="A6" s="56">
        <v>43743</v>
      </c>
      <c r="B6" s="39" t="s">
        <v>26</v>
      </c>
      <c r="C6" s="39" t="s">
        <v>167</v>
      </c>
      <c r="D6" s="39">
        <v>25000</v>
      </c>
      <c r="E6" s="39" t="str">
        <f t="shared" si="0"/>
        <v>NO</v>
      </c>
      <c r="F6" s="39" t="str">
        <f t="shared" si="1"/>
        <v>YES</v>
      </c>
    </row>
    <row r="7" spans="1:6" ht="30" customHeight="1" x14ac:dyDescent="0.3">
      <c r="A7" s="56">
        <v>43744</v>
      </c>
      <c r="B7" s="39" t="s">
        <v>27</v>
      </c>
      <c r="C7" s="39" t="s">
        <v>164</v>
      </c>
      <c r="D7" s="39">
        <v>19000</v>
      </c>
      <c r="E7" s="39" t="str">
        <f t="shared" si="0"/>
        <v>NO</v>
      </c>
      <c r="F7" s="39" t="str">
        <f t="shared" si="1"/>
        <v>YES</v>
      </c>
    </row>
    <row r="8" spans="1:6" ht="30" customHeight="1" x14ac:dyDescent="0.3">
      <c r="A8" s="56">
        <v>43745</v>
      </c>
      <c r="B8" s="39" t="s">
        <v>28</v>
      </c>
      <c r="C8" s="39" t="s">
        <v>165</v>
      </c>
      <c r="D8" s="39">
        <v>15000</v>
      </c>
      <c r="E8" s="39" t="str">
        <f t="shared" si="0"/>
        <v>NO</v>
      </c>
      <c r="F8" s="39" t="str">
        <f t="shared" si="1"/>
        <v>NO</v>
      </c>
    </row>
    <row r="9" spans="1:6" ht="30" customHeight="1" x14ac:dyDescent="0.3">
      <c r="A9" s="56">
        <v>43746</v>
      </c>
      <c r="B9" s="39" t="s">
        <v>29</v>
      </c>
      <c r="C9" s="39" t="s">
        <v>164</v>
      </c>
      <c r="D9" s="39">
        <v>35000</v>
      </c>
      <c r="E9" s="39" t="str">
        <f t="shared" si="0"/>
        <v>YES</v>
      </c>
      <c r="F9" s="39" t="str">
        <f t="shared" si="1"/>
        <v>YES</v>
      </c>
    </row>
    <row r="10" spans="1:6" ht="30" customHeight="1" x14ac:dyDescent="0.3">
      <c r="A10" s="56">
        <v>43747</v>
      </c>
      <c r="B10" s="39" t="s">
        <v>30</v>
      </c>
      <c r="C10" s="39" t="s">
        <v>167</v>
      </c>
      <c r="D10" s="39">
        <v>15000</v>
      </c>
      <c r="E10" s="39" t="str">
        <f t="shared" si="0"/>
        <v>NO</v>
      </c>
      <c r="F10" s="39" t="str">
        <f t="shared" si="1"/>
        <v>NO</v>
      </c>
    </row>
    <row r="11" spans="1:6" ht="30" customHeight="1" x14ac:dyDescent="0.3">
      <c r="A11" s="56">
        <v>43748</v>
      </c>
      <c r="B11" s="39" t="s">
        <v>31</v>
      </c>
      <c r="C11" s="39" t="s">
        <v>167</v>
      </c>
      <c r="D11" s="39">
        <v>35000</v>
      </c>
      <c r="E11" s="39" t="str">
        <f t="shared" si="0"/>
        <v>NO</v>
      </c>
      <c r="F11" s="39" t="str">
        <f t="shared" si="1"/>
        <v>YES</v>
      </c>
    </row>
    <row r="12" spans="1:6" ht="30" customHeight="1" x14ac:dyDescent="0.3">
      <c r="A12" s="56">
        <v>43749</v>
      </c>
      <c r="B12" s="39" t="s">
        <v>32</v>
      </c>
      <c r="C12" s="39" t="s">
        <v>167</v>
      </c>
      <c r="D12" s="39">
        <v>18000</v>
      </c>
      <c r="E12" s="39" t="str">
        <f t="shared" si="0"/>
        <v>NO</v>
      </c>
      <c r="F12" s="39" t="str">
        <f t="shared" si="1"/>
        <v>NO</v>
      </c>
    </row>
    <row r="13" spans="1:6" ht="30" customHeight="1" x14ac:dyDescent="0.3">
      <c r="A13" s="56">
        <v>43750</v>
      </c>
      <c r="B13" s="39" t="s">
        <v>33</v>
      </c>
      <c r="C13" s="39" t="s">
        <v>167</v>
      </c>
      <c r="D13" s="39">
        <v>21000</v>
      </c>
      <c r="E13" s="39" t="str">
        <f t="shared" si="0"/>
        <v>NO</v>
      </c>
      <c r="F13" s="39" t="str">
        <f t="shared" si="1"/>
        <v>YES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5B9D-091F-454A-ABAD-F1EBD1B67204}">
  <dimension ref="A1:H13"/>
  <sheetViews>
    <sheetView topLeftCell="B1" workbookViewId="0">
      <selection activeCell="F2" sqref="F2"/>
    </sheetView>
  </sheetViews>
  <sheetFormatPr baseColWidth="10" defaultColWidth="30.83203125" defaultRowHeight="30" customHeight="1" x14ac:dyDescent="0.3"/>
  <cols>
    <col min="1" max="16384" width="30.83203125" style="49"/>
  </cols>
  <sheetData>
    <row r="1" spans="1:8" ht="30" customHeight="1" x14ac:dyDescent="0.3">
      <c r="A1" s="54" t="s">
        <v>119</v>
      </c>
      <c r="B1" s="54" t="s">
        <v>160</v>
      </c>
      <c r="C1" s="54" t="s">
        <v>163</v>
      </c>
      <c r="D1" s="54" t="s">
        <v>161</v>
      </c>
      <c r="E1" s="54" t="s">
        <v>162</v>
      </c>
      <c r="F1" s="54" t="s">
        <v>2</v>
      </c>
    </row>
    <row r="2" spans="1:8" ht="30" customHeight="1" x14ac:dyDescent="0.3">
      <c r="A2" s="56">
        <v>43739</v>
      </c>
      <c r="B2" s="39" t="s">
        <v>22</v>
      </c>
      <c r="C2" s="39" t="s">
        <v>164</v>
      </c>
      <c r="D2" s="39">
        <v>15000</v>
      </c>
      <c r="E2" s="39">
        <f>IF(C2="MANAGER",5000,IF(C2="SUPERVISOR",4000,IF(C2="PEON",3000,IF(C2="CLERK",2000))))</f>
        <v>5000</v>
      </c>
      <c r="F2" s="39">
        <f>D2+E2</f>
        <v>20000</v>
      </c>
    </row>
    <row r="3" spans="1:8" ht="30" customHeight="1" x14ac:dyDescent="0.3">
      <c r="A3" s="56">
        <v>43740</v>
      </c>
      <c r="B3" s="39" t="s">
        <v>23</v>
      </c>
      <c r="C3" s="39" t="s">
        <v>165</v>
      </c>
      <c r="D3" s="39">
        <v>16000</v>
      </c>
      <c r="E3" s="39">
        <f t="shared" ref="E3:E13" si="0">IF(C3="MANAGER",5000,IF(C3="SUPERVISOR",4000,IF(C3="PEON",3000,IF(C3="CLERK",2000))))</f>
        <v>4000</v>
      </c>
      <c r="F3" s="39">
        <f t="shared" ref="F3:F13" si="1">D3+E3</f>
        <v>20000</v>
      </c>
      <c r="G3" s="39" t="s">
        <v>164</v>
      </c>
      <c r="H3" s="49">
        <v>5000</v>
      </c>
    </row>
    <row r="4" spans="1:8" ht="30" customHeight="1" x14ac:dyDescent="0.3">
      <c r="A4" s="56">
        <v>43741</v>
      </c>
      <c r="B4" s="39" t="s">
        <v>24</v>
      </c>
      <c r="C4" s="39" t="s">
        <v>164</v>
      </c>
      <c r="D4" s="39">
        <v>18000</v>
      </c>
      <c r="E4" s="39">
        <f t="shared" si="0"/>
        <v>5000</v>
      </c>
      <c r="F4" s="39">
        <f t="shared" si="1"/>
        <v>23000</v>
      </c>
      <c r="G4" s="39" t="s">
        <v>165</v>
      </c>
      <c r="H4" s="49">
        <v>4000</v>
      </c>
    </row>
    <row r="5" spans="1:8" ht="30" customHeight="1" x14ac:dyDescent="0.3">
      <c r="A5" s="56">
        <v>43742</v>
      </c>
      <c r="B5" s="39" t="s">
        <v>25</v>
      </c>
      <c r="C5" s="39" t="s">
        <v>166</v>
      </c>
      <c r="D5" s="39">
        <v>19000</v>
      </c>
      <c r="E5" s="39">
        <f t="shared" si="0"/>
        <v>3000</v>
      </c>
      <c r="F5" s="39">
        <f t="shared" si="1"/>
        <v>22000</v>
      </c>
      <c r="G5" s="39" t="s">
        <v>166</v>
      </c>
      <c r="H5" s="49">
        <v>3000</v>
      </c>
    </row>
    <row r="6" spans="1:8" ht="30" customHeight="1" x14ac:dyDescent="0.3">
      <c r="A6" s="56">
        <v>43743</v>
      </c>
      <c r="B6" s="39" t="s">
        <v>26</v>
      </c>
      <c r="C6" s="39" t="s">
        <v>167</v>
      </c>
      <c r="D6" s="39">
        <v>25000</v>
      </c>
      <c r="E6" s="39">
        <f t="shared" si="0"/>
        <v>2000</v>
      </c>
      <c r="F6" s="39">
        <f t="shared" si="1"/>
        <v>27000</v>
      </c>
      <c r="G6" s="39" t="s">
        <v>167</v>
      </c>
      <c r="H6" s="49">
        <v>2000</v>
      </c>
    </row>
    <row r="7" spans="1:8" ht="30" customHeight="1" x14ac:dyDescent="0.3">
      <c r="A7" s="56">
        <v>43744</v>
      </c>
      <c r="B7" s="39" t="s">
        <v>27</v>
      </c>
      <c r="C7" s="39" t="s">
        <v>164</v>
      </c>
      <c r="D7" s="39">
        <v>22000</v>
      </c>
      <c r="E7" s="39">
        <f t="shared" si="0"/>
        <v>5000</v>
      </c>
      <c r="F7" s="39">
        <f t="shared" si="1"/>
        <v>27000</v>
      </c>
      <c r="G7"/>
    </row>
    <row r="8" spans="1:8" ht="30" customHeight="1" x14ac:dyDescent="0.3">
      <c r="A8" s="56">
        <v>43745</v>
      </c>
      <c r="B8" s="39" t="s">
        <v>28</v>
      </c>
      <c r="C8" s="39" t="s">
        <v>165</v>
      </c>
      <c r="D8" s="39">
        <v>15000</v>
      </c>
      <c r="E8" s="39">
        <f t="shared" si="0"/>
        <v>4000</v>
      </c>
      <c r="F8" s="39">
        <f t="shared" si="1"/>
        <v>19000</v>
      </c>
      <c r="G8"/>
    </row>
    <row r="9" spans="1:8" ht="30" customHeight="1" x14ac:dyDescent="0.3">
      <c r="A9" s="56">
        <v>43746</v>
      </c>
      <c r="B9" s="39" t="s">
        <v>29</v>
      </c>
      <c r="C9" s="39" t="s">
        <v>164</v>
      </c>
      <c r="D9" s="39">
        <v>35000</v>
      </c>
      <c r="E9" s="39">
        <f t="shared" si="0"/>
        <v>5000</v>
      </c>
      <c r="F9" s="39">
        <f t="shared" si="1"/>
        <v>40000</v>
      </c>
    </row>
    <row r="10" spans="1:8" ht="30" customHeight="1" x14ac:dyDescent="0.3">
      <c r="A10" s="56">
        <v>43747</v>
      </c>
      <c r="B10" s="39" t="s">
        <v>30</v>
      </c>
      <c r="C10" s="39" t="s">
        <v>167</v>
      </c>
      <c r="D10" s="39">
        <v>15000</v>
      </c>
      <c r="E10" s="39">
        <f t="shared" si="0"/>
        <v>2000</v>
      </c>
      <c r="F10" s="39">
        <f t="shared" si="1"/>
        <v>17000</v>
      </c>
    </row>
    <row r="11" spans="1:8" ht="30" customHeight="1" x14ac:dyDescent="0.3">
      <c r="A11" s="56">
        <v>43748</v>
      </c>
      <c r="B11" s="39" t="s">
        <v>31</v>
      </c>
      <c r="C11" s="39" t="s">
        <v>167</v>
      </c>
      <c r="D11" s="39">
        <v>35000</v>
      </c>
      <c r="E11" s="39">
        <f t="shared" si="0"/>
        <v>2000</v>
      </c>
      <c r="F11" s="39">
        <f t="shared" si="1"/>
        <v>37000</v>
      </c>
    </row>
    <row r="12" spans="1:8" ht="30" customHeight="1" x14ac:dyDescent="0.3">
      <c r="A12" s="56">
        <v>43749</v>
      </c>
      <c r="B12" s="39" t="s">
        <v>32</v>
      </c>
      <c r="C12" s="39" t="s">
        <v>167</v>
      </c>
      <c r="D12" s="39">
        <v>18000</v>
      </c>
      <c r="E12" s="39">
        <f t="shared" si="0"/>
        <v>2000</v>
      </c>
      <c r="F12" s="39">
        <f t="shared" si="1"/>
        <v>20000</v>
      </c>
    </row>
    <row r="13" spans="1:8" ht="30" customHeight="1" x14ac:dyDescent="0.3">
      <c r="A13" s="56">
        <v>43750</v>
      </c>
      <c r="B13" s="39" t="s">
        <v>33</v>
      </c>
      <c r="C13" s="39" t="s">
        <v>167</v>
      </c>
      <c r="D13" s="39">
        <v>21000</v>
      </c>
      <c r="E13" s="39">
        <f t="shared" si="0"/>
        <v>2000</v>
      </c>
      <c r="F13" s="39">
        <f t="shared" si="1"/>
        <v>23000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E8DC-541B-7845-AD52-A3D9AF72DE5A}">
  <dimension ref="A1:J13"/>
  <sheetViews>
    <sheetView workbookViewId="0">
      <selection activeCell="C18" sqref="C18"/>
    </sheetView>
  </sheetViews>
  <sheetFormatPr baseColWidth="10" defaultColWidth="30.83203125" defaultRowHeight="30" customHeight="1" x14ac:dyDescent="0.3"/>
  <cols>
    <col min="1" max="16384" width="30.83203125" style="49"/>
  </cols>
  <sheetData>
    <row r="1" spans="1:10" ht="30" customHeight="1" x14ac:dyDescent="0.3">
      <c r="A1" s="54" t="s">
        <v>169</v>
      </c>
      <c r="B1" s="54" t="s">
        <v>182</v>
      </c>
      <c r="C1" s="54" t="s">
        <v>183</v>
      </c>
      <c r="D1" s="54" t="s">
        <v>184</v>
      </c>
      <c r="E1" s="54" t="s">
        <v>187</v>
      </c>
      <c r="F1" s="66" t="s">
        <v>197</v>
      </c>
      <c r="G1" s="66" t="s">
        <v>196</v>
      </c>
      <c r="H1" s="66" t="s">
        <v>241</v>
      </c>
      <c r="I1" s="54" t="s">
        <v>187</v>
      </c>
      <c r="J1" s="66" t="s">
        <v>196</v>
      </c>
    </row>
    <row r="2" spans="1:10" ht="30" customHeight="1" x14ac:dyDescent="0.3">
      <c r="A2" s="39" t="s">
        <v>170</v>
      </c>
      <c r="B2" s="39" t="str">
        <f>LEFT(A2,6)</f>
        <v>Mumbai</v>
      </c>
      <c r="C2" s="39" t="str">
        <f>MID(A2,4,3)</f>
        <v>bai</v>
      </c>
      <c r="D2" s="39" t="str">
        <f>RIGHT(A2,6)</f>
        <v>400086</v>
      </c>
      <c r="E2" s="39" t="s">
        <v>170</v>
      </c>
      <c r="F2" s="39">
        <f>FIND(" ",E2,1)</f>
        <v>7</v>
      </c>
      <c r="G2" s="44" t="str">
        <f>LEFT(E2,FIND(" ",E2)-1)</f>
        <v>Mumbai</v>
      </c>
      <c r="H2" s="44" t="str">
        <f>RIGHT(E2,LEN(E2)-FIND("-",E2))</f>
        <v>400086</v>
      </c>
      <c r="I2" s="39" t="s">
        <v>198</v>
      </c>
      <c r="J2" s="44">
        <v>-400086</v>
      </c>
    </row>
    <row r="3" spans="1:10" ht="30" customHeight="1" x14ac:dyDescent="0.3">
      <c r="A3" s="39" t="s">
        <v>171</v>
      </c>
      <c r="B3" s="39" t="str">
        <f t="shared" ref="B3:B13" si="0">LEFT(A3,6)</f>
        <v>Mumbai</v>
      </c>
      <c r="C3" s="39" t="str">
        <f t="shared" ref="C3:C13" si="1">MID(A3,4,3)</f>
        <v>bai</v>
      </c>
      <c r="D3" s="39" t="str">
        <f t="shared" ref="D3:D13" si="2">RIGHT(A3,6)</f>
        <v>400087</v>
      </c>
      <c r="E3" s="39" t="s">
        <v>185</v>
      </c>
      <c r="F3" s="39">
        <f t="shared" ref="F3:F13" si="3">FIND(" ",E3,1)</f>
        <v>6</v>
      </c>
      <c r="G3" s="44" t="str">
        <f t="shared" ref="G3:G13" si="4">LEFT(E3,FIND(" ",E3)-1)</f>
        <v>Delhi</v>
      </c>
      <c r="H3" s="44" t="str">
        <f t="shared" ref="H3:H13" si="5">RIGHT(E3,LEN(E3)-FIND("-",E3))</f>
        <v>400087</v>
      </c>
      <c r="I3" s="39" t="s">
        <v>199</v>
      </c>
      <c r="J3" s="44">
        <v>-400087</v>
      </c>
    </row>
    <row r="4" spans="1:10" ht="30" customHeight="1" x14ac:dyDescent="0.3">
      <c r="A4" s="39" t="s">
        <v>172</v>
      </c>
      <c r="B4" s="39" t="str">
        <f t="shared" si="0"/>
        <v>Mumbai</v>
      </c>
      <c r="C4" s="39" t="str">
        <f t="shared" si="1"/>
        <v>bai</v>
      </c>
      <c r="D4" s="39" t="str">
        <f t="shared" si="2"/>
        <v>400088</v>
      </c>
      <c r="E4" s="39" t="s">
        <v>186</v>
      </c>
      <c r="F4" s="39">
        <f t="shared" si="3"/>
        <v>5</v>
      </c>
      <c r="G4" s="44" t="str">
        <f t="shared" si="4"/>
        <v>Pune</v>
      </c>
      <c r="H4" s="44" t="str">
        <f t="shared" si="5"/>
        <v>400088</v>
      </c>
      <c r="I4" s="39" t="s">
        <v>200</v>
      </c>
      <c r="J4" s="44">
        <v>-400088</v>
      </c>
    </row>
    <row r="5" spans="1:10" ht="30" customHeight="1" x14ac:dyDescent="0.3">
      <c r="A5" s="39" t="s">
        <v>173</v>
      </c>
      <c r="B5" s="39" t="str">
        <f t="shared" si="0"/>
        <v>Mumbai</v>
      </c>
      <c r="C5" s="39" t="str">
        <f t="shared" si="1"/>
        <v>bai</v>
      </c>
      <c r="D5" s="39" t="str">
        <f t="shared" si="2"/>
        <v>400089</v>
      </c>
      <c r="E5" s="39" t="s">
        <v>187</v>
      </c>
      <c r="F5" s="39">
        <f t="shared" si="3"/>
        <v>8</v>
      </c>
      <c r="G5" s="44" t="str">
        <f t="shared" si="4"/>
        <v>Chennai</v>
      </c>
      <c r="H5" s="44" t="str">
        <f t="shared" si="5"/>
        <v>400089</v>
      </c>
      <c r="I5" s="39" t="s">
        <v>201</v>
      </c>
      <c r="J5" s="44">
        <v>-400089</v>
      </c>
    </row>
    <row r="6" spans="1:10" ht="30" customHeight="1" x14ac:dyDescent="0.3">
      <c r="A6" s="39" t="s">
        <v>174</v>
      </c>
      <c r="B6" s="39" t="str">
        <f t="shared" si="0"/>
        <v>Mumbai</v>
      </c>
      <c r="C6" s="39" t="str">
        <f t="shared" si="1"/>
        <v>bai</v>
      </c>
      <c r="D6" s="39" t="str">
        <f t="shared" si="2"/>
        <v>400090</v>
      </c>
      <c r="E6" s="39" t="s">
        <v>188</v>
      </c>
      <c r="F6" s="39">
        <f t="shared" si="3"/>
        <v>8</v>
      </c>
      <c r="G6" s="44" t="str">
        <f t="shared" si="4"/>
        <v>Alhabad</v>
      </c>
      <c r="H6" s="44" t="str">
        <f t="shared" si="5"/>
        <v>400090</v>
      </c>
      <c r="I6" s="39" t="s">
        <v>202</v>
      </c>
      <c r="J6" s="44">
        <v>-400090</v>
      </c>
    </row>
    <row r="7" spans="1:10" ht="30" customHeight="1" x14ac:dyDescent="0.3">
      <c r="A7" s="39" t="s">
        <v>175</v>
      </c>
      <c r="B7" s="39" t="str">
        <f t="shared" si="0"/>
        <v>Mumbai</v>
      </c>
      <c r="C7" s="39" t="str">
        <f t="shared" si="1"/>
        <v>bai</v>
      </c>
      <c r="D7" s="39" t="str">
        <f t="shared" si="2"/>
        <v>400091</v>
      </c>
      <c r="E7" s="39" t="s">
        <v>189</v>
      </c>
      <c r="F7" s="39">
        <f t="shared" si="3"/>
        <v>6</v>
      </c>
      <c r="G7" s="44" t="str">
        <f t="shared" si="4"/>
        <v>Surat</v>
      </c>
      <c r="H7" s="44" t="str">
        <f t="shared" si="5"/>
        <v>400091</v>
      </c>
      <c r="I7" s="39" t="s">
        <v>203</v>
      </c>
      <c r="J7" s="44">
        <v>-400091</v>
      </c>
    </row>
    <row r="8" spans="1:10" ht="30" customHeight="1" x14ac:dyDescent="0.3">
      <c r="A8" s="39" t="s">
        <v>176</v>
      </c>
      <c r="B8" s="39" t="str">
        <f t="shared" si="0"/>
        <v>Mumbai</v>
      </c>
      <c r="C8" s="39" t="str">
        <f t="shared" si="1"/>
        <v>bai</v>
      </c>
      <c r="D8" s="39" t="str">
        <f t="shared" si="2"/>
        <v>400092</v>
      </c>
      <c r="E8" s="39" t="s">
        <v>190</v>
      </c>
      <c r="F8" s="39">
        <f t="shared" si="3"/>
        <v>10</v>
      </c>
      <c r="G8" s="44" t="str">
        <f t="shared" si="4"/>
        <v>Ahmedabad</v>
      </c>
      <c r="H8" s="44" t="str">
        <f t="shared" si="5"/>
        <v>400092</v>
      </c>
      <c r="I8" s="39" t="s">
        <v>204</v>
      </c>
      <c r="J8" s="44">
        <v>-400092</v>
      </c>
    </row>
    <row r="9" spans="1:10" ht="30" customHeight="1" x14ac:dyDescent="0.3">
      <c r="A9" s="39" t="s">
        <v>177</v>
      </c>
      <c r="B9" s="39" t="str">
        <f t="shared" si="0"/>
        <v>Mumbai</v>
      </c>
      <c r="C9" s="39" t="str">
        <f t="shared" si="1"/>
        <v>bai</v>
      </c>
      <c r="D9" s="39" t="str">
        <f t="shared" si="2"/>
        <v>400093</v>
      </c>
      <c r="E9" s="39" t="s">
        <v>191</v>
      </c>
      <c r="F9" s="39">
        <f t="shared" si="3"/>
        <v>6</v>
      </c>
      <c r="G9" s="44" t="str">
        <f t="shared" si="4"/>
        <v>Punji</v>
      </c>
      <c r="H9" s="44" t="str">
        <f t="shared" si="5"/>
        <v>400093</v>
      </c>
      <c r="I9" s="39" t="s">
        <v>205</v>
      </c>
      <c r="J9" s="44">
        <v>-400093</v>
      </c>
    </row>
    <row r="10" spans="1:10" ht="30" customHeight="1" x14ac:dyDescent="0.3">
      <c r="A10" s="39" t="s">
        <v>178</v>
      </c>
      <c r="B10" s="39" t="str">
        <f t="shared" si="0"/>
        <v>Mumbai</v>
      </c>
      <c r="C10" s="39" t="str">
        <f t="shared" si="1"/>
        <v>bai</v>
      </c>
      <c r="D10" s="39" t="str">
        <f t="shared" si="2"/>
        <v>400094</v>
      </c>
      <c r="E10" s="39" t="s">
        <v>192</v>
      </c>
      <c r="F10" s="39">
        <f t="shared" si="3"/>
        <v>7</v>
      </c>
      <c r="G10" s="44" t="str">
        <f t="shared" si="4"/>
        <v>Bhopal</v>
      </c>
      <c r="H10" s="44" t="str">
        <f t="shared" si="5"/>
        <v>400094</v>
      </c>
      <c r="I10" s="39" t="s">
        <v>206</v>
      </c>
      <c r="J10" s="44">
        <v>-400094</v>
      </c>
    </row>
    <row r="11" spans="1:10" ht="30" customHeight="1" x14ac:dyDescent="0.3">
      <c r="A11" s="39" t="s">
        <v>179</v>
      </c>
      <c r="B11" s="39" t="str">
        <f t="shared" si="0"/>
        <v>Mumbai</v>
      </c>
      <c r="C11" s="39" t="str">
        <f t="shared" si="1"/>
        <v>bai</v>
      </c>
      <c r="D11" s="39" t="str">
        <f t="shared" si="2"/>
        <v>400095</v>
      </c>
      <c r="E11" s="39" t="s">
        <v>193</v>
      </c>
      <c r="F11" s="39">
        <f t="shared" si="3"/>
        <v>7</v>
      </c>
      <c r="G11" s="44" t="str">
        <f t="shared" si="4"/>
        <v>Ranchi</v>
      </c>
      <c r="H11" s="44" t="str">
        <f t="shared" si="5"/>
        <v>400095</v>
      </c>
      <c r="I11" s="39" t="s">
        <v>207</v>
      </c>
      <c r="J11" s="44">
        <v>-400095</v>
      </c>
    </row>
    <row r="12" spans="1:10" ht="30" customHeight="1" x14ac:dyDescent="0.3">
      <c r="A12" s="39" t="s">
        <v>180</v>
      </c>
      <c r="B12" s="39" t="str">
        <f t="shared" si="0"/>
        <v>Mumbai</v>
      </c>
      <c r="C12" s="39" t="str">
        <f t="shared" si="1"/>
        <v>bai</v>
      </c>
      <c r="D12" s="39" t="str">
        <f t="shared" si="2"/>
        <v>400096</v>
      </c>
      <c r="E12" s="39" t="s">
        <v>194</v>
      </c>
      <c r="F12" s="39">
        <f t="shared" si="3"/>
        <v>9</v>
      </c>
      <c r="G12" s="44" t="str">
        <f t="shared" si="4"/>
        <v>Amrutsar</v>
      </c>
      <c r="H12" s="44" t="str">
        <f t="shared" si="5"/>
        <v>400096</v>
      </c>
      <c r="I12" s="39" t="s">
        <v>208</v>
      </c>
      <c r="J12" s="44">
        <v>-400096</v>
      </c>
    </row>
    <row r="13" spans="1:10" ht="30" customHeight="1" x14ac:dyDescent="0.3">
      <c r="A13" s="39" t="s">
        <v>181</v>
      </c>
      <c r="B13" s="39" t="str">
        <f t="shared" si="0"/>
        <v>Mumbai</v>
      </c>
      <c r="C13" s="39" t="str">
        <f t="shared" si="1"/>
        <v>bai</v>
      </c>
      <c r="D13" s="39" t="str">
        <f t="shared" si="2"/>
        <v>400097</v>
      </c>
      <c r="E13" s="39" t="s">
        <v>195</v>
      </c>
      <c r="F13" s="39">
        <f t="shared" si="3"/>
        <v>9</v>
      </c>
      <c r="G13" s="44" t="str">
        <f t="shared" si="4"/>
        <v>Kolkatta</v>
      </c>
      <c r="H13" s="44" t="str">
        <f t="shared" si="5"/>
        <v>400097</v>
      </c>
      <c r="I13" s="39" t="s">
        <v>209</v>
      </c>
      <c r="J13" s="44">
        <v>-400097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F215-D062-DC40-B4ED-3A0BB17B4A66}">
  <dimension ref="A1:C6"/>
  <sheetViews>
    <sheetView workbookViewId="0">
      <selection activeCell="H8" sqref="H8"/>
    </sheetView>
  </sheetViews>
  <sheetFormatPr baseColWidth="10" defaultRowHeight="26" x14ac:dyDescent="0.3"/>
  <cols>
    <col min="1" max="1" width="19.1640625" style="49" bestFit="1" customWidth="1"/>
    <col min="2" max="2" width="11.6640625" style="49" bestFit="1" customWidth="1"/>
    <col min="3" max="3" width="16.6640625" style="49" bestFit="1" customWidth="1"/>
    <col min="4" max="4" width="10.83203125" style="49"/>
    <col min="5" max="5" width="13.33203125" style="49" bestFit="1" customWidth="1"/>
    <col min="6" max="6" width="11.5" style="49" bestFit="1" customWidth="1"/>
    <col min="7" max="16384" width="10.83203125" style="49"/>
  </cols>
  <sheetData>
    <row r="1" spans="1:3" x14ac:dyDescent="0.3">
      <c r="A1" s="67" t="s">
        <v>210</v>
      </c>
      <c r="B1" s="67" t="s">
        <v>211</v>
      </c>
      <c r="C1" s="67" t="s">
        <v>212</v>
      </c>
    </row>
    <row r="2" spans="1:3" x14ac:dyDescent="0.3">
      <c r="A2" s="68" t="s">
        <v>51</v>
      </c>
      <c r="B2" s="39">
        <v>5</v>
      </c>
      <c r="C2" s="69" t="str">
        <f>REPT("*",B2)</f>
        <v>*****</v>
      </c>
    </row>
    <row r="3" spans="1:3" x14ac:dyDescent="0.3">
      <c r="A3" s="68" t="s">
        <v>50</v>
      </c>
      <c r="B3" s="39">
        <v>2</v>
      </c>
      <c r="C3" s="69" t="str">
        <f t="shared" ref="C3:C6" si="0">REPT("*",B3)</f>
        <v>**</v>
      </c>
    </row>
    <row r="4" spans="1:3" x14ac:dyDescent="0.3">
      <c r="A4" s="68" t="s">
        <v>213</v>
      </c>
      <c r="B4" s="39">
        <v>4</v>
      </c>
      <c r="C4" s="69" t="str">
        <f t="shared" si="0"/>
        <v>****</v>
      </c>
    </row>
    <row r="5" spans="1:3" x14ac:dyDescent="0.3">
      <c r="A5" s="68" t="s">
        <v>214</v>
      </c>
      <c r="B5" s="39">
        <v>5</v>
      </c>
      <c r="C5" s="69" t="str">
        <f t="shared" si="0"/>
        <v>*****</v>
      </c>
    </row>
    <row r="6" spans="1:3" x14ac:dyDescent="0.3">
      <c r="A6" s="68" t="s">
        <v>215</v>
      </c>
      <c r="B6" s="39">
        <v>3</v>
      </c>
      <c r="C6" s="69" t="str">
        <f t="shared" si="0"/>
        <v>***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227-98F7-E242-92FC-9E49A2F34887}">
  <dimension ref="A1:B5"/>
  <sheetViews>
    <sheetView workbookViewId="0">
      <selection activeCell="A3" sqref="A3"/>
    </sheetView>
  </sheetViews>
  <sheetFormatPr baseColWidth="10" defaultRowHeight="26" x14ac:dyDescent="0.3"/>
  <cols>
    <col min="1" max="1" width="26" style="49" bestFit="1" customWidth="1"/>
    <col min="2" max="2" width="28.1640625" style="49" bestFit="1" customWidth="1"/>
    <col min="3" max="16384" width="10.83203125" style="49"/>
  </cols>
  <sheetData>
    <row r="1" spans="1:2" x14ac:dyDescent="0.3">
      <c r="A1" s="70" t="s">
        <v>216</v>
      </c>
      <c r="B1" s="70" t="s">
        <v>217</v>
      </c>
    </row>
    <row r="2" spans="1:2" x14ac:dyDescent="0.3">
      <c r="A2" s="71" t="s">
        <v>240</v>
      </c>
      <c r="B2" s="71" t="str">
        <f>SUBSTITUTE(A2,"-","")</f>
        <v>9887127575</v>
      </c>
    </row>
    <row r="3" spans="1:2" x14ac:dyDescent="0.3">
      <c r="A3" s="71" t="s">
        <v>218</v>
      </c>
      <c r="B3" s="71" t="str">
        <f>SUBSTITUTE(A3,",","-")</f>
        <v>MUMBAI- 400086</v>
      </c>
    </row>
    <row r="4" spans="1:2" x14ac:dyDescent="0.3">
      <c r="A4" s="71" t="s">
        <v>219</v>
      </c>
      <c r="B4" s="71" t="str">
        <f>SUBSTITUTE(A4,"-","@")</f>
        <v>9812@12@12@12</v>
      </c>
    </row>
    <row r="5" spans="1:2" x14ac:dyDescent="0.3">
      <c r="A5" s="71" t="s">
        <v>220</v>
      </c>
      <c r="B5" s="71" t="str">
        <f>SUBSTITUTE(A5,",","*")</f>
        <v>DELHI*400001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3517-785D-1D41-A7A0-9B9AB01F57EE}">
  <dimension ref="A1:J37"/>
  <sheetViews>
    <sheetView topLeftCell="A5" workbookViewId="0">
      <selection activeCell="H14" sqref="H14"/>
    </sheetView>
  </sheetViews>
  <sheetFormatPr baseColWidth="10" defaultRowHeight="16" x14ac:dyDescent="0.2"/>
  <cols>
    <col min="1" max="3" width="25.83203125" customWidth="1"/>
    <col min="4" max="4" width="13.83203125" bestFit="1" customWidth="1"/>
    <col min="5" max="5" width="35.83203125" bestFit="1" customWidth="1"/>
    <col min="7" max="10" width="25.83203125" customWidth="1"/>
  </cols>
  <sheetData>
    <row r="1" spans="1:10" ht="31" x14ac:dyDescent="0.45">
      <c r="A1" s="74" t="s">
        <v>221</v>
      </c>
      <c r="B1" s="75" t="s">
        <v>222</v>
      </c>
      <c r="C1" s="76"/>
      <c r="D1" s="55"/>
      <c r="E1" s="55"/>
      <c r="G1" s="84" t="s">
        <v>232</v>
      </c>
      <c r="H1" s="74" t="s">
        <v>238</v>
      </c>
      <c r="I1" s="74" t="s">
        <v>239</v>
      </c>
      <c r="J1" s="74" t="s">
        <v>234</v>
      </c>
    </row>
    <row r="2" spans="1:10" ht="30" customHeight="1" x14ac:dyDescent="0.3">
      <c r="A2" s="55"/>
      <c r="B2" s="39" t="s">
        <v>223</v>
      </c>
      <c r="C2" s="55"/>
      <c r="D2" s="55"/>
      <c r="E2" s="77" t="s">
        <v>224</v>
      </c>
      <c r="G2" s="39">
        <v>1</v>
      </c>
      <c r="H2" s="86">
        <f>IFERROR(IPMT($C$3/12,G2,$C$5,-$C$4),"")</f>
        <v>1499.9999999999998</v>
      </c>
      <c r="I2" s="86">
        <f>PPMT($C$3/12,G2,$C$5,-$C$4)</f>
        <v>9330.9974814188317</v>
      </c>
      <c r="J2" s="86">
        <f>H2+I2</f>
        <v>10830.997481418832</v>
      </c>
    </row>
    <row r="3" spans="1:10" ht="30" customHeight="1" x14ac:dyDescent="0.3">
      <c r="A3" s="59" t="s">
        <v>225</v>
      </c>
      <c r="B3" s="39" t="s">
        <v>226</v>
      </c>
      <c r="C3" s="78">
        <v>0.15</v>
      </c>
      <c r="D3" s="39" t="s">
        <v>227</v>
      </c>
      <c r="E3" s="39" t="s">
        <v>146</v>
      </c>
      <c r="G3" s="39">
        <v>2</v>
      </c>
      <c r="H3" s="86">
        <f t="shared" ref="H3:H16" si="0">IFERROR(IPMT($C$3/12,G3,$C$5,-$C$4),"")</f>
        <v>1383.3625314822643</v>
      </c>
      <c r="I3" s="86">
        <f t="shared" ref="I3:I37" si="1">PPMT($C$3/12,G3,$C$5,-$C$4)</f>
        <v>9447.6349499365679</v>
      </c>
      <c r="J3" s="86">
        <f t="shared" ref="J3:J37" si="2">H3+I3</f>
        <v>10830.997481418832</v>
      </c>
    </row>
    <row r="4" spans="1:10" ht="30" customHeight="1" x14ac:dyDescent="0.3">
      <c r="A4" s="55"/>
      <c r="B4" s="59" t="s">
        <v>228</v>
      </c>
      <c r="C4" s="39">
        <v>120000</v>
      </c>
      <c r="D4" s="79" t="s">
        <v>229</v>
      </c>
      <c r="E4" s="39" t="s">
        <v>230</v>
      </c>
      <c r="G4" s="39">
        <v>3</v>
      </c>
      <c r="H4" s="86">
        <f t="shared" si="0"/>
        <v>1265.2670946080571</v>
      </c>
      <c r="I4" s="86">
        <f t="shared" si="1"/>
        <v>9565.7303868107756</v>
      </c>
      <c r="J4" s="86">
        <f t="shared" si="2"/>
        <v>10830.997481418832</v>
      </c>
    </row>
    <row r="5" spans="1:10" ht="30" customHeight="1" x14ac:dyDescent="0.3">
      <c r="A5" s="55"/>
      <c r="B5" s="59" t="s">
        <v>231</v>
      </c>
      <c r="C5" s="39">
        <v>12</v>
      </c>
      <c r="D5" s="79" t="s">
        <v>232</v>
      </c>
      <c r="E5" s="39" t="s">
        <v>233</v>
      </c>
      <c r="G5" s="39">
        <v>4</v>
      </c>
      <c r="H5" s="86">
        <f t="shared" si="0"/>
        <v>1145.6954647729226</v>
      </c>
      <c r="I5" s="86">
        <f t="shared" si="1"/>
        <v>9685.30201664591</v>
      </c>
      <c r="J5" s="86">
        <f t="shared" si="2"/>
        <v>10830.997481418832</v>
      </c>
    </row>
    <row r="6" spans="1:10" ht="30" customHeight="1" x14ac:dyDescent="0.3">
      <c r="A6" s="55"/>
      <c r="B6" s="55"/>
      <c r="C6" s="39"/>
      <c r="D6" s="55"/>
      <c r="E6" s="55"/>
      <c r="G6" s="39">
        <v>5</v>
      </c>
      <c r="H6" s="86">
        <f t="shared" si="0"/>
        <v>1024.6291895648487</v>
      </c>
      <c r="I6" s="86">
        <f t="shared" si="1"/>
        <v>9806.3682918539853</v>
      </c>
      <c r="J6" s="86">
        <f t="shared" si="2"/>
        <v>10830.997481418834</v>
      </c>
    </row>
    <row r="7" spans="1:10" ht="30" customHeight="1" x14ac:dyDescent="0.3">
      <c r="A7" s="39" t="s">
        <v>221</v>
      </c>
      <c r="B7" s="59" t="s">
        <v>234</v>
      </c>
      <c r="C7" s="80">
        <f>PMT(C3/12,C5,-C4)</f>
        <v>10830.997481418832</v>
      </c>
      <c r="D7" s="55"/>
      <c r="E7" s="55"/>
      <c r="G7" s="39">
        <v>6</v>
      </c>
      <c r="H7" s="86">
        <f t="shared" si="0"/>
        <v>902.04958591667412</v>
      </c>
      <c r="I7" s="86">
        <f t="shared" si="1"/>
        <v>9928.9478955021586</v>
      </c>
      <c r="J7" s="86">
        <f t="shared" si="2"/>
        <v>10830.997481418834</v>
      </c>
    </row>
    <row r="8" spans="1:10" ht="30" customHeight="1" x14ac:dyDescent="0.3">
      <c r="A8" s="39" t="s">
        <v>235</v>
      </c>
      <c r="B8" s="59" t="s">
        <v>236</v>
      </c>
      <c r="C8" s="82">
        <f>120000</f>
        <v>120000</v>
      </c>
      <c r="D8" s="55"/>
      <c r="E8" s="81"/>
      <c r="G8" s="39">
        <v>7</v>
      </c>
      <c r="H8" s="86">
        <f t="shared" si="0"/>
        <v>777.93773722289711</v>
      </c>
      <c r="I8" s="86">
        <f t="shared" si="1"/>
        <v>10053.059744195934</v>
      </c>
      <c r="J8" s="86">
        <f t="shared" si="2"/>
        <v>10830.997481418832</v>
      </c>
    </row>
    <row r="9" spans="1:10" ht="30" customHeight="1" x14ac:dyDescent="0.3">
      <c r="A9" s="39" t="s">
        <v>2</v>
      </c>
      <c r="B9" s="59" t="s">
        <v>237</v>
      </c>
      <c r="C9" s="82">
        <f>C8-C4</f>
        <v>0</v>
      </c>
      <c r="D9" s="55"/>
      <c r="E9" s="83"/>
      <c r="G9" s="39">
        <v>8</v>
      </c>
      <c r="H9" s="86">
        <f t="shared" si="0"/>
        <v>652.27449042044782</v>
      </c>
      <c r="I9" s="86">
        <f t="shared" si="1"/>
        <v>10178.722990998383</v>
      </c>
      <c r="J9" s="86">
        <f t="shared" si="2"/>
        <v>10830.997481418832</v>
      </c>
    </row>
    <row r="10" spans="1:10" ht="26" x14ac:dyDescent="0.3">
      <c r="E10" s="85"/>
      <c r="G10" s="39">
        <v>9</v>
      </c>
      <c r="H10" s="86">
        <f t="shared" si="0"/>
        <v>525.04045303296812</v>
      </c>
      <c r="I10" s="86">
        <f t="shared" si="1"/>
        <v>10305.957028385863</v>
      </c>
      <c r="J10" s="86">
        <f t="shared" si="2"/>
        <v>10830.997481418832</v>
      </c>
    </row>
    <row r="11" spans="1:10" ht="26" x14ac:dyDescent="0.3">
      <c r="E11" s="85"/>
      <c r="G11" s="39">
        <v>10</v>
      </c>
      <c r="H11" s="86">
        <f t="shared" si="0"/>
        <v>396.21599017814486</v>
      </c>
      <c r="I11" s="86">
        <f t="shared" si="1"/>
        <v>10434.781491240688</v>
      </c>
      <c r="J11" s="86">
        <f t="shared" si="2"/>
        <v>10830.997481418834</v>
      </c>
    </row>
    <row r="12" spans="1:10" ht="26" x14ac:dyDescent="0.3">
      <c r="G12" s="39">
        <v>11</v>
      </c>
      <c r="H12" s="86">
        <f t="shared" si="0"/>
        <v>265.78122153763627</v>
      </c>
      <c r="I12" s="86">
        <f t="shared" si="1"/>
        <v>10565.216259881197</v>
      </c>
      <c r="J12" s="86">
        <f t="shared" si="2"/>
        <v>10830.997481418834</v>
      </c>
    </row>
    <row r="13" spans="1:10" ht="26" x14ac:dyDescent="0.3">
      <c r="G13" s="39">
        <v>12</v>
      </c>
      <c r="H13" s="86">
        <f t="shared" si="0"/>
        <v>133.71601828912137</v>
      </c>
      <c r="I13" s="86">
        <f t="shared" si="1"/>
        <v>10697.281463129711</v>
      </c>
      <c r="J13" s="86">
        <f t="shared" si="2"/>
        <v>10830.997481418834</v>
      </c>
    </row>
    <row r="14" spans="1:10" ht="26" x14ac:dyDescent="0.3">
      <c r="C14" s="85">
        <f>FV(C3/12,C5,-C7)</f>
        <v>139290.54212675971</v>
      </c>
      <c r="G14" s="39">
        <v>13</v>
      </c>
      <c r="H14" s="86" t="str">
        <f>IFERROR(IPMT($C$3/12,G14,$C$5,-$C$4),"")</f>
        <v/>
      </c>
      <c r="I14" s="86" t="e">
        <f t="shared" si="1"/>
        <v>#NUM!</v>
      </c>
      <c r="J14" s="86" t="e">
        <f t="shared" si="2"/>
        <v>#VALUE!</v>
      </c>
    </row>
    <row r="15" spans="1:10" ht="26" x14ac:dyDescent="0.3">
      <c r="C15">
        <f>C7*C5</f>
        <v>129971.96977702598</v>
      </c>
      <c r="G15" s="39">
        <v>14</v>
      </c>
      <c r="H15" s="86" t="str">
        <f t="shared" si="0"/>
        <v/>
      </c>
      <c r="I15" s="86" t="e">
        <f t="shared" si="1"/>
        <v>#NUM!</v>
      </c>
      <c r="J15" s="86" t="e">
        <f t="shared" si="2"/>
        <v>#VALUE!</v>
      </c>
    </row>
    <row r="16" spans="1:10" ht="26" x14ac:dyDescent="0.3">
      <c r="G16" s="39">
        <v>15</v>
      </c>
      <c r="H16" s="86" t="str">
        <f t="shared" si="0"/>
        <v/>
      </c>
      <c r="I16" s="86" t="e">
        <f t="shared" si="1"/>
        <v>#NUM!</v>
      </c>
      <c r="J16" s="86" t="e">
        <f t="shared" si="2"/>
        <v>#VALUE!</v>
      </c>
    </row>
    <row r="17" spans="7:10" ht="26" x14ac:dyDescent="0.3">
      <c r="G17" s="39">
        <v>16</v>
      </c>
      <c r="H17" s="86" t="e">
        <f t="shared" ref="H3:H37" si="3">IPMT($C$3/12,G17,$C$5,-$C$4)</f>
        <v>#NUM!</v>
      </c>
      <c r="I17" s="86" t="e">
        <f t="shared" si="1"/>
        <v>#NUM!</v>
      </c>
      <c r="J17" s="86" t="e">
        <f t="shared" si="2"/>
        <v>#NUM!</v>
      </c>
    </row>
    <row r="18" spans="7:10" ht="26" x14ac:dyDescent="0.3">
      <c r="G18" s="39">
        <v>17</v>
      </c>
      <c r="H18" s="86" t="e">
        <f t="shared" si="3"/>
        <v>#NUM!</v>
      </c>
      <c r="I18" s="86" t="e">
        <f t="shared" si="1"/>
        <v>#NUM!</v>
      </c>
      <c r="J18" s="86" t="e">
        <f t="shared" si="2"/>
        <v>#NUM!</v>
      </c>
    </row>
    <row r="19" spans="7:10" ht="26" x14ac:dyDescent="0.3">
      <c r="G19" s="39">
        <v>18</v>
      </c>
      <c r="H19" s="86" t="e">
        <f t="shared" si="3"/>
        <v>#NUM!</v>
      </c>
      <c r="I19" s="86" t="e">
        <f t="shared" si="1"/>
        <v>#NUM!</v>
      </c>
      <c r="J19" s="86" t="e">
        <f t="shared" si="2"/>
        <v>#NUM!</v>
      </c>
    </row>
    <row r="20" spans="7:10" ht="26" x14ac:dyDescent="0.3">
      <c r="G20" s="39">
        <v>19</v>
      </c>
      <c r="H20" s="86" t="e">
        <f t="shared" si="3"/>
        <v>#NUM!</v>
      </c>
      <c r="I20" s="86" t="e">
        <f t="shared" si="1"/>
        <v>#NUM!</v>
      </c>
      <c r="J20" s="86" t="e">
        <f t="shared" si="2"/>
        <v>#NUM!</v>
      </c>
    </row>
    <row r="21" spans="7:10" ht="26" x14ac:dyDescent="0.3">
      <c r="G21" s="39">
        <v>20</v>
      </c>
      <c r="H21" s="86" t="e">
        <f t="shared" si="3"/>
        <v>#NUM!</v>
      </c>
      <c r="I21" s="86" t="e">
        <f t="shared" si="1"/>
        <v>#NUM!</v>
      </c>
      <c r="J21" s="86" t="e">
        <f t="shared" si="2"/>
        <v>#NUM!</v>
      </c>
    </row>
    <row r="22" spans="7:10" ht="26" x14ac:dyDescent="0.3">
      <c r="G22" s="39">
        <v>21</v>
      </c>
      <c r="H22" s="86" t="e">
        <f t="shared" si="3"/>
        <v>#NUM!</v>
      </c>
      <c r="I22" s="86" t="e">
        <f t="shared" si="1"/>
        <v>#NUM!</v>
      </c>
      <c r="J22" s="86" t="e">
        <f t="shared" si="2"/>
        <v>#NUM!</v>
      </c>
    </row>
    <row r="23" spans="7:10" ht="26" x14ac:dyDescent="0.3">
      <c r="G23" s="39">
        <v>22</v>
      </c>
      <c r="H23" s="86" t="e">
        <f t="shared" si="3"/>
        <v>#NUM!</v>
      </c>
      <c r="I23" s="86" t="e">
        <f t="shared" si="1"/>
        <v>#NUM!</v>
      </c>
      <c r="J23" s="86" t="e">
        <f t="shared" si="2"/>
        <v>#NUM!</v>
      </c>
    </row>
    <row r="24" spans="7:10" ht="26" x14ac:dyDescent="0.3">
      <c r="G24" s="39">
        <v>23</v>
      </c>
      <c r="H24" s="86" t="e">
        <f t="shared" si="3"/>
        <v>#NUM!</v>
      </c>
      <c r="I24" s="86" t="e">
        <f t="shared" si="1"/>
        <v>#NUM!</v>
      </c>
      <c r="J24" s="86" t="e">
        <f t="shared" si="2"/>
        <v>#NUM!</v>
      </c>
    </row>
    <row r="25" spans="7:10" ht="26" x14ac:dyDescent="0.3">
      <c r="G25" s="39">
        <v>24</v>
      </c>
      <c r="H25" s="86" t="e">
        <f t="shared" si="3"/>
        <v>#NUM!</v>
      </c>
      <c r="I25" s="86" t="e">
        <f t="shared" si="1"/>
        <v>#NUM!</v>
      </c>
      <c r="J25" s="86" t="e">
        <f t="shared" si="2"/>
        <v>#NUM!</v>
      </c>
    </row>
    <row r="26" spans="7:10" ht="26" x14ac:dyDescent="0.3">
      <c r="G26" s="39">
        <v>25</v>
      </c>
      <c r="H26" s="86" t="e">
        <f t="shared" si="3"/>
        <v>#NUM!</v>
      </c>
      <c r="I26" s="86" t="e">
        <f t="shared" si="1"/>
        <v>#NUM!</v>
      </c>
      <c r="J26" s="86" t="e">
        <f t="shared" si="2"/>
        <v>#NUM!</v>
      </c>
    </row>
    <row r="27" spans="7:10" ht="26" x14ac:dyDescent="0.3">
      <c r="G27" s="39">
        <v>26</v>
      </c>
      <c r="H27" s="86" t="e">
        <f t="shared" si="3"/>
        <v>#NUM!</v>
      </c>
      <c r="I27" s="86" t="e">
        <f t="shared" si="1"/>
        <v>#NUM!</v>
      </c>
      <c r="J27" s="86" t="e">
        <f t="shared" si="2"/>
        <v>#NUM!</v>
      </c>
    </row>
    <row r="28" spans="7:10" ht="26" x14ac:dyDescent="0.3">
      <c r="G28" s="39">
        <v>27</v>
      </c>
      <c r="H28" s="86" t="e">
        <f t="shared" si="3"/>
        <v>#NUM!</v>
      </c>
      <c r="I28" s="86" t="e">
        <f t="shared" si="1"/>
        <v>#NUM!</v>
      </c>
      <c r="J28" s="86" t="e">
        <f t="shared" si="2"/>
        <v>#NUM!</v>
      </c>
    </row>
    <row r="29" spans="7:10" ht="26" x14ac:dyDescent="0.3">
      <c r="G29" s="39">
        <v>28</v>
      </c>
      <c r="H29" s="86" t="e">
        <f t="shared" si="3"/>
        <v>#NUM!</v>
      </c>
      <c r="I29" s="86" t="e">
        <f t="shared" si="1"/>
        <v>#NUM!</v>
      </c>
      <c r="J29" s="86" t="e">
        <f t="shared" si="2"/>
        <v>#NUM!</v>
      </c>
    </row>
    <row r="30" spans="7:10" ht="26" x14ac:dyDescent="0.3">
      <c r="G30" s="39">
        <v>29</v>
      </c>
      <c r="H30" s="86" t="e">
        <f t="shared" si="3"/>
        <v>#NUM!</v>
      </c>
      <c r="I30" s="86" t="e">
        <f t="shared" si="1"/>
        <v>#NUM!</v>
      </c>
      <c r="J30" s="86" t="e">
        <f t="shared" si="2"/>
        <v>#NUM!</v>
      </c>
    </row>
    <row r="31" spans="7:10" ht="26" x14ac:dyDescent="0.3">
      <c r="G31" s="39">
        <v>30</v>
      </c>
      <c r="H31" s="86" t="e">
        <f t="shared" si="3"/>
        <v>#NUM!</v>
      </c>
      <c r="I31" s="86" t="e">
        <f t="shared" si="1"/>
        <v>#NUM!</v>
      </c>
      <c r="J31" s="86" t="e">
        <f t="shared" si="2"/>
        <v>#NUM!</v>
      </c>
    </row>
    <row r="32" spans="7:10" ht="26" x14ac:dyDescent="0.3">
      <c r="G32" s="39">
        <v>31</v>
      </c>
      <c r="H32" s="86" t="e">
        <f t="shared" si="3"/>
        <v>#NUM!</v>
      </c>
      <c r="I32" s="86" t="e">
        <f t="shared" si="1"/>
        <v>#NUM!</v>
      </c>
      <c r="J32" s="86" t="e">
        <f t="shared" si="2"/>
        <v>#NUM!</v>
      </c>
    </row>
    <row r="33" spans="7:10" ht="26" x14ac:dyDescent="0.3">
      <c r="G33" s="39">
        <v>32</v>
      </c>
      <c r="H33" s="86" t="e">
        <f t="shared" si="3"/>
        <v>#NUM!</v>
      </c>
      <c r="I33" s="86" t="e">
        <f t="shared" si="1"/>
        <v>#NUM!</v>
      </c>
      <c r="J33" s="86" t="e">
        <f t="shared" si="2"/>
        <v>#NUM!</v>
      </c>
    </row>
    <row r="34" spans="7:10" ht="26" x14ac:dyDescent="0.3">
      <c r="G34" s="39">
        <v>33</v>
      </c>
      <c r="H34" s="86" t="e">
        <f t="shared" si="3"/>
        <v>#NUM!</v>
      </c>
      <c r="I34" s="86" t="e">
        <f t="shared" si="1"/>
        <v>#NUM!</v>
      </c>
      <c r="J34" s="86" t="e">
        <f t="shared" si="2"/>
        <v>#NUM!</v>
      </c>
    </row>
    <row r="35" spans="7:10" ht="26" x14ac:dyDescent="0.3">
      <c r="G35" s="39">
        <v>34</v>
      </c>
      <c r="H35" s="86" t="e">
        <f t="shared" si="3"/>
        <v>#NUM!</v>
      </c>
      <c r="I35" s="86" t="e">
        <f t="shared" si="1"/>
        <v>#NUM!</v>
      </c>
      <c r="J35" s="86" t="e">
        <f t="shared" si="2"/>
        <v>#NUM!</v>
      </c>
    </row>
    <row r="36" spans="7:10" ht="26" x14ac:dyDescent="0.3">
      <c r="G36" s="39">
        <v>35</v>
      </c>
      <c r="H36" s="86" t="e">
        <f t="shared" si="3"/>
        <v>#NUM!</v>
      </c>
      <c r="I36" s="86" t="e">
        <f t="shared" si="1"/>
        <v>#NUM!</v>
      </c>
      <c r="J36" s="86" t="e">
        <f t="shared" si="2"/>
        <v>#NUM!</v>
      </c>
    </row>
    <row r="37" spans="7:10" ht="26" x14ac:dyDescent="0.3">
      <c r="G37" s="39">
        <v>36</v>
      </c>
      <c r="H37" s="86" t="e">
        <f t="shared" si="3"/>
        <v>#NUM!</v>
      </c>
      <c r="I37" s="86" t="e">
        <f t="shared" si="1"/>
        <v>#NUM!</v>
      </c>
      <c r="J37" s="86" t="e">
        <f t="shared" si="2"/>
        <v>#NUM!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FREQUENCY</vt:lpstr>
      <vt:lpstr>INDEX &amp; MATCH</vt:lpstr>
      <vt:lpstr>LOOKUP</vt:lpstr>
      <vt:lpstr>VLOOKUP</vt:lpstr>
      <vt:lpstr>HLOOKUP</vt:lpstr>
      <vt:lpstr>SUMIF</vt:lpstr>
      <vt:lpstr>SUMIFS</vt:lpstr>
      <vt:lpstr>COUNTIF</vt:lpstr>
      <vt:lpstr>COUNTIFS</vt:lpstr>
      <vt:lpstr>COUNTA &amp; COUNT BLANK</vt:lpstr>
      <vt:lpstr>AVERAGE IF &amp; AVERAGE IFS</vt:lpstr>
      <vt:lpstr>SUBTOTAL</vt:lpstr>
      <vt:lpstr>SUMPRODUCT</vt:lpstr>
      <vt:lpstr>IF FORMULA</vt:lpstr>
      <vt:lpstr>IF AND IF OR</vt:lpstr>
      <vt:lpstr>NESTED IF</vt:lpstr>
      <vt:lpstr>LEFT,MID,RIGHT,FIND</vt:lpstr>
      <vt:lpstr>REPEAT</vt:lpstr>
      <vt:lpstr>SUBSTITUTE</vt:lpstr>
      <vt:lpstr>PMT,IPMT,PPMT,PV,FV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2022-10-06T02:01:40Z</dcterms:created>
  <dcterms:modified xsi:type="dcterms:W3CDTF">2022-10-14T13:50:10Z</dcterms:modified>
</cp:coreProperties>
</file>