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680" yWindow="1680" windowWidth="20730" windowHeight="11760" tabRatio="500" activeTab="5"/>
  </bookViews>
  <sheets>
    <sheet name="PRM_Summary" sheetId="7" r:id="rId1"/>
    <sheet name="PRM70ND" sheetId="3" r:id="rId2"/>
    <sheet name="PRMallND" sheetId="4" r:id="rId3"/>
    <sheet name="PRM70all" sheetId="5" r:id="rId4"/>
    <sheet name="PRMallall" sheetId="6" r:id="rId5"/>
    <sheet name="rawdata" sheetId="1" r:id="rId6"/>
    <sheet name="sourcedata" sheetId="2"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8" i="3" l="1"/>
  <c r="E7" i="3"/>
  <c r="E9" i="3"/>
  <c r="E13" i="7"/>
  <c r="B7" i="3"/>
  <c r="E12" i="7"/>
  <c r="B8" i="3"/>
  <c r="E11" i="7"/>
  <c r="B6" i="3"/>
  <c r="E10" i="7"/>
  <c r="B5" i="3"/>
  <c r="E9" i="7"/>
  <c r="G2" i="3" a="1"/>
  <c r="G2" i="3"/>
  <c r="H5" i="3"/>
  <c r="H7" i="3"/>
  <c r="G3" i="3"/>
  <c r="H8" i="3"/>
  <c r="H9" i="3"/>
  <c r="H12" i="3"/>
  <c r="H11" i="3"/>
  <c r="H14" i="3"/>
  <c r="H10" i="3"/>
  <c r="H13" i="3"/>
  <c r="H15" i="3"/>
  <c r="H16" i="3"/>
  <c r="E5" i="7"/>
  <c r="H17" i="3"/>
  <c r="H18" i="3"/>
  <c r="H19" i="3"/>
  <c r="H22" i="3"/>
  <c r="H21" i="3"/>
  <c r="H24" i="3"/>
  <c r="H20" i="3"/>
  <c r="H23" i="3"/>
  <c r="H25" i="3"/>
  <c r="H26" i="3"/>
  <c r="E6" i="7"/>
  <c r="E7" i="7"/>
  <c r="G1" i="3"/>
  <c r="E2" i="7"/>
  <c r="E8" i="7"/>
  <c r="G4" i="3"/>
  <c r="H1" i="3"/>
  <c r="E4" i="7"/>
  <c r="B10" i="3"/>
  <c r="E3" i="7"/>
  <c r="E9" i="5"/>
  <c r="E8" i="5"/>
  <c r="E10" i="5"/>
  <c r="D13" i="7"/>
  <c r="B8" i="5"/>
  <c r="D12" i="7"/>
  <c r="B9" i="5"/>
  <c r="D11" i="7"/>
  <c r="B7" i="5"/>
  <c r="D10" i="7"/>
  <c r="B6" i="5"/>
  <c r="D9" i="7"/>
  <c r="G2" i="5" a="1"/>
  <c r="G2" i="5"/>
  <c r="H5" i="5"/>
  <c r="H7" i="5"/>
  <c r="G3" i="5"/>
  <c r="H8" i="5"/>
  <c r="H9" i="5"/>
  <c r="H12" i="5"/>
  <c r="H11" i="5"/>
  <c r="H14" i="5"/>
  <c r="H10" i="5"/>
  <c r="H13" i="5"/>
  <c r="H15" i="5"/>
  <c r="H16" i="5"/>
  <c r="D5" i="7"/>
  <c r="H17" i="5"/>
  <c r="H18" i="5"/>
  <c r="H19" i="5"/>
  <c r="H22" i="5"/>
  <c r="H21" i="5"/>
  <c r="H24" i="5"/>
  <c r="H20" i="5"/>
  <c r="H23" i="5"/>
  <c r="H25" i="5"/>
  <c r="H26" i="5"/>
  <c r="D6" i="7"/>
  <c r="D7" i="7"/>
  <c r="G1" i="5"/>
  <c r="D2" i="7"/>
  <c r="D8" i="7"/>
  <c r="G4" i="5"/>
  <c r="H1" i="5"/>
  <c r="D4" i="7"/>
  <c r="B11" i="5"/>
  <c r="D3" i="7"/>
  <c r="E11" i="4"/>
  <c r="E10" i="4"/>
  <c r="E12" i="4"/>
  <c r="C13" i="7"/>
  <c r="B10" i="4"/>
  <c r="C12" i="7"/>
  <c r="B11" i="4"/>
  <c r="C11" i="7"/>
  <c r="B9" i="4"/>
  <c r="C10" i="7"/>
  <c r="B8" i="4"/>
  <c r="C9" i="7"/>
  <c r="G2" i="4" a="1"/>
  <c r="G2" i="4"/>
  <c r="H5" i="4"/>
  <c r="H7" i="4"/>
  <c r="G3" i="4"/>
  <c r="H8" i="4"/>
  <c r="H9" i="4"/>
  <c r="H12" i="4"/>
  <c r="H11" i="4"/>
  <c r="H14" i="4"/>
  <c r="H10" i="4"/>
  <c r="H13" i="4"/>
  <c r="H15" i="4"/>
  <c r="H16" i="4"/>
  <c r="C5" i="7"/>
  <c r="H17" i="4"/>
  <c r="H18" i="4"/>
  <c r="H19" i="4"/>
  <c r="H22" i="4"/>
  <c r="H21" i="4"/>
  <c r="H24" i="4"/>
  <c r="H20" i="4"/>
  <c r="H23" i="4"/>
  <c r="H25" i="4"/>
  <c r="H26" i="4"/>
  <c r="C6" i="7"/>
  <c r="C7" i="7"/>
  <c r="G1" i="4"/>
  <c r="C2" i="7"/>
  <c r="C8" i="7"/>
  <c r="G4" i="4"/>
  <c r="H1" i="4"/>
  <c r="C4" i="7"/>
  <c r="B13" i="4"/>
  <c r="C3" i="7"/>
  <c r="E13" i="6"/>
  <c r="E12" i="6"/>
  <c r="E14" i="6"/>
  <c r="B13" i="7"/>
  <c r="B12" i="6"/>
  <c r="B12" i="7"/>
  <c r="B13" i="6"/>
  <c r="B11" i="7"/>
  <c r="B11" i="6"/>
  <c r="B10" i="7"/>
  <c r="B10" i="6"/>
  <c r="B9" i="7"/>
  <c r="G2" i="6" a="1"/>
  <c r="G2" i="6"/>
  <c r="H5" i="6"/>
  <c r="H7" i="6"/>
  <c r="G3" i="6"/>
  <c r="H8" i="6"/>
  <c r="H9" i="6"/>
  <c r="H12" i="6"/>
  <c r="H11" i="6"/>
  <c r="H14" i="6"/>
  <c r="H10" i="6"/>
  <c r="H13" i="6"/>
  <c r="H15" i="6"/>
  <c r="H16" i="6"/>
  <c r="B5" i="7"/>
  <c r="H17" i="6"/>
  <c r="H18" i="6"/>
  <c r="H19" i="6"/>
  <c r="H22" i="6"/>
  <c r="H21" i="6"/>
  <c r="H24" i="6"/>
  <c r="H20" i="6"/>
  <c r="H23" i="6"/>
  <c r="H25" i="6"/>
  <c r="H26" i="6"/>
  <c r="B6" i="7"/>
  <c r="B7" i="7"/>
  <c r="G1" i="6"/>
  <c r="B2" i="7"/>
  <c r="B8" i="7"/>
  <c r="G4" i="6"/>
  <c r="H1" i="6"/>
  <c r="B4" i="7"/>
  <c r="B15" i="6"/>
  <c r="B3" i="7"/>
  <c r="F13" i="6"/>
  <c r="F12" i="6"/>
  <c r="F14" i="6"/>
  <c r="F11" i="6"/>
  <c r="F10" i="6"/>
  <c r="E11" i="6"/>
  <c r="E10" i="6"/>
  <c r="D13" i="6"/>
  <c r="D12" i="6"/>
  <c r="D14" i="6"/>
  <c r="D11" i="6"/>
  <c r="D10" i="6"/>
  <c r="C13" i="6"/>
  <c r="C12" i="6"/>
  <c r="C14" i="6"/>
  <c r="C11" i="6"/>
  <c r="C10" i="6"/>
  <c r="B14" i="6"/>
  <c r="AI2" i="6" a="1"/>
  <c r="AI2" i="6"/>
  <c r="AJ5" i="6"/>
  <c r="AJ17" i="6"/>
  <c r="AI3" i="6"/>
  <c r="AJ18" i="6"/>
  <c r="AJ19" i="6"/>
  <c r="AJ22" i="6"/>
  <c r="AJ21" i="6"/>
  <c r="AJ24" i="6"/>
  <c r="AJ20" i="6"/>
  <c r="AJ23" i="6"/>
  <c r="AJ25" i="6"/>
  <c r="AJ26" i="6"/>
  <c r="AJ7" i="6"/>
  <c r="AJ8" i="6"/>
  <c r="AJ9" i="6"/>
  <c r="AJ12" i="6"/>
  <c r="AJ11" i="6"/>
  <c r="AJ14" i="6"/>
  <c r="AJ10" i="6"/>
  <c r="AJ13" i="6"/>
  <c r="AJ15" i="6"/>
  <c r="AJ16" i="6"/>
  <c r="AM2" i="6" a="1"/>
  <c r="AM4" i="6"/>
  <c r="AN1" i="6"/>
  <c r="AM2" i="6"/>
  <c r="AM1" i="6"/>
  <c r="AN2" i="6"/>
  <c r="AM3" i="6"/>
  <c r="AN3" i="6"/>
  <c r="AN4" i="6"/>
  <c r="AM5" i="6"/>
  <c r="AN5" i="6"/>
  <c r="AM6" i="6"/>
  <c r="AN6" i="6"/>
  <c r="AE2" i="6" a="1"/>
  <c r="AE2" i="6"/>
  <c r="AF5" i="6"/>
  <c r="AF17" i="6"/>
  <c r="AE3" i="6"/>
  <c r="AF18" i="6"/>
  <c r="AF19" i="6"/>
  <c r="AF22" i="6"/>
  <c r="AF21" i="6"/>
  <c r="AF24" i="6"/>
  <c r="AF20" i="6"/>
  <c r="AF23" i="6"/>
  <c r="AF25" i="6"/>
  <c r="AF26" i="6"/>
  <c r="AF7" i="6"/>
  <c r="AF8" i="6"/>
  <c r="AF9" i="6"/>
  <c r="AF12" i="6"/>
  <c r="AF11" i="6"/>
  <c r="AF14" i="6"/>
  <c r="AF10" i="6"/>
  <c r="AF13" i="6"/>
  <c r="AF15" i="6"/>
  <c r="AF16" i="6"/>
  <c r="AI4" i="6"/>
  <c r="AJ1" i="6"/>
  <c r="AI1" i="6"/>
  <c r="AJ2" i="6"/>
  <c r="AJ3" i="6"/>
  <c r="AJ4" i="6"/>
  <c r="AI5" i="6"/>
  <c r="AI6" i="6"/>
  <c r="AJ6" i="6"/>
  <c r="AA2" i="6" a="1"/>
  <c r="AA2" i="6"/>
  <c r="AB5" i="6"/>
  <c r="AB17" i="6"/>
  <c r="AA3" i="6"/>
  <c r="AB18" i="6"/>
  <c r="AB19" i="6"/>
  <c r="AB22" i="6"/>
  <c r="AB21" i="6"/>
  <c r="AB24" i="6"/>
  <c r="AB20" i="6"/>
  <c r="AB23" i="6"/>
  <c r="AB25" i="6"/>
  <c r="AB26" i="6"/>
  <c r="AB7" i="6"/>
  <c r="AB8" i="6"/>
  <c r="AB9" i="6"/>
  <c r="AB12" i="6"/>
  <c r="AB11" i="6"/>
  <c r="AB14" i="6"/>
  <c r="AB10" i="6"/>
  <c r="AB13" i="6"/>
  <c r="AB15" i="6"/>
  <c r="AB16" i="6"/>
  <c r="AE4" i="6"/>
  <c r="AF1" i="6"/>
  <c r="AE1" i="6"/>
  <c r="AF2" i="6"/>
  <c r="AF3" i="6"/>
  <c r="AF4" i="6"/>
  <c r="AE5" i="6"/>
  <c r="AE6" i="6"/>
  <c r="AF6" i="6"/>
  <c r="W2" i="6" a="1"/>
  <c r="W2" i="6"/>
  <c r="X5" i="6"/>
  <c r="X17" i="6"/>
  <c r="W3" i="6"/>
  <c r="X18" i="6"/>
  <c r="X19" i="6"/>
  <c r="X22" i="6"/>
  <c r="X21" i="6"/>
  <c r="X24" i="6"/>
  <c r="X20" i="6"/>
  <c r="X23" i="6"/>
  <c r="X25" i="6"/>
  <c r="X26" i="6"/>
  <c r="X7" i="6"/>
  <c r="X8" i="6"/>
  <c r="X9" i="6"/>
  <c r="X12" i="6"/>
  <c r="X11" i="6"/>
  <c r="X14" i="6"/>
  <c r="X10" i="6"/>
  <c r="X13" i="6"/>
  <c r="X15" i="6"/>
  <c r="X16" i="6"/>
  <c r="AA4" i="6"/>
  <c r="AB1" i="6"/>
  <c r="AA1" i="6"/>
  <c r="AB2" i="6"/>
  <c r="AB3" i="6"/>
  <c r="AB4" i="6"/>
  <c r="AA5" i="6"/>
  <c r="AA6" i="6"/>
  <c r="AB6" i="6"/>
  <c r="S2" i="6" a="1"/>
  <c r="S2" i="6"/>
  <c r="T5" i="6"/>
  <c r="T17" i="6"/>
  <c r="S3" i="6"/>
  <c r="T18" i="6"/>
  <c r="T19" i="6"/>
  <c r="T22" i="6"/>
  <c r="T21" i="6"/>
  <c r="T24" i="6"/>
  <c r="T20" i="6"/>
  <c r="T23" i="6"/>
  <c r="T25" i="6"/>
  <c r="T26" i="6"/>
  <c r="T7" i="6"/>
  <c r="T8" i="6"/>
  <c r="T9" i="6"/>
  <c r="T12" i="6"/>
  <c r="T11" i="6"/>
  <c r="T14" i="6"/>
  <c r="T10" i="6"/>
  <c r="T13" i="6"/>
  <c r="T15" i="6"/>
  <c r="T16" i="6"/>
  <c r="W4" i="6"/>
  <c r="X1" i="6"/>
  <c r="W1" i="6"/>
  <c r="X2" i="6"/>
  <c r="X3" i="6"/>
  <c r="X4" i="6"/>
  <c r="W5" i="6"/>
  <c r="W6" i="6"/>
  <c r="X6" i="6"/>
  <c r="O2" i="6" a="1"/>
  <c r="O2" i="6"/>
  <c r="P5" i="6"/>
  <c r="P17" i="6"/>
  <c r="O3" i="6"/>
  <c r="P18" i="6"/>
  <c r="P19" i="6"/>
  <c r="P22" i="6"/>
  <c r="P21" i="6"/>
  <c r="P24" i="6"/>
  <c r="P20" i="6"/>
  <c r="P23" i="6"/>
  <c r="P25" i="6"/>
  <c r="P26" i="6"/>
  <c r="P7" i="6"/>
  <c r="P8" i="6"/>
  <c r="P9" i="6"/>
  <c r="P12" i="6"/>
  <c r="P11" i="6"/>
  <c r="P14" i="6"/>
  <c r="P10" i="6"/>
  <c r="P13" i="6"/>
  <c r="P15" i="6"/>
  <c r="P16" i="6"/>
  <c r="S4" i="6"/>
  <c r="T1" i="6"/>
  <c r="S1" i="6"/>
  <c r="T2" i="6"/>
  <c r="T3" i="6"/>
  <c r="T4" i="6"/>
  <c r="S5" i="6"/>
  <c r="S6" i="6"/>
  <c r="T6" i="6"/>
  <c r="K2" i="6" a="1"/>
  <c r="K2" i="6"/>
  <c r="L5" i="6"/>
  <c r="L17" i="6"/>
  <c r="K3" i="6"/>
  <c r="L18" i="6"/>
  <c r="L19" i="6"/>
  <c r="L22" i="6"/>
  <c r="L21" i="6"/>
  <c r="L24" i="6"/>
  <c r="L20" i="6"/>
  <c r="L23" i="6"/>
  <c r="L25" i="6"/>
  <c r="L26" i="6"/>
  <c r="L7" i="6"/>
  <c r="L8" i="6"/>
  <c r="L9" i="6"/>
  <c r="L12" i="6"/>
  <c r="L11" i="6"/>
  <c r="L14" i="6"/>
  <c r="L10" i="6"/>
  <c r="L13" i="6"/>
  <c r="L15" i="6"/>
  <c r="L16" i="6"/>
  <c r="O4" i="6"/>
  <c r="P1" i="6"/>
  <c r="O1" i="6"/>
  <c r="P2" i="6"/>
  <c r="P3" i="6"/>
  <c r="P4" i="6"/>
  <c r="O5" i="6"/>
  <c r="O6" i="6"/>
  <c r="P6" i="6"/>
  <c r="K4" i="6"/>
  <c r="L1" i="6"/>
  <c r="K1" i="6"/>
  <c r="L2" i="6"/>
  <c r="L3" i="6"/>
  <c r="L4" i="6"/>
  <c r="K5" i="6"/>
  <c r="K6" i="6"/>
  <c r="L6" i="6"/>
  <c r="H2" i="6"/>
  <c r="H3" i="6"/>
  <c r="H4" i="6"/>
  <c r="G5" i="6"/>
  <c r="G6" i="6"/>
  <c r="H6" i="6"/>
  <c r="F9" i="5"/>
  <c r="F8" i="5"/>
  <c r="F10" i="5"/>
  <c r="F7" i="5"/>
  <c r="F6" i="5"/>
  <c r="E7" i="5"/>
  <c r="E6" i="5"/>
  <c r="D9" i="5"/>
  <c r="D8" i="5"/>
  <c r="D10" i="5"/>
  <c r="D7" i="5"/>
  <c r="D6" i="5"/>
  <c r="C9" i="5"/>
  <c r="C8" i="5"/>
  <c r="C10" i="5"/>
  <c r="C7" i="5"/>
  <c r="C6" i="5"/>
  <c r="B10" i="5"/>
  <c r="S2" i="5" a="1"/>
  <c r="S2" i="5"/>
  <c r="T5" i="5"/>
  <c r="T17" i="5"/>
  <c r="S3" i="5"/>
  <c r="T18" i="5"/>
  <c r="T19" i="5"/>
  <c r="T22" i="5"/>
  <c r="T21" i="5"/>
  <c r="T24" i="5"/>
  <c r="T20" i="5"/>
  <c r="T23" i="5"/>
  <c r="T25" i="5"/>
  <c r="T26" i="5"/>
  <c r="T7" i="5"/>
  <c r="T8" i="5"/>
  <c r="T9" i="5"/>
  <c r="T12" i="5"/>
  <c r="T11" i="5"/>
  <c r="T14" i="5"/>
  <c r="T10" i="5"/>
  <c r="T13" i="5"/>
  <c r="T15" i="5"/>
  <c r="T16" i="5"/>
  <c r="W2" i="5" a="1"/>
  <c r="W4" i="5"/>
  <c r="X1" i="5"/>
  <c r="W2" i="5"/>
  <c r="W1" i="5"/>
  <c r="X2" i="5"/>
  <c r="W3" i="5"/>
  <c r="X3" i="5"/>
  <c r="X4" i="5"/>
  <c r="W5" i="5"/>
  <c r="X5" i="5"/>
  <c r="W6" i="5"/>
  <c r="X6" i="5"/>
  <c r="O2" i="5" a="1"/>
  <c r="O2" i="5"/>
  <c r="P5" i="5"/>
  <c r="P17" i="5"/>
  <c r="O3" i="5"/>
  <c r="P18" i="5"/>
  <c r="P19" i="5"/>
  <c r="P22" i="5"/>
  <c r="P21" i="5"/>
  <c r="P24" i="5"/>
  <c r="P20" i="5"/>
  <c r="P23" i="5"/>
  <c r="P25" i="5"/>
  <c r="P26" i="5"/>
  <c r="P7" i="5"/>
  <c r="P8" i="5"/>
  <c r="P9" i="5"/>
  <c r="P12" i="5"/>
  <c r="P11" i="5"/>
  <c r="P14" i="5"/>
  <c r="P10" i="5"/>
  <c r="P13" i="5"/>
  <c r="P15" i="5"/>
  <c r="P16" i="5"/>
  <c r="S4" i="5"/>
  <c r="T1" i="5"/>
  <c r="S1" i="5"/>
  <c r="T2" i="5"/>
  <c r="T3" i="5"/>
  <c r="T4" i="5"/>
  <c r="S5" i="5"/>
  <c r="S6" i="5"/>
  <c r="T6" i="5"/>
  <c r="K2" i="5" a="1"/>
  <c r="K2" i="5"/>
  <c r="L5" i="5"/>
  <c r="L17" i="5"/>
  <c r="K3" i="5"/>
  <c r="L18" i="5"/>
  <c r="L19" i="5"/>
  <c r="L22" i="5"/>
  <c r="L21" i="5"/>
  <c r="L24" i="5"/>
  <c r="L20" i="5"/>
  <c r="L23" i="5"/>
  <c r="L25" i="5"/>
  <c r="L26" i="5"/>
  <c r="L7" i="5"/>
  <c r="L8" i="5"/>
  <c r="L9" i="5"/>
  <c r="L12" i="5"/>
  <c r="L11" i="5"/>
  <c r="L14" i="5"/>
  <c r="L10" i="5"/>
  <c r="L13" i="5"/>
  <c r="L15" i="5"/>
  <c r="L16" i="5"/>
  <c r="O4" i="5"/>
  <c r="P1" i="5"/>
  <c r="O1" i="5"/>
  <c r="P2" i="5"/>
  <c r="P3" i="5"/>
  <c r="P4" i="5"/>
  <c r="O5" i="5"/>
  <c r="O6" i="5"/>
  <c r="P6" i="5"/>
  <c r="K4" i="5"/>
  <c r="L1" i="5"/>
  <c r="K1" i="5"/>
  <c r="L2" i="5"/>
  <c r="L3" i="5"/>
  <c r="L4" i="5"/>
  <c r="K5" i="5"/>
  <c r="K6" i="5"/>
  <c r="L6" i="5"/>
  <c r="H2" i="5"/>
  <c r="H3" i="5"/>
  <c r="H4" i="5"/>
  <c r="G5" i="5"/>
  <c r="G6" i="5"/>
  <c r="H6" i="5"/>
  <c r="F11" i="4"/>
  <c r="F10" i="4"/>
  <c r="F12" i="4"/>
  <c r="F9" i="4"/>
  <c r="F8" i="4"/>
  <c r="E9" i="4"/>
  <c r="E8" i="4"/>
  <c r="D11" i="4"/>
  <c r="D10" i="4"/>
  <c r="D12" i="4"/>
  <c r="D9" i="4"/>
  <c r="D8" i="4"/>
  <c r="C11" i="4"/>
  <c r="C10" i="4"/>
  <c r="C12" i="4"/>
  <c r="C9" i="4"/>
  <c r="C8" i="4"/>
  <c r="B12" i="4"/>
  <c r="AA2" i="4" a="1"/>
  <c r="AA2" i="4"/>
  <c r="AB5" i="4"/>
  <c r="AB17" i="4"/>
  <c r="AA3" i="4"/>
  <c r="AB18" i="4"/>
  <c r="AB19" i="4"/>
  <c r="AB22" i="4"/>
  <c r="AB21" i="4"/>
  <c r="AB24" i="4"/>
  <c r="AB20" i="4"/>
  <c r="AB23" i="4"/>
  <c r="AB25" i="4"/>
  <c r="AB26" i="4"/>
  <c r="AB7" i="4"/>
  <c r="AB8" i="4"/>
  <c r="AB9" i="4"/>
  <c r="AB12" i="4"/>
  <c r="AB11" i="4"/>
  <c r="AB14" i="4"/>
  <c r="AB10" i="4"/>
  <c r="AB13" i="4"/>
  <c r="AB15" i="4"/>
  <c r="AB16" i="4"/>
  <c r="AE2" i="4" a="1"/>
  <c r="AE4" i="4"/>
  <c r="AF1" i="4"/>
  <c r="AE2" i="4"/>
  <c r="AE1" i="4"/>
  <c r="AF2" i="4"/>
  <c r="AE3" i="4"/>
  <c r="AF3" i="4"/>
  <c r="AF4" i="4"/>
  <c r="AE5" i="4"/>
  <c r="AF5" i="4"/>
  <c r="AE6" i="4"/>
  <c r="AF6" i="4"/>
  <c r="W2" i="4" a="1"/>
  <c r="W2" i="4"/>
  <c r="X5" i="4"/>
  <c r="X17" i="4"/>
  <c r="W3" i="4"/>
  <c r="X18" i="4"/>
  <c r="X19" i="4"/>
  <c r="X22" i="4"/>
  <c r="X21" i="4"/>
  <c r="X24" i="4"/>
  <c r="X20" i="4"/>
  <c r="X23" i="4"/>
  <c r="X25" i="4"/>
  <c r="X26" i="4"/>
  <c r="X7" i="4"/>
  <c r="X8" i="4"/>
  <c r="X9" i="4"/>
  <c r="X12" i="4"/>
  <c r="X11" i="4"/>
  <c r="X14" i="4"/>
  <c r="X10" i="4"/>
  <c r="X13" i="4"/>
  <c r="X15" i="4"/>
  <c r="X16" i="4"/>
  <c r="AA4" i="4"/>
  <c r="AB1" i="4"/>
  <c r="AA1" i="4"/>
  <c r="AB2" i="4"/>
  <c r="AB3" i="4"/>
  <c r="AB4" i="4"/>
  <c r="AA5" i="4"/>
  <c r="AA6" i="4"/>
  <c r="AB6" i="4"/>
  <c r="S2" i="4" a="1"/>
  <c r="S2" i="4"/>
  <c r="T5" i="4"/>
  <c r="T17" i="4"/>
  <c r="S3" i="4"/>
  <c r="T18" i="4"/>
  <c r="T19" i="4"/>
  <c r="T22" i="4"/>
  <c r="T21" i="4"/>
  <c r="T24" i="4"/>
  <c r="T20" i="4"/>
  <c r="T23" i="4"/>
  <c r="T25" i="4"/>
  <c r="T26" i="4"/>
  <c r="T7" i="4"/>
  <c r="T8" i="4"/>
  <c r="T9" i="4"/>
  <c r="T12" i="4"/>
  <c r="T11" i="4"/>
  <c r="T14" i="4"/>
  <c r="T10" i="4"/>
  <c r="T13" i="4"/>
  <c r="T15" i="4"/>
  <c r="T16" i="4"/>
  <c r="W4" i="4"/>
  <c r="X1" i="4"/>
  <c r="W1" i="4"/>
  <c r="X2" i="4"/>
  <c r="X3" i="4"/>
  <c r="X4" i="4"/>
  <c r="W5" i="4"/>
  <c r="W6" i="4"/>
  <c r="X6" i="4"/>
  <c r="O2" i="4" a="1"/>
  <c r="O2" i="4"/>
  <c r="P5" i="4"/>
  <c r="P17" i="4"/>
  <c r="O3" i="4"/>
  <c r="P18" i="4"/>
  <c r="P19" i="4"/>
  <c r="P22" i="4"/>
  <c r="P21" i="4"/>
  <c r="P24" i="4"/>
  <c r="P20" i="4"/>
  <c r="P23" i="4"/>
  <c r="P25" i="4"/>
  <c r="P26" i="4"/>
  <c r="P7" i="4"/>
  <c r="P8" i="4"/>
  <c r="P9" i="4"/>
  <c r="P12" i="4"/>
  <c r="P11" i="4"/>
  <c r="P14" i="4"/>
  <c r="P10" i="4"/>
  <c r="P13" i="4"/>
  <c r="P15" i="4"/>
  <c r="P16" i="4"/>
  <c r="S4" i="4"/>
  <c r="T1" i="4"/>
  <c r="S1" i="4"/>
  <c r="T2" i="4"/>
  <c r="T3" i="4"/>
  <c r="T4" i="4"/>
  <c r="S5" i="4"/>
  <c r="S6" i="4"/>
  <c r="T6" i="4"/>
  <c r="K2" i="4" a="1"/>
  <c r="K2" i="4"/>
  <c r="L5" i="4"/>
  <c r="L17" i="4"/>
  <c r="K3" i="4"/>
  <c r="L18" i="4"/>
  <c r="L19" i="4"/>
  <c r="L22" i="4"/>
  <c r="L21" i="4"/>
  <c r="L24" i="4"/>
  <c r="L20" i="4"/>
  <c r="L23" i="4"/>
  <c r="L25" i="4"/>
  <c r="L26" i="4"/>
  <c r="L7" i="4"/>
  <c r="L8" i="4"/>
  <c r="L9" i="4"/>
  <c r="L12" i="4"/>
  <c r="L11" i="4"/>
  <c r="L14" i="4"/>
  <c r="L10" i="4"/>
  <c r="L13" i="4"/>
  <c r="L15" i="4"/>
  <c r="L16" i="4"/>
  <c r="O4" i="4"/>
  <c r="P1" i="4"/>
  <c r="O1" i="4"/>
  <c r="P2" i="4"/>
  <c r="P3" i="4"/>
  <c r="P4" i="4"/>
  <c r="O5" i="4"/>
  <c r="O6" i="4"/>
  <c r="P6" i="4"/>
  <c r="K4" i="4"/>
  <c r="L1" i="4"/>
  <c r="K1" i="4"/>
  <c r="L2" i="4"/>
  <c r="L3" i="4"/>
  <c r="L4" i="4"/>
  <c r="K5" i="4"/>
  <c r="K6" i="4"/>
  <c r="L6" i="4"/>
  <c r="H2" i="4"/>
  <c r="H3" i="4"/>
  <c r="H4" i="4"/>
  <c r="G5" i="4"/>
  <c r="G6" i="4"/>
  <c r="H6" i="4"/>
  <c r="F8" i="3"/>
  <c r="F7" i="3"/>
  <c r="F9" i="3"/>
  <c r="F6" i="3"/>
  <c r="F5" i="3"/>
  <c r="E6" i="3"/>
  <c r="E5" i="3"/>
  <c r="D8" i="3"/>
  <c r="D7" i="3"/>
  <c r="D9" i="3"/>
  <c r="D6" i="3"/>
  <c r="D5" i="3"/>
  <c r="C8" i="3"/>
  <c r="C7" i="3"/>
  <c r="C9" i="3"/>
  <c r="C6" i="3"/>
  <c r="C5" i="3"/>
  <c r="B9" i="3"/>
  <c r="O2" i="3" a="1"/>
  <c r="O2" i="3"/>
  <c r="P5" i="3"/>
  <c r="P17" i="3"/>
  <c r="O3" i="3"/>
  <c r="P18" i="3"/>
  <c r="P19" i="3"/>
  <c r="P22" i="3"/>
  <c r="P21" i="3"/>
  <c r="P24" i="3"/>
  <c r="P26" i="3"/>
  <c r="P20" i="3"/>
  <c r="P23" i="3"/>
  <c r="P25" i="3"/>
  <c r="P7" i="3"/>
  <c r="P8" i="3"/>
  <c r="P9" i="3"/>
  <c r="P12" i="3"/>
  <c r="P11" i="3"/>
  <c r="P14" i="3"/>
  <c r="P16" i="3"/>
  <c r="P10" i="3"/>
  <c r="P13" i="3"/>
  <c r="P15" i="3"/>
  <c r="S2" i="3" a="1"/>
  <c r="S4" i="3"/>
  <c r="T1" i="3"/>
  <c r="S2" i="3"/>
  <c r="S1" i="3"/>
  <c r="T2" i="3"/>
  <c r="S3" i="3"/>
  <c r="T3" i="3"/>
  <c r="T4" i="3"/>
  <c r="S5" i="3"/>
  <c r="T5" i="3"/>
  <c r="S6" i="3"/>
  <c r="T6" i="3"/>
  <c r="K2" i="3" a="1"/>
  <c r="K2" i="3"/>
  <c r="L5" i="3"/>
  <c r="L17" i="3"/>
  <c r="K3" i="3"/>
  <c r="L18" i="3"/>
  <c r="L19" i="3"/>
  <c r="L22" i="3"/>
  <c r="L21" i="3"/>
  <c r="L24" i="3"/>
  <c r="L26" i="3"/>
  <c r="L20" i="3"/>
  <c r="L23" i="3"/>
  <c r="L25" i="3"/>
  <c r="L7" i="3"/>
  <c r="L8" i="3"/>
  <c r="L9" i="3"/>
  <c r="L12" i="3"/>
  <c r="L11" i="3"/>
  <c r="L14" i="3"/>
  <c r="L16" i="3"/>
  <c r="L10" i="3"/>
  <c r="L13" i="3"/>
  <c r="L15" i="3"/>
  <c r="O4" i="3"/>
  <c r="P1" i="3"/>
  <c r="O1" i="3"/>
  <c r="P2" i="3"/>
  <c r="P3" i="3"/>
  <c r="P4" i="3"/>
  <c r="O5" i="3"/>
  <c r="O6" i="3"/>
  <c r="P6" i="3"/>
  <c r="K4" i="3"/>
  <c r="L1" i="3"/>
  <c r="K1" i="3"/>
  <c r="L2" i="3"/>
  <c r="L3" i="3"/>
  <c r="L4" i="3"/>
  <c r="K5" i="3"/>
  <c r="K6" i="3"/>
  <c r="L6" i="3"/>
  <c r="H2" i="3"/>
  <c r="H3" i="3"/>
  <c r="H4" i="3"/>
  <c r="G5" i="3"/>
  <c r="G6" i="3"/>
  <c r="H6" i="3"/>
  <c r="M103" i="2"/>
  <c r="L101" i="2"/>
  <c r="AF101" i="2"/>
  <c r="G101" i="2"/>
  <c r="L100" i="2"/>
  <c r="AF100" i="2"/>
  <c r="G100" i="2"/>
  <c r="L99" i="2"/>
  <c r="AF99" i="2"/>
  <c r="AD99" i="2"/>
  <c r="G99" i="2"/>
  <c r="L98" i="2"/>
  <c r="AF98" i="2"/>
  <c r="G98" i="2"/>
  <c r="L97" i="2"/>
  <c r="AF97" i="2"/>
  <c r="G97" i="2"/>
  <c r="AF96" i="2"/>
  <c r="AD96" i="2"/>
  <c r="G96" i="2"/>
  <c r="AF95" i="2"/>
  <c r="G95" i="2"/>
  <c r="AF94" i="2"/>
  <c r="G94" i="2"/>
  <c r="AF93" i="2"/>
  <c r="G93" i="2"/>
  <c r="AF92" i="2"/>
  <c r="G92" i="2"/>
  <c r="AF91" i="2"/>
  <c r="G91" i="2"/>
  <c r="AF90" i="2"/>
  <c r="G90" i="2"/>
  <c r="L89" i="2"/>
  <c r="AF89" i="2"/>
  <c r="AD89" i="2"/>
  <c r="G89" i="2"/>
  <c r="L88" i="2"/>
  <c r="AF88" i="2"/>
  <c r="G88" i="2"/>
  <c r="AF87" i="2"/>
  <c r="K87" i="2"/>
  <c r="AD87" i="2"/>
  <c r="G8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BJ86" i="2"/>
  <c r="AF86" i="2"/>
  <c r="K86" i="2"/>
  <c r="AD86" i="2"/>
  <c r="AF85" i="2"/>
  <c r="AF84" i="2"/>
  <c r="L83" i="2"/>
  <c r="AF83" i="2"/>
  <c r="AF82" i="2"/>
  <c r="AD82" i="2"/>
  <c r="L81" i="2"/>
  <c r="AF81" i="2"/>
  <c r="AD81" i="2"/>
  <c r="L80" i="2"/>
  <c r="AF80" i="2"/>
  <c r="AF79" i="2"/>
  <c r="AF78" i="2"/>
  <c r="AF77" i="2"/>
  <c r="O77" i="2"/>
  <c r="X77" i="2"/>
  <c r="U77" i="2"/>
  <c r="P77" i="2"/>
  <c r="S77" i="2"/>
  <c r="AF76" i="2"/>
  <c r="BJ75" i="2"/>
  <c r="AF75" i="2"/>
  <c r="AF74" i="2"/>
  <c r="AF73" i="2"/>
  <c r="AF72" i="2"/>
  <c r="O72" i="2"/>
  <c r="X72" i="2"/>
  <c r="U72" i="2"/>
  <c r="Q72" i="2"/>
  <c r="AF71" i="2"/>
  <c r="BJ70" i="2"/>
  <c r="AF70" i="2"/>
  <c r="BJ69" i="2"/>
  <c r="L69" i="2"/>
  <c r="AF69" i="2"/>
  <c r="AF68" i="2"/>
  <c r="AF67" i="2"/>
  <c r="AF66" i="2"/>
  <c r="AF65" i="2"/>
  <c r="AF64" i="2"/>
  <c r="AF63" i="2"/>
  <c r="Y63" i="2"/>
  <c r="AF62" i="2"/>
  <c r="AC62" i="2"/>
  <c r="AF61" i="2"/>
  <c r="AD61" i="2"/>
  <c r="AF60" i="2"/>
  <c r="BJ59" i="2"/>
  <c r="AF59" i="2"/>
  <c r="AD59" i="2"/>
  <c r="AF58" i="2"/>
  <c r="O58" i="2"/>
  <c r="X58" i="2"/>
  <c r="T58" i="2"/>
  <c r="U58" i="2"/>
  <c r="P58" i="2"/>
  <c r="S58" i="2"/>
  <c r="Q58" i="2"/>
  <c r="R58" i="2"/>
  <c r="AF57" i="2"/>
  <c r="Y57" i="2"/>
  <c r="AF56" i="2"/>
  <c r="AF55" i="2"/>
  <c r="AF54" i="2"/>
  <c r="AF53" i="2"/>
  <c r="O53" i="2"/>
  <c r="X53" i="2"/>
  <c r="T53" i="2"/>
  <c r="U53" i="2"/>
  <c r="L52" i="2"/>
  <c r="AF52" i="2"/>
  <c r="AB52" i="2"/>
  <c r="Z52" i="2"/>
  <c r="AF51" i="2"/>
  <c r="Z51" i="2"/>
  <c r="L50" i="2"/>
  <c r="AF50" i="2"/>
  <c r="AB50" i="2"/>
  <c r="Z50" i="2"/>
  <c r="L49" i="2"/>
  <c r="AF49" i="2"/>
  <c r="AD49" i="2"/>
  <c r="AF48" i="2"/>
  <c r="BJ47" i="2"/>
  <c r="AF47" i="2"/>
  <c r="AF46" i="2"/>
  <c r="Z46" i="2"/>
  <c r="L45" i="2"/>
  <c r="AF45" i="2"/>
  <c r="AF44" i="2"/>
  <c r="AF43" i="2"/>
  <c r="AD43" i="2"/>
  <c r="AF42" i="2"/>
  <c r="L41" i="2"/>
  <c r="AF41" i="2"/>
  <c r="AB41" i="2"/>
  <c r="BJ40" i="2"/>
  <c r="AF40" i="2"/>
  <c r="AG39" i="2"/>
  <c r="AF39" i="2"/>
  <c r="O39" i="2"/>
  <c r="X39" i="2"/>
  <c r="T39" i="2"/>
  <c r="U39" i="2"/>
  <c r="P39" i="2"/>
  <c r="S39" i="2"/>
  <c r="Q39" i="2"/>
  <c r="R39" i="2"/>
  <c r="L38" i="2"/>
  <c r="AF38" i="2"/>
  <c r="AF37" i="2"/>
  <c r="AF36" i="2"/>
  <c r="Z36" i="2"/>
  <c r="AF35" i="2"/>
  <c r="L34" i="2"/>
  <c r="AF34" i="2"/>
  <c r="L33" i="2"/>
  <c r="AF33" i="2"/>
  <c r="O33" i="2"/>
  <c r="X33" i="2"/>
  <c r="T33" i="2"/>
  <c r="U33" i="2"/>
  <c r="P33" i="2"/>
  <c r="S33" i="2"/>
  <c r="BJ32" i="2"/>
  <c r="AF32" i="2"/>
  <c r="L31" i="2"/>
  <c r="AF31" i="2"/>
  <c r="AF30" i="2"/>
  <c r="L29" i="2"/>
  <c r="AF29" i="2"/>
  <c r="AF28" i="2"/>
  <c r="AF27" i="2"/>
  <c r="L26" i="2"/>
  <c r="AF26" i="2"/>
  <c r="BJ25" i="2"/>
  <c r="L25" i="2"/>
  <c r="AF25" i="2"/>
  <c r="AD25" i="2"/>
  <c r="AF24" i="2"/>
  <c r="O24" i="2"/>
  <c r="X24" i="2"/>
  <c r="T24" i="2"/>
  <c r="U24" i="2"/>
  <c r="P24" i="2"/>
  <c r="S24" i="2"/>
  <c r="AG23" i="2"/>
  <c r="AF23" i="2"/>
  <c r="L22" i="2"/>
  <c r="AF22" i="2"/>
  <c r="AF21" i="2"/>
  <c r="AF20" i="2"/>
  <c r="BJ19" i="2"/>
  <c r="AF19" i="2"/>
  <c r="L18" i="2"/>
  <c r="AF18" i="2"/>
  <c r="L17" i="2"/>
  <c r="AF17" i="2"/>
  <c r="AF16" i="2"/>
  <c r="Z16" i="2"/>
  <c r="L15" i="2"/>
  <c r="AF15" i="2"/>
  <c r="AB15" i="2"/>
  <c r="Y15" i="2"/>
  <c r="AF14" i="2"/>
  <c r="BJ13" i="2"/>
  <c r="AF13" i="2"/>
  <c r="AD13" i="2"/>
  <c r="O13" i="2"/>
  <c r="X13" i="2"/>
  <c r="T13" i="2"/>
  <c r="U13" i="2"/>
  <c r="P13" i="2"/>
  <c r="S13" i="2"/>
  <c r="Q13" i="2"/>
  <c r="R13" i="2"/>
  <c r="AF12" i="2"/>
  <c r="AD12" i="2"/>
  <c r="L11" i="2"/>
  <c r="AF11" i="2"/>
  <c r="L10" i="2"/>
  <c r="AF10" i="2"/>
  <c r="AF9" i="2"/>
  <c r="O9" i="2"/>
  <c r="X9" i="2"/>
  <c r="U9" i="2"/>
  <c r="P9" i="2"/>
  <c r="S9" i="2"/>
  <c r="AF8" i="2"/>
  <c r="AF7" i="2"/>
  <c r="U7" i="2"/>
  <c r="AF6" i="2"/>
  <c r="I6" i="2"/>
  <c r="AF5" i="2"/>
  <c r="AF4" i="2"/>
  <c r="K4" i="2"/>
  <c r="AD4" i="2"/>
  <c r="AF3" i="2"/>
  <c r="AD3" i="2"/>
  <c r="O3" i="2"/>
  <c r="X3" i="2"/>
  <c r="U3" i="2"/>
  <c r="P3" i="2"/>
  <c r="S3" i="2"/>
  <c r="BJ2" i="2"/>
  <c r="AF2" i="2"/>
  <c r="O2" i="2"/>
  <c r="X2" i="2"/>
  <c r="U2" i="2"/>
</calcChain>
</file>

<file path=xl/sharedStrings.xml><?xml version="1.0" encoding="utf-8"?>
<sst xmlns="http://schemas.openxmlformats.org/spreadsheetml/2006/main" count="887" uniqueCount="309">
  <si>
    <t>Year</t>
  </si>
  <si>
    <t>machine hp/resolution</t>
  </si>
  <si>
    <t>average HP/total averge accuracy</t>
  </si>
  <si>
    <t>Date</t>
  </si>
  <si>
    <t>Link</t>
  </si>
  <si>
    <t>Machine Type</t>
  </si>
  <si>
    <t>Specific Machine</t>
  </si>
  <si>
    <t>Comments</t>
  </si>
  <si>
    <t>Size (hp)</t>
  </si>
  <si>
    <t>Size (bit size ")</t>
  </si>
  <si>
    <t>Speed (RPM)</t>
  </si>
  <si>
    <t>Speed (table speed ipm)</t>
  </si>
  <si>
    <t>Size (work area sq ")</t>
  </si>
  <si>
    <t>Accuracy (")</t>
  </si>
  <si>
    <t>Cost</t>
  </si>
  <si>
    <t>Average table speed per year</t>
  </si>
  <si>
    <t>Average HP per year</t>
  </si>
  <si>
    <t>Average Yearly Cost</t>
  </si>
  <si>
    <t>average yearly hp/average yearly cost</t>
  </si>
  <si>
    <t>Average accuracy per year</t>
  </si>
  <si>
    <t>Speed/accuracy</t>
  </si>
  <si>
    <t>Speed/accuracy values (0's deleted)</t>
  </si>
  <si>
    <t>Total average accuracy</t>
  </si>
  <si>
    <t>Average yearly speed/total average accuracy</t>
  </si>
  <si>
    <t>machine table speed/accuracy</t>
  </si>
  <si>
    <t>DAYC hp/accuracy</t>
  </si>
  <si>
    <t>work area square "/accuracy</t>
  </si>
  <si>
    <t>bit size "/accuracy</t>
  </si>
  <si>
    <t>speed*bit size</t>
  </si>
  <si>
    <t>hp* work area/accuracy</t>
  </si>
  <si>
    <t>hp*work area/(acurracy*cost)</t>
  </si>
  <si>
    <t>hp/cost</t>
  </si>
  <si>
    <t>DAYC Table Speed/Accuracy</t>
  </si>
  <si>
    <t>Number of Data Points</t>
  </si>
  <si>
    <t>Mill</t>
  </si>
  <si>
    <t>Artisan universal milling machine</t>
  </si>
  <si>
    <t>longitudinal feed 14", elevation 11", whole size of machine 50"x36", weight 650 lbs</t>
  </si>
  <si>
    <t>Cincinatti Plain milling machine</t>
  </si>
  <si>
    <t xml:space="preserve">3 hp, 18" of travel, 16 spindle speeds from 50-1500 rpm, 3/4-30" per minute table speed, </t>
  </si>
  <si>
    <t>3" diameter, 12 teeth, 17 rpm, 13.3 fpm, annealed SAE 3150 steelm 2" width of cut, various cutting speed and tool lives (see word document)</t>
  </si>
  <si>
    <t>Bridgeport turret millling machine</t>
  </si>
  <si>
    <t xml:space="preserve">15" diameter turret, 5" diameter overarm, </t>
  </si>
  <si>
    <t>Millin machine</t>
  </si>
  <si>
    <t>All angle milling machine attachment</t>
  </si>
  <si>
    <t>spindle travel of 4", can move in any direction, 5/16"-1 5/8" spindle, 600-4800rpm</t>
  </si>
  <si>
    <t>Cincinnati No 1-12 plain milling machine</t>
  </si>
  <si>
    <t>cutting 4815 steel, 1 1/4" end mill, 380 rpm, 3/7" per minute, 1.5" depth of cut</t>
  </si>
  <si>
    <t>Knight maching company</t>
  </si>
  <si>
    <t>16 spindle speeds, 16 table speeds</t>
  </si>
  <si>
    <t>Van norman #16</t>
  </si>
  <si>
    <t xml:space="preserve">95-2000RPM, </t>
  </si>
  <si>
    <t>Niles vertical boring and turning mill</t>
  </si>
  <si>
    <t xml:space="preserve">on of the largest built in the US - 43 feet 5" swing, 33 foot diameter table, height of 12ft 2 in, </t>
  </si>
  <si>
    <t>Nichols</t>
  </si>
  <si>
    <t>working surface 6.25x21x30", 5000RPM, weight - 1250lbs</t>
  </si>
  <si>
    <t>Milling machine</t>
  </si>
  <si>
    <t>Kinight #50</t>
  </si>
  <si>
    <t>spindle speed 40-2000 rpm, .005" to 100" feeds, table feeds 3/4" to 20" per minute, 7.5 hp motor</t>
  </si>
  <si>
    <t>Gorton Mastermill</t>
  </si>
  <si>
    <t xml:space="preserve">Automatically adjusts for the amount of torque required electronically, 2hp motor, 80-5600 RPM, 14" cross movement, feeds indefinitely from 0-5", </t>
  </si>
  <si>
    <t>Bridgeport</t>
  </si>
  <si>
    <t xml:space="preserve">cross travel from 12", knee to column 18", 1hp, </t>
  </si>
  <si>
    <t xml:space="preserve">GE A90-36A Automatic Contour Milling Machine, reolution of .0005:, part to part accuracy of .0015", 15.5 ft wide and 105 ft long, 6 milling heads with 560 hp, feed of 60" per minute, </t>
  </si>
  <si>
    <t>Precise Power Quill</t>
  </si>
  <si>
    <t>45000RPM, 1/2 hp motor, .0001" tolerance</t>
  </si>
  <si>
    <t>Dormac Mill-matic</t>
  </si>
  <si>
    <t>1200rpm, 60"x12" tbale, $5350, 48"x11" table $4390</t>
  </si>
  <si>
    <t>Austin industrila Corporation</t>
  </si>
  <si>
    <t>52"x11" table, 33.5" movement, 39-1500rpm, 7.5hp spindle, 1.5hp deef motor</t>
  </si>
  <si>
    <t>Milling</t>
  </si>
  <si>
    <t>Cincianatti no 1D</t>
  </si>
  <si>
    <t xml:space="preserve">100-3800RPM, 1.5 hp spindle drive, .003"-.015" per rev, </t>
  </si>
  <si>
    <t>W R Brown Corp</t>
  </si>
  <si>
    <t>2250 psi, jaws open to 3 inches, 1/16"-5/8" travel, $85</t>
  </si>
  <si>
    <t>Portage Machine Co</t>
  </si>
  <si>
    <t>feed from .03-30" per min, accuracy .0001"</t>
  </si>
  <si>
    <t>Milling Machine</t>
  </si>
  <si>
    <t>Index Industrial Corp Racking Milling Machine</t>
  </si>
  <si>
    <t>14x78" table, swivel head 10-90 degrees</t>
  </si>
  <si>
    <t>Barker Model A-M</t>
  </si>
  <si>
    <t xml:space="preserve">$695, 650lbs, 3/4 hp, </t>
  </si>
  <si>
    <t>Kopp Mikk</t>
  </si>
  <si>
    <t>Accurate to .0005"</t>
  </si>
  <si>
    <t>Gorton Trace Master</t>
  </si>
  <si>
    <t>5hp, 4000rpm, 12x54" table, 40" per minute feed</t>
  </si>
  <si>
    <t>Van Norman Pyramid style Mill</t>
  </si>
  <si>
    <t>28" table, 20" cross, table work surface 37"x16"</t>
  </si>
  <si>
    <t>Fosdick</t>
  </si>
  <si>
    <t xml:space="preserve">5' arm, 3500rpm, </t>
  </si>
  <si>
    <t>OKK No 5 vertical Milling machine</t>
  </si>
  <si>
    <t xml:space="preserve">30 hp, 10-1800rpm, </t>
  </si>
  <si>
    <t>Deckel FP Milling and Boring Machines</t>
  </si>
  <si>
    <t>39" longitudinal range, 15" transverse range, 23.25 vertical range</t>
  </si>
  <si>
    <t>Burgmaster Corp 1-d-12a automatic machining center</t>
  </si>
  <si>
    <t>6 spindle turret drills, 2 speed, 1hp motor, 85-4015 rpm, 1/2" capacity in mild steel</t>
  </si>
  <si>
    <t xml:space="preserve">Mitsui &amp; CO Job Boring and Milling machine, 40.5"x60" tbale, </t>
  </si>
  <si>
    <t>Zagar Automatic vertical horizontal milling machine</t>
  </si>
  <si>
    <t>9.5x25" table, 8" stroke, 2hp spingle, 1/2hp feed</t>
  </si>
  <si>
    <t>Cincinnati Milacron 5VC-1000</t>
  </si>
  <si>
    <t xml:space="preserve">15hp, 3 axis, 30"x72" table, </t>
  </si>
  <si>
    <t>Beaver Milling Machines</t>
  </si>
  <si>
    <t>3 axis, 56"x10" table</t>
  </si>
  <si>
    <t>Bridgeport numerical Control</t>
  </si>
  <si>
    <t>30" travel, 3 axis .0005" repeatablility</t>
  </si>
  <si>
    <t>SAJO VF 54 N/C</t>
  </si>
  <si>
    <t>4 axis, repeatability to .0005", accuracy to .001", 7.5hp spindle motor, 52-2000rpm,</t>
  </si>
  <si>
    <t>Superior Electric Company 2-axis NC control</t>
  </si>
  <si>
    <t xml:space="preserve">feed 200" per min, </t>
  </si>
  <si>
    <t>Republic Machinery</t>
  </si>
  <si>
    <t xml:space="preserve">12x55" table, 6 hp, 28-1400rpm, </t>
  </si>
  <si>
    <t>BostoMatic</t>
  </si>
  <si>
    <t>312 - 7000RPM 4 axis, $75,900 ,  430 10000RPM, 5HP, $110,500</t>
  </si>
  <si>
    <t>Pratt and Whitney</t>
  </si>
  <si>
    <t>4 spindle, 20hp per spingle, 5 axis</t>
  </si>
  <si>
    <t>HMV deluxe vari-speed drill</t>
  </si>
  <si>
    <t>16.5" cross travel, 49x9" table, .0002" accuracy, 3100lbs, $6400</t>
  </si>
  <si>
    <t>Kitamura Mycenter H-300 super-cell</t>
  </si>
  <si>
    <t>8" OD capacity, 5 axis, 16" travel, 150-10000rpm, 10hp</t>
  </si>
  <si>
    <t>Hitachi VA45</t>
  </si>
  <si>
    <t>512 ipm traverse, cutting speed 140ipm, 120 tools on spindles, 10000rpm, 10hp motor, 15,400 lbs</t>
  </si>
  <si>
    <t>Mitsubishi MPA-V</t>
  </si>
  <si>
    <t>.00008" repeatability</t>
  </si>
  <si>
    <t>SNK 3-spindle, 3-axis profiler</t>
  </si>
  <si>
    <t>48" y-range, 2-hp motorX3, 20-4000rpm, z axis travel 24", X-axis travel 120", table load 22,000lbs</t>
  </si>
  <si>
    <t>Interact 516V machining center</t>
  </si>
  <si>
    <t>5.5hp, repeatability to .0002", 4 axis cnc</t>
  </si>
  <si>
    <t>Lion L Model 820 Universal Machine</t>
  </si>
  <si>
    <t>Tosnuc 600M CNC</t>
  </si>
  <si>
    <t xml:space="preserve">positioning 4 micron, 12000rpm, </t>
  </si>
  <si>
    <t>Cintimatic 15VC CNC</t>
  </si>
  <si>
    <t>x-travel 60", table work 26"x64", load capacity is 6000lbs, removal rates 15 cubic inches per minute in mild steel, 25-6000rpm, 6" diameter capacity, .5-150ipm feeeds, 30 tool automatic chander</t>
  </si>
  <si>
    <t>RAMCO Leadwell MCV-760 XL</t>
  </si>
  <si>
    <t>40x20" table, 30"Xx20"Yx20"z travel, 30-2000rpm, 10 hp, 20 position turrent, 6 second tool change, .0004" accuracy, .0002 repeatabilty, milling 8 cubic inches per minute</t>
  </si>
  <si>
    <t>310 Journeyman from Tree Machine Tool Co</t>
  </si>
  <si>
    <t>2hp, 3-axis CNC, .0002" repeatbility</t>
  </si>
  <si>
    <t>Ramco refrigerated spindle</t>
  </si>
  <si>
    <t>10000rpm, 10 hp, 16 station spindle, repeatability of .0002", 18x30" table</t>
  </si>
  <si>
    <t>http://www.mmsonline.com/articles/retrofitting-cnc-machining-center-with-auxiliary-high-rpm-spindle</t>
  </si>
  <si>
    <t>Fadal VMC 4020</t>
  </si>
  <si>
    <t xml:space="preserve">End Mill size .009-.25", RPM limit 10000, </t>
  </si>
  <si>
    <t>http://www.mmsonline.com/articles/laser-offers-high-production-for-low-volumes</t>
  </si>
  <si>
    <t>.001 degree increments</t>
  </si>
  <si>
    <t>http://www.mmsonline.com/articles/five-axis-machining----simply-more-productive</t>
  </si>
  <si>
    <t>Mazak H-630 horizontal machining centers</t>
  </si>
  <si>
    <t>50 taper, 15000rpm (aluminum)</t>
  </si>
  <si>
    <t>http://www.mmsonline.com/articles/dnc-faster-and-better----part-one</t>
  </si>
  <si>
    <t>Fadal CNCs </t>
  </si>
  <si>
    <t>100 moves per second, high tolerance has an average move of 0.001 inch, 6,000 moves per minute would result in an effective feed rate of 6,000 x 0.001 or 6 ipm, Typical industry baud rates are 9600, 19,200, and 38,400, Fadal CNCs can DNC up to 1,000 three-axis moves per second. The NC code for an average three-axis move is about 21 characters (X#.####Y#.####Z#.####). Normally, to send 1,000 such moves would require a baud rate of 210,000 (21 characters x ten bits per character x 1,000 moves). Using compression, the Fadal control can send 1,000 three-axis moves per second at a baud rate of 38,400.  Recently, options have appeared for CNCs that give them megabytes of memory, allowing CNCs to load up to 16 megabytes of programs.</t>
  </si>
  <si>
    <t>http://www.mmsonline.com/articles/dnc-faster-and-better----part-two</t>
  </si>
  <si>
    <t xml:space="preserve">We can illustrate this by following a few moves through the pipeline. Suppose that each processor requires 5 milliseconds to complete its task. First a move is loaded in by the serial processor. This step takes 5 milliseconds. Then, while the main processor converts the move into pulses, the serial processor loads another move. While the axis processor pulses the motor, the main processor converts the second move and the serial processor loads a third. Every 5 milliseconds, a move is pulsed by the axis processor. Thus, even though the entire processing time for a move is 15 milliseconds (3 x 5 milliseconds), a move is completed every 5 milliseconds because of pipelining., be able to machine an aluminum part at 300 ipm,, a program with cross sections 0.001 inch thick will take ten times as long to machine as a part with cross sections 0.01 inch thick. Resolution affects quality: You can see and feel 0.01-inch thick cross sections but you may not be able to notice cross sections 0.001 inch thick., All of a sudden, it receives a pulse to move 0.01 inch. The motor immediately begins to advance to the new position. However, before it can finish moving the entire 0.01 inch, a pulse to move another 0.01 inch arrives. The motor is now more than 0.01 inch but less than 0.02 inch from where it should be. , Some CNCs are sluggish: Motors are updated every 20 milliseconds (50 times a second). Some multiple-processor CNCs can update motors every millisecond (1,000 times a second)., Some systems may create a program that has very small moves in the Z axis on flat surfaces, even when tolerances are very low, such as 0.0002 inch. , </t>
  </si>
  <si>
    <t>http://www.mmsonline.com/articles/beyond-dnc</t>
  </si>
  <si>
    <t xml:space="preserve">The throughput capacity for Ethernet is one million characters per second, versus the typical rate of serial communication at 960 characters per second at 9600 baud. This is nominally a 1,000-time improvement in data transfer speed!  Prices for networking of CNC controls may vary from $0 (included as standard equipment) to as much as $12,000 or more per machine!, A few CNCs are now boasting performance to 1,000 blocks per second and beyond. , This author has seen cutter path files exceeding 100 MB. Even at today's lower prices for memory, 100 MB is a large investment., </t>
  </si>
  <si>
    <t>http://www.mmsonline.com/articles/combination-tools-improve-machining-center-productivity</t>
  </si>
  <si>
    <t>tool life exceeding 10,000 holes per tool., motorized spindle capable of speeds up to 24,000 rpm, With both the tap drill and tap requiring replacement every 1,000 holes (in contrast to 20,000 holes with its solid-carbide replacement), and based on a machine-time cost of $45.00 per hour, the total cost per thread was cut from $0.56 to $0.18.
With these results, using a single tool for drilling was quickly adopted as the permanent process for threading the casing. In two years, this type of cutter averaged 20,000 parts per tool. In contrast to previous costs of $11,240 to drill and tap 20,000 parts, costs are now $3,600., Spindle speed throughout the combined operation is 6,000 rpm. Drilling is performed at a feed rate of 60 ipm; threading (by helical interpolation) at 6 ipm. The 3/8-24 thread form produced is machined to a depth of approximately 11/2 times the thread diameter. Total machining cycle time is 6.1 seconds. Tool life is approximately 15,000 parts.</t>
  </si>
  <si>
    <t>http://www.mmsonline.com/articles/cutting-tool-considerations-for-high-speed-machining</t>
  </si>
  <si>
    <t xml:space="preserve">Likewise, feed rate for the machine tool is usually measured in inches per minute (ipm). But for cutting tools, it is expressed as inches per tooth (ipt). Working from the optimum sfm and ipt for workpiece material, a machine tool's rpm and ipm can be determined and programmed.
These two measurements are dependent on each other to determine the speed at which a workpiece can be maintained. For example, titanium can be cut effectively at about 250 sfm. That's using a chip load of 0.005 ipt. However, some shops report machining titanium at close to 500 sfm, but to do that, lighter chip loads are taken, Generally, tungsten carbide cutters have a working range of 100 to 1200 sfm, according to Mr. Spanovich (HSS goes up to approximately 100 sfm). Ceramics, including silicon nitride, push the envelope up to 4,000 sfm. Polycrystalline diamond and CBN coated tools push sfm above 4,000. These rates are at chip loads of 0.003 to 0.030 ipt., </t>
  </si>
  <si>
    <t>http://www.mmsonline.com/articles/new-twist-in-vmcs</t>
  </si>
  <si>
    <t>The PMC-V750 is designed for production. Heavy milling is a forte, with a No. 50 taper spindle driven by a 35 hp motor. Spindle speeds range from 30 to 8,000 rpm and are delivered by a two-speed gearbox. The spindle is intercooled to control thermal growth. It is also available with high-pressure coolant option, up to 1300 psi through the tool., quick motion response, such as zero to a top linear feed of 1,180 ipm in 150 milliseconds. Chip-to-chip tool interchange time of five seconds gets the machine back into the cut fast. Up to 40 tools can be stored in the toolchanger.
Ballscrews are cooled to within one degree of ambient and help deliver a repeatability of ¤0.00008 inch in all three axes. The machine is available with two CNC options, either a GE/Fanuc 16MB or a Siemens 840D.</t>
  </si>
  <si>
    <t>http://www.mmsonline.com/articles/rigid-spindle-extension-solves-deep-mold-and-die-problems</t>
  </si>
  <si>
    <t xml:space="preserve">Now we can handle dies 14-, 16-, 18-inches deep,", Even in deep dies, it's common for us to take half-inch cuts at feeds of seven to ten inches per minute in FxT2 material, 38-42 Rc, "With forging dies, we work to within 0.005-inch," Mr. Scott says. "Automotive body dies are usually tighter, on the order to 0.002- to 0.003-inch.", The Mold Masher coupling has a 90 percent surface-to-surface contact which greatly increases its rigidity. In addition, Mr. Harroun says, "A 50 taper draw bar typically has 3500 lbs of pulling power. </t>
  </si>
  <si>
    <t>http://www.mmsonline.com/articles/a-closer-look-at-look-ahead</t>
  </si>
  <si>
    <t xml:space="preserve">We bought our latest CNC machining center with feed rates to 600 inches per minute (ipm) based on the promise of high speed. We haven't realized the benefit from that machine, though, because it doesn't have look-ahead. The addition of new high speed controls with look-ahead on four of our older machines has actually relegated our newest machine to mundane, slower work. The oldest machines all outperform the newest, primarily because of look-ahead." The importance of look-ahead is emphasized by the fact that Pro-Mold now mills 3D surfaces on a former tracing mill with a maximum 100 ipm feed rate. It can mill the same part as the newer and "faster" machining center in a fraction of the time, because of the look-ahead. A 100 ipm machine with look-ahead is actually faster than a 600 ipm machine without look-ahead. , Imagine a machine capable of 1200 ipm feed rates milling a part for which total X/Y surface measures only 1/2 inch square. The part isn't large enough to ever accelerate to the machine's maximum of 1200 ipm. Still, if your cutter and material allow cutting at 1200 ipm, why not cut as fast as possible? With look-ahead, the machine's CNC controller is responsible for maintaining the feed rate as close to the maximum programmed rate as possible without violation of the part's geometric integrity. The point is that the responsibility for establishing the balance of optimal feed rate for productivity with the required accuracy is no longer in the hands of the programmer or the operator, but rather rests on the computerized control. Imagine an operator capable of adjusting the feed rate override selector more than 2,000 times per second to go fast where possible and to slow down just enough where needed. With a really fast control featuring look-ahead, that is the net effect: the fastest part possible, combined with optimal accuracy., Look at the changes that have taken place in just the last 20 years:
Maximum feed rates were 100 ipm; now 600 ipm is common, and 1200 ipm is better.
Data density of 0.04-inch point departures was close and accurate; now closer than 0.004 inch is common and may even be closer than 0.001 inch.
Files of 64 kilobytes were very large; now files regularly exceed 10 megabytes (MB) and may exceed even 100 MB.
Sculptured surfaces were used occasionally for aesthetics; now sculptured surfaces are widely used for both function and appearance., Tarus finishing mill, corners were frequently rounded by 0.003 to 0.005 inch. "That was when we milled at 40 to 60 inches per minute with the old control," he says. "Now we mill accurate parts with sharp corners at feed rates consistently around 150 inches per minute., </t>
  </si>
  <si>
    <t>http://www.mmsonline.com/articles/customer-dedicated-machining-cells-to-assure-quality-and-commitments</t>
  </si>
  <si>
    <t>model 4DN jig borer from Mitsui Seiki, Inc. (Franklin Lakes, New Jersey)</t>
  </si>
  <si>
    <t>repeats true position on hole sizes to 20 millionths of an inch,</t>
  </si>
  <si>
    <t>http://www.mmsonline.com/articles/taking-the-fear-out-of-hard-turning</t>
  </si>
  <si>
    <t>Speeds and Feeds
SFM IPM DOC (Inch Depth of Cut)
Carbon And Alloy
Steels (50-60 Rc) 300-500 0.002-0.008 0.003-0.020
Die Steels (55-65 Rc) 150-350 0.002-0.008 0.003-0.008, Standard K-lands appropriate for hard turning are from 10 to 25 degrees by 0.004 to 0.010 inch wide, The workpieces were 2 inches in diameter, 1 inch long. The part was faced, then a shoulder was turned, followed by turning of the OD. Each cut removed 0.02 inch, with the carbide inserts. Cycle time totaled 3.5 minutes. The parts were subsequently finish ground to complete.
To improve the process and reduce high insert usage, the shop owner went to a CBN-tipped, Fansteel VR/Wesson DNGA 432 insert. This insert had a 0.006-inch by 20-degree K-land. A cutting speed of 600 sfm, at 0.02 inch depth of cut, , The machine was able to make 40 parts with one CBN insert, holding a 0.0002-inch tolerance on all 40 parts. Cycle time was reduced to 1.5 minutes, allowing what used to take 20 hours to be completed in one shift.</t>
  </si>
  <si>
    <t>http://www.mmsonline.com/articles/cmm-enhances-productivity-for-ceramic-tool-manufacturer</t>
  </si>
  <si>
    <t>Previous profile specifications of 0.001 inch to 0.002 inch are now 0.0002 inch to 0.0005 inch, 3D scanning CMM, which could also measure the profile tolerances to 0.0002"</t>
  </si>
  <si>
    <t>http://www.mmsonline.com/articles/mold-maker-profits-by-teaming-with-tooling-company-distributor</t>
  </si>
  <si>
    <t>Machining surfaces must be parallel within 0.0008 inch, square within 0.0012 inch, and with a surface finish of N7., Modu-mill handles the large diameter--6 to 8 inches--face-milling. The nearly 80-inch wide platens are face milled in several passes at high speed, removing up to 1 1/2 inches of stock. , Here are specific examples of how the various tooling is performing: For the heavy roughing of cast iron with tough scaleface milling with T-Max 145, 8-inch diameter with 13A inserts at 366 sfm cutting speed. Feed is 26.5 ipm with a depth of cut of 0.24 inch; that is about 15 percent faster than before, yet edge life is up as well. For the roughing of cast ironface milling with T-Max 145, 8 inch diameter with WL/GCA inserts at 586 sfm cutting speed. Feed is 27 ipm with a depth of cut of 0.24 inch. For the finishing of cast ironface milling with a Modumill, 10-inch diameter, 15-degree cutter with WM/GCA Waveline inserts. The cutting speed is 800 sfm with a feed of 27 ipm and depth of cut of 0.012 inch. Edge life is 20 percent longer than before, at equal or slightly higher removal rates. For OD recessing Interpolated side and face milling with Coromill 331, 5-inch diameters and H13A inserts. Cutting speed is 330 sfm with a feed of 6 ipm. Depth of cut for this step was the maximum of the insert capability. Again, edge life is about 20 percent higher than before.</t>
  </si>
  <si>
    <t>http://www.mmsonline.com/articles/five-key-concepts-of-modular-quick-change-tooling</t>
  </si>
  <si>
    <t>Most newer systems offer repeatabilities in the 0.000078-inch range</t>
  </si>
  <si>
    <t>http://www.mmsonline.com/articles/low-cost-machine---high-efficiency-machining</t>
  </si>
  <si>
    <t xml:space="preserve">You can do more with a $70,000 vertical machining center (VMC) , For less than $55,000, Watsco got 20 by 16 by 20 inches of travel, a two-speed gearbox, 20-tool ATC and a 32-bit CNC. Not a lot of frills, but all Mr. Mazzini was after was some basic, dependable machining capacity., For about another $12,000, Mr. Mazzini achieved this additional capability in the form of a manual pallet system from Midaco Corporation (Elk Grove Village, Illinois). The system includes a powered pallet receiver that is permanently mounted on the table of the machining center. Mating with this particular receiver (model 2216) are 22 by 16-inch pallets on which individual workholders are mounted. In operation, a pallet is rolled over the top of the receiver on a bolster and then, through pneumatic actuation, the pallet is set down over a group of location elements and locked into place, Mr. Mazzini believes, runs somewhere between two and five "tenths" (0.0002 to 0.0005 inch), which is well within the tolerance range of the job in terms of general feature position, </t>
  </si>
  <si>
    <t>http://www.mmsonline.com/articles/accessories-slash-changeover-and-setup-downtime</t>
  </si>
  <si>
    <t xml:space="preserve">Pallet positioning repeatability is within 0.0002 inch, </t>
  </si>
  <si>
    <t>http://www.mmsonline.com/articles/can-this-new-cnc-multispindle-work-for-your-shop</t>
  </si>
  <si>
    <t>Station three has an end slide drilling operation that takes 0.75 second (including index). The next longest operation is a 0.65-second cross slide groove at station four. Because the multispindle can use all stations at the same time, cycle time for the job reflects the longest operation performed, which in this case is 0.75 second., The gearbox provides a mechanical advantage that gives the output shaft sufficient thrustrated at 800 pounds per slide--to feed form tools into most materials., A Hurth multitooth coupling is used to seat the spindle carrier. Index time is 0.4 second. Bar capacities are 0.875 inch for round stock, 0.625 inch for square and 0.75 inch for hex., Main spindle drive is a 14-hp AC motor that drives the five spindles through a planetary gear system. Speeds are programmable through the CNC and range from 250 to 6,000 rpm.</t>
  </si>
  <si>
    <t>http://www.mmsonline.com/columns/toolholder-improves-surface-finish</t>
  </si>
  <si>
    <t>Rockwell hardness C 56, 24 microns surface finish, tool life 4-6 hours per edge</t>
  </si>
  <si>
    <t>http://www.mmsonline.com/articles/getting-the-time-out-of-titanium</t>
  </si>
  <si>
    <t>Measuring 18 by 24 by 2 inches, this part was hogged out of a solid aluminum block in just under 3.5 hours. , new machining process that cut 47 percent (almost 16 hours) from the machining time for this part. Roughing time decreased by 25 percent. Finishing time was cut down to less than a third of what it once was. Previously the part had been finished at 50 sfpm, but the new process brought finishing speed up to 400 sfpm for some portions of the cut.  The previous finishing process ran at 50 sfpm with feed rates ranging from 0.0025 to 0.0045 ipr. In the new process, those parameters become 100 to 400 sfpm and 0.001 to 0.0035 ipr.</t>
  </si>
  <si>
    <t>http://www.mmsonline.com/articles/prescription-for-success</t>
  </si>
  <si>
    <t>he machine also has a maximum feed rate of 2,685 ipm.</t>
  </si>
  <si>
    <t>http://www.mmsonline.com/articles/the-efficiency-effect</t>
  </si>
  <si>
    <t>MMD can guarantee machined tolerances as close as 0.0002 inch, We have hard milled as deep as 11 times the tool's diameter, The smallest cutting tools that MMD uses are 0.006-inch diameter ball end mills 12-mm diameter may be used. This machine is specifically designed for graphite milling as well as for steel cutting. It incorporates a Fanuc 16iM CNC, a 30-tool capacity and a 30,000-rpm spindle, 3,000 to 36,000 rpm, and each is equipped with an 11-tool capacity</t>
  </si>
  <si>
    <t>http://www.mmsonline.com/articles/using-cam-to-unlock-your-turning-machine39s-potential</t>
  </si>
  <si>
    <t xml:space="preserve">production turning machines today are powerhouses of productivity.
They are also expensive. Price tags range from $150,00 to $350,000. </t>
  </si>
  <si>
    <t>http://www.mmsonline.com/articles/customizable-machine-for-aerospace-power-generation-parts-</t>
  </si>
  <si>
    <t>HU100A-5XL machining center from Mitsui Seiki</t>
  </si>
  <si>
    <t>X-Y-Z work zone capacity of 2,000 × 1,750 × 1,400 mm and accommodates workpieces weighing as much as 11,000 pounds (5,000 kg).  Axis travels range from 1,300 to 2,500 mm, Fixed spindles range from 6,000 rpm (50 hp and 2,000 foot-pounds torque) for heavy milling applications to 20,000 rpm for high-speed applications. Tilt or swivel spindle choices are available from 6,000 rpm for heavy milling to 12,000 rpm for high speed machining. The company also offers quill-type spindles for precision boring with shorter tools. Toolhandling systems range from on-board magazines to central systems for more than 2,500 tools.   maximum spindle torque of 2,000 foot-pounds, CAT-50 tool taper, dual pallet changer, an automatic workpiece/fixture measuring and compensation system, non-contact laser tool setting device, 3D tool compensation, dynamic feature offset and a Fanuc 30iM control</t>
  </si>
  <si>
    <t>http://www.mmsonline.com/articles/eight-axis-turn-mill-offers-two-turrets</t>
  </si>
  <si>
    <t>Absolute Machine Tools, the Tongtai TMT-2000</t>
  </si>
  <si>
    <t>Rapid traverse rates are 1,181 × 590 × 1,417 ipm on the X, Y and Z axes, Maximum turning diameter is 12.6" and maximum swing is 28.3". According to the company, the machine’s rigidity enables users to take full advantage of the main spindle’s 20-hp, high-torque motor and synchronous, 25-hp, oil-cooled subspindle. The 4,500-rpm main spindle has a 2.5" bar capacity, while the 6,000-rpm subspindle has a 2" bar capacity.</t>
  </si>
  <si>
    <t>http://www.mmsonline.com/articles/end-mill-technology-for-solid-carbide-molds-and-components</t>
  </si>
  <si>
    <t>UDCB series end mills from U.S. Union Tool</t>
  </si>
  <si>
    <t>ball-shape end mill ranges from 0.2 to 6.0 mm can mill into carbide</t>
  </si>
  <si>
    <t>http://www.mmsonline.com/articles/five-axis-hmc-for-high-speed-machining</t>
  </si>
  <si>
    <t>MU-10000H is the largest of the Okuma MU</t>
  </si>
  <si>
    <t>1-m-square pallet capable of high torque and high speed machining. The machine has a maximum workpiece weight capacity of 5,500 lbs and workpiece size capacity of 59.05" in diameter by 44.29" high</t>
  </si>
  <si>
    <t>http://www.mmsonline.com/articles/five-axis-machine-with-flush-rotary-table</t>
  </si>
  <si>
    <t>Hurco’s new VMX42SRT five-axis machining center</t>
  </si>
  <si>
    <t>For three-axis work, the increased table size supports parts up to 42" x 24". The machine has X-, Y- and Z-axis travels of 42" x 24" x 24"; a 12,000-rpm standard spindle; a 40-station swing-arm ATC; X-, Y- and Z-axis rapids of 1,378, 1,378 and 1,181 ipm, respectively</t>
  </si>
  <si>
    <t>http://www.mmsonline.com/articles/five-axis-vmc-for-aerospace-machining</t>
  </si>
  <si>
    <t>Makino’s D300 five-axis</t>
  </si>
  <si>
    <t>he D300 worktable offers a work area diameter of 300mm, accommodating workpiece sizes up to 450 × 270 mm and 120 kg. The machine provides X- Y-Z travels of 300 × 500 × 350 mm at feed rates as high as 60,000 mm per minute. Rotary table axes offer rotational motion of 240 degrees (±120 degrees) on the A-axis and full 360-degree continuous rotation on the C axis. It comes standard with a 15,000-rpm HSK-A63 spindle with 120 Nm (42 Nm continuous) of torque for flexible, high speed machining of workpiece materials including steel, aluminum and titanium. Optional spindle configurations include a 20,000-rpm HSK-A63 spindle and 30,000-rpm HSK-F63 spindle.</t>
  </si>
  <si>
    <t>http://www.mmsonline.com/articles/five-face-machining-center-offers-flexibility</t>
  </si>
  <si>
    <t>YMT, the Quaser MF500</t>
  </si>
  <si>
    <t>111" × 22" × 28" X-Y-Z travel and a built-in rotary table that is capable of handling parts up to 22” diameter and 24” tall for five-axis machining. It offers a B-axis 58-hp/12,000-rpm built-in spindle motor and dual 48T and 60T ATC units </t>
  </si>
  <si>
    <t>http://www.mmsonline.com/articles/high-speed-milling-machine-for-simultaneous-five-axis-machining-of-small-parts</t>
  </si>
  <si>
    <t>Datron Dynamics’ C5 </t>
  </si>
  <si>
    <t xml:space="preserve">parts as large as 100 mm,  48,000-rpm spindle, precision ballscrews and Heidenhain linear scales provide high accuracy. With a 22-station toolchanger, integrated tool-length measurement and a footprint of only 1 square meter, the machine delivers efficient five-axis machining while taking up little floor space. It fits through a standard 36" door making it ideal for labs and cleanroom environments. The machine also features short setup times and low energy consumption of less than 2.5 kWh average. </t>
  </si>
  <si>
    <t>http://www.mmsonline.com/articles/high-torque-spindle-for-hard-materials</t>
  </si>
  <si>
    <t>Mag’s new high-torque T-Rex spindle</t>
  </si>
  <si>
    <t>2600 Nm (1,918 foot-pounds) of torque, 130-mm (5.1") ID bearings to handle the 42.3 kN (9,500 pounds), The company says a recent demonstration using Carpenter 465 hardened to 50 to 52 HRc highlights the T-Rex spindle’s capabilities. Using the T-Rex and a 75-mm (3") diameter inserted end mill with five flutes and 13 inserts per flute, a machine achieved 100 mm (4") axial depth of cut, 24 mm (0.95") radial depth of cut and 0.5 mm/rev (0.020 ipr) feed rate. In addition, the cuts produced an excellent surface finish with no sign of chatter and virtually no vibration, using only one-third of the available spindle power, the company says.</t>
  </si>
  <si>
    <t>http://www.mmsonline.com/articles/hmc-offers-turning-five-axis-milling-operations</t>
  </si>
  <si>
    <t>G550T from Grob Systems</t>
  </si>
  <si>
    <t xml:space="preserve">The G550T machining strokes are 31.4" (800 mm) in the X axis, 37.4 (950 mm) in the Y axis and 40.1" (1,020 mm) in the Z axis. Its table has maximum rotation of 240 degrees in the A axis and 360 degrees in the B axis.  The distinguishing feature of this machine is its table that operates in the A and B axes, and can also turn parts at 800 rpm. </t>
  </si>
  <si>
    <t>http://www.mmsonline.com/articles/linear-way-vmc-with-removable-side-doors</t>
  </si>
  <si>
    <t>VM3224 linear-way VMC from Milltronics</t>
  </si>
  <si>
    <t>38" × 24" table and X-Y-Z travels of 32" × 24" × 26".  standard 18/12-hp, 10,000-rpm Big Plus spindle. The machine has a cutting feed rate of 500 ipm (12.5 m/min.) and rapid traverse rate of 1,600 ipm (40 m/min.). dual arm 24-pocket ATC, six-spigot flood coolant, 180 gallon coolant capacity and the company’s 8200 CNC. It is factory-ready for 1,000 psi through-spindle coolant, Machine options include a 15,000 rpm spindle</t>
  </si>
  <si>
    <t>http://www.mmsonline.com/articles/machining-center-for-five-axis-five-face-performance</t>
  </si>
  <si>
    <t>5X-410 machining center from JapanTek </t>
  </si>
  <si>
    <t xml:space="preserve">Its 16" square pallet accommodates a 16" × 16" part, and allows for full four-side and top surface machining on any 16" × 16" × 16" part. From any angle, the X-axis travel is 25.6". At spindle vertical, the Y-axis travel is 16", and the Z-axis (table surface to spindle nose) travel is 21.7". At spindle horizontal, the Y-axis travel ranges from 2.8" to 25.6", and the Z-axis travel ranges from 0" to 24". 
Standard features include a 30-hp main motor, a 60-tool ATC magazine, through-spindle coolant, a full enclosure and a two-pallet APC. Standard spindle speed is 12,000 rpm; 15,000 rpm is available as an option.  120-degree (90 ±15-degree) tilting spindle </t>
  </si>
  <si>
    <t>http://www.mmsonline.com/articles/multitasking-vmc-for-long-complex-work-</t>
  </si>
  <si>
    <t>Mazak, the Variaxis i-700 five-axis machine</t>
  </si>
  <si>
    <t xml:space="preserve">With Y-axis travel of 43.3" (1,100 mm) and X-axis travel of 24.8"  (630 mm), the machine can accommodate workpieces as large as 33.46" (850 mm) in diameter and 19.68" (500 mm) high. A roller gear, cam-driven rotary/tilt table, with 360 degrees of C-axis rotation and +30 to -120 degrees of A-axis tilt, is supported at both ends for stability and accuracy.
The machine’s standard 12,000-rpm, 30-hp, 40-taper spindle features a compact nose design to provide a 23.62" (600-mm) Z-axis stroke and improve stability by enabling the use of shorter tools. A 30-tool ATC adds additional flexibility and contributes to continuous machining operations. Available options include an 18,000-rpm spindle and a two-pallet changer.
The X, Y and Z axes incorporate the company’s MX hybrid roller guide system. Rapid traverse rates are 2,362 ipm (60 m/min.) on the X and Y axes and 2,205 ipm (56 m/min.) on the Z axis. The machine uses the company’s Mazatrol Matrix 2 CNC. </t>
  </si>
  <si>
    <t>http://www.mmsonline.com/articles/modular-design-enables-custom-turn-mill-configuration</t>
  </si>
  <si>
    <t>78-hp M80 Millturn/3000mm</t>
  </si>
  <si>
    <t>78hp</t>
  </si>
  <si>
    <t>http://www.mmsonline.com/articles/spindle-head-attachment-enables-five-axis-machining</t>
  </si>
  <si>
    <t>Tri-Tech Precision Products’ model 5414-R4 programmable spindle head attachment</t>
  </si>
  <si>
    <t>20,000 to 50,000 rpm are achieved through a mechanical (5:1) speeder </t>
  </si>
  <si>
    <t>http://www.mmsonline.com/articles/spindles-for-micromachining-applications</t>
  </si>
  <si>
    <t>MIll</t>
  </si>
  <si>
    <t>Ibag North America’s Micro Line spindles</t>
  </si>
  <si>
    <t>120,000 rpm and power to 390 W. They come in sizes ranging from 16 to 33 mm diameter and are available in right-hand versions for greater flexibility. The company’s micro-collet system can be used with 22-, 25- and 33-mm , up to 1/8" diameter tools</t>
  </si>
  <si>
    <t>http://www.mmsonline.com/articles/three-turret-turn-mill-accommodates-72-tools</t>
  </si>
  <si>
    <t>Nakamura-Tome NTY3-250 turn-mill</t>
  </si>
  <si>
    <t>Each of the machine’s three turrets features a Y-axis of 4.4" (112 mm) can accommodate 12 driven or 24 stationary tools, for a maximum of 72 total tools.  X- and Z-axis speeds of are 1,181 ipm and 1,574 ipm, respectively, and the machine weighs 31,807 lbs to ensure stable performance at these speeds. The 47.24" (1,200 mm) distance between spindles is sufficient to limit tooling interference during multitasking operations that involve multiple tools in the cut simultaneously. The machine also features a 60-degree slant bed for easy access to work and tooling. It offers a maximum turning diameter of 8.86" (225 mm), maximum turning length of 35.65" (905.5 mm) and a bar capacity of 2.5" (65 mm).</t>
  </si>
  <si>
    <t>http://www.mmsonline.com/articles/tool-coatings-designed-for-variety-of-applications</t>
  </si>
  <si>
    <t>Tool-Flo’s line of Zenith coatings</t>
  </si>
  <si>
    <t>materials ranging to 70 HRc</t>
  </si>
  <si>
    <t>http://www.mmsonline.com/articles/turn-mill-offers-independent-five-axis-subsystems</t>
  </si>
  <si>
    <t>Index’s R300</t>
  </si>
  <si>
    <t>bars ranging to 102 mm in diameter and chucked parts ranging to 315 mm in diameter, The double-chain magazine accommodates as many as 140 tools for a total of 152 tools, tool change times are in the 6 sec. range, B-axis swivel range of 270 degrees and rapid traverse rate of 45 m/min. provide flexibility and speed. The turning spindles offer 47 kW maximum power, a maximum speed of 3,500 rpm and a peak torque of 690 Nm.</t>
  </si>
  <si>
    <t>http://www.mmsonline.com/articles/versatile-hmc-features-40-taper-spindles</t>
  </si>
  <si>
    <t>500-mm-pallet GE480H from Enshu</t>
  </si>
  <si>
    <t xml:space="preserve">40-taper spindle, Its 29.5-hp, 15,000-rpm spindles are paired with rapid traverse rates of 3,543 ipm. The spindles, ballscrews and servomotor mounts are refrigerated and temperature-controlled within ±1°C </t>
  </si>
  <si>
    <t>http://www.mmsonline.com/articles/vmc-for-five-sidedfive-axis-machining(2)</t>
  </si>
  <si>
    <t>UMC-750 universal machining center from Haas Automation</t>
  </si>
  <si>
    <t>X-Y-Z travels of 30" × 22" × 20" and is equipped with a 40+1 tool side-mount tool changer. The machine is equipped with an integrated dual-axis trunnion table and 8,100-rpm inline direct-drive spindle.
The UMC-750’s dual-axis trunnion table can position parts to nearly any angle for five-sided (3+2) machining, or provide full-simultaneous five-axis motion, the company says. The trunnion provides +35 and -110 degrees of tilt and 360 degrees of rotation for tool clearance and large part capacity, and the 630 × 500-mm table features standard T-slots and a precision pilot bore for fixturing versatility.
The machine’s spindle is powered by a 30-hp vector drive system. The inline system couples the spindle directly to the motor to reduce heat, increase power transmission and provide quality surface finishes. For increased spindle speeds, an optional 12,000-rpm inline direct-drive spindle is also available. Both spindles yield 90 foot-pounds of torque.</t>
  </si>
  <si>
    <t>http://www.mmsonline.com/articles/vmc-offers-fifth-axis-versatility-for-small-parts</t>
  </si>
  <si>
    <t>DNM350/5AX VMC from Doosan </t>
  </si>
  <si>
    <t>15.7" in diameter by 13.2" high , 13.8" × 13.8" table, maximum table load is 550 lbs., 20-hp motor that generates speeds as high as 12,000 rpm, Maximum low-end torque is 78.2 foot-pounds, A double-arm ATC has a 30-tool capacity with options for 40 and 60 tools. Maximum sizes for the machine’s 40-taper tool system are 10.6" long and 17.8 lbs. Tool-to-tool change time is 1.3 sec</t>
  </si>
  <si>
    <t>http://www.mmsonline.com/articles/vmcs-for-small-and-medium-job-shops</t>
  </si>
  <si>
    <t>Hyundai Wia has released a new series of Value Master CNC VMCs</t>
  </si>
  <si>
    <t>F400VM (31" X axis, 22" Y axis and 20" Z axis) and F500VM (43" X axis, 22" Y axis and 20" Z axis), The rapid traverse rates are 36 m/min. in the X and Y axes and 30 m/min. in the Z axis, 8,000-rpm spindle for deep cuts or with a 12,000-rpm , 15 hp with spindle torque rated at 95/75 Nm. , The VMCs are equipped with 30-tool, side-mount swing-arm type toolchangers. This technology offers tool change times of 1.3 sec. tool-to-tool on the F400VM and 1.5 sec. tool-to-tool on the F500VM. The maximum tool OD is 76/150 mm on the F400VM and 90/150 mm on the F500VM. A shutter system separates the ATC and magazine during machining.
Other standard features include through-spindle coolant, a large Y axis (1,100 mm × 550 mm)</t>
  </si>
  <si>
    <t>http://www.mmsonline.com/articles/horizontal-boring-mill-features-built-in-rotary-table</t>
  </si>
  <si>
    <t>PBM-135 from Mighty Viper from Mighty USA </t>
  </si>
  <si>
    <t>The rotary table positioning and repeatability accuracy is ±10 arcseconds. A duplex gear transmission is said to provide exact and even movement, yielding zero-backlash table rotation. The table surface measures 63" × 71.87" with a maximum table load of 29,000 lbs.
The rigid spindle is 5.11" in diameter and has a W axis that provides 28" of horizontal travel. The W axis has two linear ways for greater accuracy during horizontal movement. According to the company, the machine’s W/Y movement automatically compensates for mechanical sagging on the quill.
The gear-driven spindle has a four-step speed change, and provides maximum torque of 4,817 foot-pounds. The spindle motor provides 50 hp at 2,500 rpm. A variety of spindle heads are available, including a universal head, a 90-degree head, a 90-degree extension head and quill support.</t>
  </si>
  <si>
    <t>http://www.mmsonline.com/articles/horizontal-boring-mill-for-large-components</t>
  </si>
  <si>
    <t>BTH-130.R24 horizontal boring and milling machine from Toshiba Machine</t>
  </si>
  <si>
    <t>workpieces weighing as much as 20 metric tons (44,000 lbs), table size of 2,000 × 2,400 mm (78.7" × 94.4") and a maximum swing diameter of 3,200 mm (126"), maximum speed and power of 4,000 rpm and 60 hp</t>
  </si>
  <si>
    <t>K value</t>
  </si>
  <si>
    <t>R2</t>
  </si>
  <si>
    <t>F Statstic</t>
  </si>
  <si>
    <t>95% t critical value</t>
  </si>
  <si>
    <t>95%  + - value</t>
  </si>
  <si>
    <t>95% Upper limit</t>
  </si>
  <si>
    <t>95% Lower Limit</t>
  </si>
  <si>
    <t>ln k value</t>
  </si>
  <si>
    <t>ln 95% upper limt</t>
  </si>
  <si>
    <t>ln 95% lower limt</t>
  </si>
  <si>
    <t>ln 95% + value</t>
  </si>
  <si>
    <t>ln 95% - value</t>
  </si>
  <si>
    <t>ln 95% average +-</t>
  </si>
  <si>
    <t>67% t critical value</t>
  </si>
  <si>
    <t>67%  + - value</t>
  </si>
  <si>
    <t>67% Upper limit</t>
  </si>
  <si>
    <t>67% Lower Limit</t>
  </si>
  <si>
    <t>ln 67% upper limt</t>
  </si>
  <si>
    <t>ln 67% lower limt</t>
  </si>
  <si>
    <t>ln 67% + value</t>
  </si>
  <si>
    <t>ln 67% - value</t>
  </si>
  <si>
    <t>ln 67% average +-</t>
  </si>
  <si>
    <t>Mean</t>
  </si>
  <si>
    <t>STDEV</t>
  </si>
  <si>
    <t>Min</t>
  </si>
  <si>
    <t>Max</t>
  </si>
  <si>
    <t>Range</t>
  </si>
  <si>
    <t>N</t>
  </si>
  <si>
    <t>AllAll</t>
  </si>
  <si>
    <t>AllND</t>
  </si>
  <si>
    <t>70All</t>
  </si>
  <si>
    <t>70ND</t>
  </si>
  <si>
    <t>K</t>
  </si>
  <si>
    <t xml:space="preserve"> +- 95%</t>
  </si>
  <si>
    <t xml:space="preserve"> +-68%</t>
  </si>
  <si>
    <t xml:space="preserve"> ~stdev</t>
  </si>
  <si>
    <t>~stdev/K</t>
  </si>
  <si>
    <t>K_PRM</t>
  </si>
  <si>
    <t>stdev_PRM</t>
  </si>
  <si>
    <t>min_PRM</t>
  </si>
  <si>
    <t>max_PRM</t>
  </si>
  <si>
    <t>year range</t>
  </si>
  <si>
    <t>source quality</t>
  </si>
  <si>
    <t># 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</si>
</sst>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3" formatCode="_(* #,##0.00_);_(* \(#,##0.00\);_(* &quot;-&quot;??_);_(@_)"/>
    <numFmt numFmtId="164" formatCode="0.0%"/>
    <numFmt numFmtId="165" formatCode="0.000"/>
  </numFmts>
  <fonts count="8" x14ac:knownFonts="1">
    <font>
      <sz val="12"/>
      <color theme="1"/>
      <name val="Calibri"/>
      <family val="2"/>
      <scheme val="minor"/>
    </font>
    <font>
      <sz val="12"/>
      <color theme="1"/>
      <name val="Calibri"/>
      <family val="2"/>
      <scheme val="minor"/>
    </font>
    <font>
      <b/>
      <sz val="12"/>
      <color rgb="FFFA7D00"/>
      <name val="Calibri"/>
      <family val="2"/>
      <scheme val="minor"/>
    </font>
    <font>
      <b/>
      <sz val="12"/>
      <color theme="0"/>
      <name val="Calibri"/>
      <family val="2"/>
      <scheme val="minor"/>
    </font>
    <font>
      <b/>
      <sz val="12"/>
      <color theme="1"/>
      <name val="Calibri"/>
      <family val="2"/>
      <scheme val="minor"/>
    </font>
    <font>
      <sz val="13"/>
      <color rgb="FF000000"/>
      <name val="Trebuchet MS"/>
      <family val="2"/>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20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1" applyNumberFormat="0" applyAlignment="0" applyProtection="0"/>
    <xf numFmtId="0" fontId="3" fillId="3" borderId="2"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4" fillId="0" borderId="0" xfId="0" applyFont="1" applyAlignment="1"/>
    <xf numFmtId="0" fontId="4" fillId="0" borderId="0" xfId="0" applyFont="1"/>
    <xf numFmtId="0" fontId="4" fillId="0" borderId="0" xfId="0" applyFont="1" applyAlignment="1">
      <alignment wrapText="1"/>
    </xf>
    <xf numFmtId="2" fontId="4" fillId="0" borderId="0" xfId="0" applyNumberFormat="1" applyFont="1" applyAlignment="1"/>
    <xf numFmtId="17" fontId="0" fillId="0" borderId="0" xfId="0" applyNumberFormat="1" applyAlignment="1"/>
    <xf numFmtId="0" fontId="0" fillId="0" borderId="0" xfId="0" applyAlignment="1"/>
    <xf numFmtId="0" fontId="0" fillId="0" borderId="0" xfId="0" applyAlignment="1">
      <alignment wrapText="1"/>
    </xf>
    <xf numFmtId="0" fontId="0" fillId="0" borderId="0" xfId="0" applyNumberFormat="1" applyAlignment="1"/>
    <xf numFmtId="2" fontId="0" fillId="0" borderId="0" xfId="0" applyNumberFormat="1"/>
    <xf numFmtId="17" fontId="0" fillId="0" borderId="0" xfId="0" applyNumberFormat="1"/>
    <xf numFmtId="43" fontId="0" fillId="0" borderId="0" xfId="1" applyFont="1"/>
    <xf numFmtId="6" fontId="0" fillId="0" borderId="0" xfId="0" applyNumberFormat="1"/>
    <xf numFmtId="6" fontId="0" fillId="0" borderId="0" xfId="0" applyNumberFormat="1" applyAlignment="1">
      <alignment wrapText="1"/>
    </xf>
    <xf numFmtId="0" fontId="5" fillId="0" borderId="0" xfId="0" applyFont="1" applyAlignment="1"/>
    <xf numFmtId="0" fontId="5" fillId="0" borderId="0" xfId="0" applyFont="1" applyAlignment="1">
      <alignment wrapText="1"/>
    </xf>
    <xf numFmtId="0" fontId="2" fillId="2" borderId="1" xfId="3"/>
    <xf numFmtId="0" fontId="3" fillId="3" borderId="2" xfId="4"/>
    <xf numFmtId="164" fontId="2" fillId="2" borderId="1" xfId="3" applyNumberFormat="1"/>
    <xf numFmtId="2" fontId="3" fillId="3" borderId="2" xfId="4" applyNumberFormat="1"/>
    <xf numFmtId="10" fontId="0" fillId="0" borderId="0" xfId="0" applyNumberFormat="1"/>
    <xf numFmtId="164" fontId="0" fillId="0" borderId="0" xfId="2" applyNumberFormat="1" applyFont="1"/>
    <xf numFmtId="164" fontId="4" fillId="0" borderId="0" xfId="2" applyNumberFormat="1" applyFont="1"/>
    <xf numFmtId="164" fontId="0" fillId="0" borderId="0" xfId="0" applyNumberFormat="1"/>
    <xf numFmtId="165" fontId="0" fillId="0" borderId="0" xfId="0" applyNumberFormat="1"/>
    <xf numFmtId="11" fontId="0" fillId="0" borderId="0" xfId="0" applyNumberFormat="1"/>
  </cellXfs>
  <cellStyles count="209">
    <cellStyle name="Calculation" xfId="3" builtinId="22"/>
    <cellStyle name="Check Cell" xfId="4" builtinId="23"/>
    <cellStyle name="Comma" xfId="1" builtinId="3"/>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Normal" xfId="0" builtinId="0"/>
    <cellStyle name="Percent" xfId="2"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sourcedata!$H$1</c:f>
              <c:strCache>
                <c:ptCount val="1"/>
                <c:pt idx="0">
                  <c:v>Size (hp)</c:v>
                </c:pt>
              </c:strCache>
            </c:strRef>
          </c:tx>
          <c:spPr>
            <a:ln w="47625">
              <a:noFill/>
            </a:ln>
          </c:spPr>
          <c:trendline>
            <c:trendlineType val="exp"/>
            <c:dispRSqr val="1"/>
            <c:dispEq val="1"/>
            <c:trendlineLbl>
              <c:layout>
                <c:manualLayout>
                  <c:x val="-1.2723483094025E-2"/>
                  <c:y val="-0.20541061570292499"/>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sourcedata!$H$2:$H$101</c:f>
              <c:numCache>
                <c:formatCode>0.00</c:formatCode>
                <c:ptCount val="100"/>
                <c:pt idx="1">
                  <c:v>3</c:v>
                </c:pt>
                <c:pt idx="10">
                  <c:v>7.5</c:v>
                </c:pt>
                <c:pt idx="11">
                  <c:v>2</c:v>
                </c:pt>
                <c:pt idx="14">
                  <c:v>0.5</c:v>
                </c:pt>
                <c:pt idx="16">
                  <c:v>7.5</c:v>
                </c:pt>
                <c:pt idx="17">
                  <c:v>1.5</c:v>
                </c:pt>
                <c:pt idx="21">
                  <c:v>0.75</c:v>
                </c:pt>
                <c:pt idx="23">
                  <c:v>5</c:v>
                </c:pt>
                <c:pt idx="26">
                  <c:v>30</c:v>
                </c:pt>
                <c:pt idx="28">
                  <c:v>1</c:v>
                </c:pt>
                <c:pt idx="30">
                  <c:v>2</c:v>
                </c:pt>
                <c:pt idx="31">
                  <c:v>15</c:v>
                </c:pt>
                <c:pt idx="34">
                  <c:v>7.5</c:v>
                </c:pt>
                <c:pt idx="36">
                  <c:v>6</c:v>
                </c:pt>
                <c:pt idx="37">
                  <c:v>5</c:v>
                </c:pt>
                <c:pt idx="38">
                  <c:v>20</c:v>
                </c:pt>
                <c:pt idx="40">
                  <c:v>10</c:v>
                </c:pt>
                <c:pt idx="41">
                  <c:v>10</c:v>
                </c:pt>
                <c:pt idx="43">
                  <c:v>6</c:v>
                </c:pt>
                <c:pt idx="44">
                  <c:v>5.5</c:v>
                </c:pt>
                <c:pt idx="48">
                  <c:v>10</c:v>
                </c:pt>
                <c:pt idx="49">
                  <c:v>2</c:v>
                </c:pt>
                <c:pt idx="50">
                  <c:v>10</c:v>
                </c:pt>
                <c:pt idx="59">
                  <c:v>35</c:v>
                </c:pt>
                <c:pt idx="69">
                  <c:v>14</c:v>
                </c:pt>
                <c:pt idx="76">
                  <c:v>25</c:v>
                </c:pt>
                <c:pt idx="81">
                  <c:v>58</c:v>
                </c:pt>
                <c:pt idx="86">
                  <c:v>30</c:v>
                </c:pt>
                <c:pt idx="88">
                  <c:v>78</c:v>
                </c:pt>
                <c:pt idx="94">
                  <c:v>29.5</c:v>
                </c:pt>
                <c:pt idx="95">
                  <c:v>30</c:v>
                </c:pt>
                <c:pt idx="96">
                  <c:v>20</c:v>
                </c:pt>
                <c:pt idx="98">
                  <c:v>50</c:v>
                </c:pt>
                <c:pt idx="99">
                  <c:v>60</c:v>
                </c:pt>
              </c:numCache>
            </c:numRef>
          </c:yVal>
          <c:smooth val="0"/>
        </c:ser>
        <c:dLbls>
          <c:showLegendKey val="0"/>
          <c:showVal val="0"/>
          <c:showCatName val="0"/>
          <c:showSerName val="0"/>
          <c:showPercent val="0"/>
          <c:showBubbleSize val="0"/>
        </c:dLbls>
        <c:axId val="37770752"/>
        <c:axId val="37776000"/>
      </c:scatterChart>
      <c:valAx>
        <c:axId val="37770752"/>
        <c:scaling>
          <c:orientation val="minMax"/>
        </c:scaling>
        <c:delete val="0"/>
        <c:axPos val="b"/>
        <c:numFmt formatCode="mmm\-yy" sourceLinked="1"/>
        <c:majorTickMark val="out"/>
        <c:minorTickMark val="none"/>
        <c:tickLblPos val="nextTo"/>
        <c:crossAx val="37776000"/>
        <c:crosses val="autoZero"/>
        <c:crossBetween val="midCat"/>
      </c:valAx>
      <c:valAx>
        <c:axId val="37776000"/>
        <c:scaling>
          <c:logBase val="10"/>
          <c:orientation val="minMax"/>
        </c:scaling>
        <c:delete val="0"/>
        <c:axPos val="l"/>
        <c:majorGridlines/>
        <c:numFmt formatCode="0.00" sourceLinked="1"/>
        <c:majorTickMark val="out"/>
        <c:minorTickMark val="none"/>
        <c:tickLblPos val="nextTo"/>
        <c:crossAx val="3777075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sourcedata!$I$1</c:f>
              <c:strCache>
                <c:ptCount val="1"/>
                <c:pt idx="0">
                  <c:v>Size (bit size ")</c:v>
                </c:pt>
              </c:strCache>
            </c:strRef>
          </c:tx>
          <c:spPr>
            <a:ln w="47625">
              <a:noFill/>
            </a:ln>
          </c:spPr>
          <c:trendline>
            <c:trendlineType val="exp"/>
            <c:dispRSqr val="1"/>
            <c:dispEq val="1"/>
            <c:trendlineLbl>
              <c:layout>
                <c:manualLayout>
                  <c:x val="0.207687160235002"/>
                  <c:y val="-0.44920602857394998"/>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sourcedata!$I$2:$I$101</c:f>
              <c:numCache>
                <c:formatCode>0.00</c:formatCode>
                <c:ptCount val="100"/>
                <c:pt idx="2">
                  <c:v>3</c:v>
                </c:pt>
                <c:pt idx="4">
                  <c:v>1.625</c:v>
                </c:pt>
                <c:pt idx="5">
                  <c:v>1.25</c:v>
                </c:pt>
                <c:pt idx="18">
                  <c:v>3</c:v>
                </c:pt>
                <c:pt idx="28">
                  <c:v>0.5</c:v>
                </c:pt>
                <c:pt idx="40">
                  <c:v>8</c:v>
                </c:pt>
                <c:pt idx="47">
                  <c:v>6</c:v>
                </c:pt>
                <c:pt idx="51">
                  <c:v>0.25</c:v>
                </c:pt>
                <c:pt idx="60">
                  <c:v>18</c:v>
                </c:pt>
                <c:pt idx="76">
                  <c:v>2.5</c:v>
                </c:pt>
                <c:pt idx="90">
                  <c:v>0.125</c:v>
                </c:pt>
              </c:numCache>
            </c:numRef>
          </c:yVal>
          <c:smooth val="0"/>
        </c:ser>
        <c:dLbls>
          <c:showLegendKey val="0"/>
          <c:showVal val="0"/>
          <c:showCatName val="0"/>
          <c:showSerName val="0"/>
          <c:showPercent val="0"/>
          <c:showBubbleSize val="0"/>
        </c:dLbls>
        <c:axId val="76097024"/>
        <c:axId val="76098560"/>
      </c:scatterChart>
      <c:valAx>
        <c:axId val="76097024"/>
        <c:scaling>
          <c:orientation val="minMax"/>
        </c:scaling>
        <c:delete val="0"/>
        <c:axPos val="b"/>
        <c:numFmt formatCode="mmm\-yy" sourceLinked="1"/>
        <c:majorTickMark val="out"/>
        <c:minorTickMark val="none"/>
        <c:tickLblPos val="nextTo"/>
        <c:crossAx val="76098560"/>
        <c:crosses val="autoZero"/>
        <c:crossBetween val="midCat"/>
      </c:valAx>
      <c:valAx>
        <c:axId val="76098560"/>
        <c:scaling>
          <c:logBase val="10"/>
          <c:orientation val="minMax"/>
        </c:scaling>
        <c:delete val="0"/>
        <c:axPos val="l"/>
        <c:majorGridlines/>
        <c:numFmt formatCode="0.00" sourceLinked="1"/>
        <c:majorTickMark val="out"/>
        <c:minorTickMark val="none"/>
        <c:tickLblPos val="nextTo"/>
        <c:crossAx val="7609702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sourcedata!$J$1</c:f>
              <c:strCache>
                <c:ptCount val="1"/>
                <c:pt idx="0">
                  <c:v>Speed (RPM)</c:v>
                </c:pt>
              </c:strCache>
            </c:strRef>
          </c:tx>
          <c:spPr>
            <a:ln w="47625">
              <a:noFill/>
            </a:ln>
          </c:spPr>
          <c:trendline>
            <c:trendlineType val="exp"/>
            <c:dispRSqr val="1"/>
            <c:dispEq val="1"/>
            <c:trendlineLbl>
              <c:layout>
                <c:manualLayout>
                  <c:x val="-0.143257721654762"/>
                  <c:y val="-0.18767711632559"/>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sourcedata!$J$2:$J$101</c:f>
              <c:numCache>
                <c:formatCode>General</c:formatCode>
                <c:ptCount val="100"/>
                <c:pt idx="1">
                  <c:v>1500</c:v>
                </c:pt>
                <c:pt idx="2">
                  <c:v>17</c:v>
                </c:pt>
                <c:pt idx="4">
                  <c:v>4800</c:v>
                </c:pt>
                <c:pt idx="5">
                  <c:v>380</c:v>
                </c:pt>
                <c:pt idx="7">
                  <c:v>2000</c:v>
                </c:pt>
                <c:pt idx="9">
                  <c:v>5000</c:v>
                </c:pt>
                <c:pt idx="10">
                  <c:v>2000</c:v>
                </c:pt>
                <c:pt idx="11">
                  <c:v>5600</c:v>
                </c:pt>
                <c:pt idx="14">
                  <c:v>45000</c:v>
                </c:pt>
                <c:pt idx="15">
                  <c:v>1200</c:v>
                </c:pt>
                <c:pt idx="16">
                  <c:v>1500</c:v>
                </c:pt>
                <c:pt idx="17">
                  <c:v>3800</c:v>
                </c:pt>
                <c:pt idx="23">
                  <c:v>4000</c:v>
                </c:pt>
                <c:pt idx="25">
                  <c:v>3500</c:v>
                </c:pt>
                <c:pt idx="26">
                  <c:v>1800</c:v>
                </c:pt>
                <c:pt idx="28">
                  <c:v>4015</c:v>
                </c:pt>
                <c:pt idx="34">
                  <c:v>2000</c:v>
                </c:pt>
                <c:pt idx="36">
                  <c:v>1400</c:v>
                </c:pt>
                <c:pt idx="37">
                  <c:v>10000</c:v>
                </c:pt>
                <c:pt idx="40">
                  <c:v>10000</c:v>
                </c:pt>
                <c:pt idx="41">
                  <c:v>10000</c:v>
                </c:pt>
                <c:pt idx="43">
                  <c:v>4000</c:v>
                </c:pt>
                <c:pt idx="46">
                  <c:v>12000</c:v>
                </c:pt>
                <c:pt idx="47">
                  <c:v>6000</c:v>
                </c:pt>
                <c:pt idx="48">
                  <c:v>2000</c:v>
                </c:pt>
                <c:pt idx="50">
                  <c:v>10000</c:v>
                </c:pt>
                <c:pt idx="51">
                  <c:v>10000</c:v>
                </c:pt>
                <c:pt idx="53">
                  <c:v>15000</c:v>
                </c:pt>
                <c:pt idx="57">
                  <c:v>24000</c:v>
                </c:pt>
                <c:pt idx="59">
                  <c:v>8000</c:v>
                </c:pt>
                <c:pt idx="69">
                  <c:v>6000</c:v>
                </c:pt>
                <c:pt idx="73">
                  <c:v>36000</c:v>
                </c:pt>
                <c:pt idx="75">
                  <c:v>20000</c:v>
                </c:pt>
                <c:pt idx="79">
                  <c:v>12000</c:v>
                </c:pt>
                <c:pt idx="80">
                  <c:v>30000</c:v>
                </c:pt>
                <c:pt idx="81">
                  <c:v>12000</c:v>
                </c:pt>
                <c:pt idx="82">
                  <c:v>48000</c:v>
                </c:pt>
                <c:pt idx="84">
                  <c:v>800</c:v>
                </c:pt>
                <c:pt idx="85">
                  <c:v>15000</c:v>
                </c:pt>
                <c:pt idx="86">
                  <c:v>15000</c:v>
                </c:pt>
                <c:pt idx="87">
                  <c:v>18000</c:v>
                </c:pt>
                <c:pt idx="89">
                  <c:v>50000</c:v>
                </c:pt>
                <c:pt idx="90">
                  <c:v>120000</c:v>
                </c:pt>
                <c:pt idx="94">
                  <c:v>15000</c:v>
                </c:pt>
                <c:pt idx="96">
                  <c:v>12000</c:v>
                </c:pt>
                <c:pt idx="97">
                  <c:v>12000</c:v>
                </c:pt>
                <c:pt idx="98">
                  <c:v>2500</c:v>
                </c:pt>
                <c:pt idx="99">
                  <c:v>4000</c:v>
                </c:pt>
              </c:numCache>
            </c:numRef>
          </c:yVal>
          <c:smooth val="0"/>
        </c:ser>
        <c:dLbls>
          <c:showLegendKey val="0"/>
          <c:showVal val="0"/>
          <c:showCatName val="0"/>
          <c:showSerName val="0"/>
          <c:showPercent val="0"/>
          <c:showBubbleSize val="0"/>
        </c:dLbls>
        <c:axId val="168198912"/>
        <c:axId val="168203008"/>
      </c:scatterChart>
      <c:valAx>
        <c:axId val="168198912"/>
        <c:scaling>
          <c:orientation val="minMax"/>
        </c:scaling>
        <c:delete val="0"/>
        <c:axPos val="b"/>
        <c:numFmt formatCode="mmm\-yy" sourceLinked="1"/>
        <c:majorTickMark val="out"/>
        <c:minorTickMark val="none"/>
        <c:tickLblPos val="nextTo"/>
        <c:crossAx val="168203008"/>
        <c:crosses val="autoZero"/>
        <c:crossBetween val="midCat"/>
      </c:valAx>
      <c:valAx>
        <c:axId val="168203008"/>
        <c:scaling>
          <c:logBase val="10"/>
          <c:orientation val="minMax"/>
        </c:scaling>
        <c:delete val="0"/>
        <c:axPos val="l"/>
        <c:majorGridlines/>
        <c:numFmt formatCode="General" sourceLinked="1"/>
        <c:majorTickMark val="out"/>
        <c:minorTickMark val="none"/>
        <c:tickLblPos val="nextTo"/>
        <c:crossAx val="16819891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sourcedata!$K$1</c:f>
              <c:strCache>
                <c:ptCount val="1"/>
                <c:pt idx="0">
                  <c:v>Speed (table speed ipm)</c:v>
                </c:pt>
              </c:strCache>
            </c:strRef>
          </c:tx>
          <c:spPr>
            <a:ln w="47625">
              <a:noFill/>
            </a:ln>
          </c:spPr>
          <c:trendline>
            <c:trendlineType val="exp"/>
            <c:dispRSqr val="1"/>
            <c:dispEq val="1"/>
            <c:trendlineLbl>
              <c:layout>
                <c:manualLayout>
                  <c:x val="-0.13263669827649299"/>
                  <c:y val="-6.2850727096223802E-2"/>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sourcedata!$K$2:$K$101</c:f>
              <c:numCache>
                <c:formatCode>General</c:formatCode>
                <c:ptCount val="100"/>
                <c:pt idx="0">
                  <c:v>14</c:v>
                </c:pt>
                <c:pt idx="1">
                  <c:v>30</c:v>
                </c:pt>
                <c:pt idx="2">
                  <c:v>159.60000000000002</c:v>
                </c:pt>
                <c:pt idx="10">
                  <c:v>20</c:v>
                </c:pt>
                <c:pt idx="11">
                  <c:v>5</c:v>
                </c:pt>
                <c:pt idx="13">
                  <c:v>60</c:v>
                </c:pt>
                <c:pt idx="23">
                  <c:v>40</c:v>
                </c:pt>
                <c:pt idx="35">
                  <c:v>200</c:v>
                </c:pt>
                <c:pt idx="41">
                  <c:v>512</c:v>
                </c:pt>
                <c:pt idx="47">
                  <c:v>150</c:v>
                </c:pt>
                <c:pt idx="55">
                  <c:v>300</c:v>
                </c:pt>
                <c:pt idx="57">
                  <c:v>60</c:v>
                </c:pt>
                <c:pt idx="59">
                  <c:v>1180</c:v>
                </c:pt>
                <c:pt idx="61">
                  <c:v>1200</c:v>
                </c:pt>
                <c:pt idx="72">
                  <c:v>2685</c:v>
                </c:pt>
                <c:pt idx="76">
                  <c:v>1181</c:v>
                </c:pt>
                <c:pt idx="79">
                  <c:v>1378</c:v>
                </c:pt>
                <c:pt idx="80">
                  <c:v>2362</c:v>
                </c:pt>
                <c:pt idx="84">
                  <c:v>1174.3599999999999</c:v>
                </c:pt>
                <c:pt idx="85">
                  <c:v>912</c:v>
                </c:pt>
                <c:pt idx="87">
                  <c:v>2362</c:v>
                </c:pt>
                <c:pt idx="91">
                  <c:v>1574</c:v>
                </c:pt>
                <c:pt idx="93">
                  <c:v>1771</c:v>
                </c:pt>
                <c:pt idx="94">
                  <c:v>3543</c:v>
                </c:pt>
                <c:pt idx="97">
                  <c:v>1417</c:v>
                </c:pt>
              </c:numCache>
            </c:numRef>
          </c:yVal>
          <c:smooth val="0"/>
        </c:ser>
        <c:dLbls>
          <c:showLegendKey val="0"/>
          <c:showVal val="0"/>
          <c:showCatName val="0"/>
          <c:showSerName val="0"/>
          <c:showPercent val="0"/>
          <c:showBubbleSize val="0"/>
        </c:dLbls>
        <c:axId val="176921216"/>
        <c:axId val="190839040"/>
      </c:scatterChart>
      <c:valAx>
        <c:axId val="176921216"/>
        <c:scaling>
          <c:orientation val="minMax"/>
        </c:scaling>
        <c:delete val="0"/>
        <c:axPos val="b"/>
        <c:numFmt formatCode="mmm\-yy" sourceLinked="1"/>
        <c:majorTickMark val="out"/>
        <c:minorTickMark val="none"/>
        <c:tickLblPos val="nextTo"/>
        <c:crossAx val="190839040"/>
        <c:crosses val="autoZero"/>
        <c:crossBetween val="midCat"/>
      </c:valAx>
      <c:valAx>
        <c:axId val="190839040"/>
        <c:scaling>
          <c:logBase val="10"/>
          <c:orientation val="minMax"/>
        </c:scaling>
        <c:delete val="0"/>
        <c:axPos val="l"/>
        <c:majorGridlines/>
        <c:numFmt formatCode="General" sourceLinked="1"/>
        <c:majorTickMark val="out"/>
        <c:minorTickMark val="none"/>
        <c:tickLblPos val="nextTo"/>
        <c:crossAx val="17692121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sourcedata!$L$1</c:f>
              <c:strCache>
                <c:ptCount val="1"/>
                <c:pt idx="0">
                  <c:v>Size (work area sq ")</c:v>
                </c:pt>
              </c:strCache>
            </c:strRef>
          </c:tx>
          <c:spPr>
            <a:ln w="47625">
              <a:noFill/>
            </a:ln>
          </c:spPr>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sourcedata!$L$2:$L$101</c:f>
              <c:numCache>
                <c:formatCode>General</c:formatCode>
                <c:ptCount val="100"/>
                <c:pt idx="8">
                  <c:v>123162.99839133424</c:v>
                </c:pt>
                <c:pt idx="9">
                  <c:v>630</c:v>
                </c:pt>
                <c:pt idx="13">
                  <c:v>234360</c:v>
                </c:pt>
                <c:pt idx="15">
                  <c:v>720</c:v>
                </c:pt>
                <c:pt idx="16">
                  <c:v>572</c:v>
                </c:pt>
                <c:pt idx="20">
                  <c:v>1092</c:v>
                </c:pt>
                <c:pt idx="23">
                  <c:v>648</c:v>
                </c:pt>
                <c:pt idx="24">
                  <c:v>592</c:v>
                </c:pt>
                <c:pt idx="27">
                  <c:v>585</c:v>
                </c:pt>
                <c:pt idx="29">
                  <c:v>2430</c:v>
                </c:pt>
                <c:pt idx="30">
                  <c:v>237.5</c:v>
                </c:pt>
                <c:pt idx="31">
                  <c:v>2430</c:v>
                </c:pt>
                <c:pt idx="32">
                  <c:v>560</c:v>
                </c:pt>
                <c:pt idx="36">
                  <c:v>660</c:v>
                </c:pt>
                <c:pt idx="39">
                  <c:v>441</c:v>
                </c:pt>
                <c:pt idx="43">
                  <c:v>4800</c:v>
                </c:pt>
                <c:pt idx="47">
                  <c:v>1664</c:v>
                </c:pt>
                <c:pt idx="48">
                  <c:v>800</c:v>
                </c:pt>
                <c:pt idx="50">
                  <c:v>540</c:v>
                </c:pt>
                <c:pt idx="67">
                  <c:v>320</c:v>
                </c:pt>
                <c:pt idx="78">
                  <c:v>2436.5</c:v>
                </c:pt>
                <c:pt idx="79">
                  <c:v>1008</c:v>
                </c:pt>
                <c:pt idx="81">
                  <c:v>2442</c:v>
                </c:pt>
                <c:pt idx="85">
                  <c:v>1600</c:v>
                </c:pt>
                <c:pt idx="86">
                  <c:v>409.6</c:v>
                </c:pt>
                <c:pt idx="87">
                  <c:v>1073.8399999999999</c:v>
                </c:pt>
                <c:pt idx="95">
                  <c:v>660</c:v>
                </c:pt>
                <c:pt idx="96">
                  <c:v>190.44000000000003</c:v>
                </c:pt>
                <c:pt idx="97">
                  <c:v>946</c:v>
                </c:pt>
                <c:pt idx="98">
                  <c:v>4527.8100000000004</c:v>
                </c:pt>
                <c:pt idx="99">
                  <c:v>7429.2800000000007</c:v>
                </c:pt>
              </c:numCache>
            </c:numRef>
          </c:yVal>
          <c:smooth val="0"/>
        </c:ser>
        <c:dLbls>
          <c:showLegendKey val="0"/>
          <c:showVal val="0"/>
          <c:showCatName val="0"/>
          <c:showSerName val="0"/>
          <c:showPercent val="0"/>
          <c:showBubbleSize val="0"/>
        </c:dLbls>
        <c:axId val="213674624"/>
        <c:axId val="213676800"/>
      </c:scatterChart>
      <c:valAx>
        <c:axId val="213674624"/>
        <c:scaling>
          <c:orientation val="minMax"/>
        </c:scaling>
        <c:delete val="0"/>
        <c:axPos val="b"/>
        <c:numFmt formatCode="mmm\-yy" sourceLinked="1"/>
        <c:majorTickMark val="out"/>
        <c:minorTickMark val="none"/>
        <c:tickLblPos val="nextTo"/>
        <c:crossAx val="213676800"/>
        <c:crosses val="autoZero"/>
        <c:crossBetween val="midCat"/>
      </c:valAx>
      <c:valAx>
        <c:axId val="213676800"/>
        <c:scaling>
          <c:logBase val="10"/>
          <c:orientation val="minMax"/>
        </c:scaling>
        <c:delete val="0"/>
        <c:axPos val="l"/>
        <c:majorGridlines/>
        <c:numFmt formatCode="General" sourceLinked="1"/>
        <c:majorTickMark val="out"/>
        <c:minorTickMark val="none"/>
        <c:tickLblPos val="nextTo"/>
        <c:crossAx val="21367462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sourcedata!$M$1</c:f>
              <c:strCache>
                <c:ptCount val="1"/>
                <c:pt idx="0">
                  <c:v>Accuracy (")</c:v>
                </c:pt>
              </c:strCache>
            </c:strRef>
          </c:tx>
          <c:spPr>
            <a:ln w="47625">
              <a:noFill/>
            </a:ln>
          </c:spPr>
          <c:trendline>
            <c:trendlineType val="exp"/>
            <c:dispRSqr val="1"/>
            <c:dispEq val="1"/>
            <c:trendlineLbl>
              <c:layout>
                <c:manualLayout>
                  <c:x val="0.23587382072596999"/>
                  <c:y val="-0.42383306694384199"/>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sourcedata!$M$2:$M$101</c:f>
              <c:numCache>
                <c:formatCode>General</c:formatCode>
                <c:ptCount val="100"/>
                <c:pt idx="13">
                  <c:v>5.0000000000000001E-4</c:v>
                </c:pt>
                <c:pt idx="14">
                  <c:v>1E-4</c:v>
                </c:pt>
                <c:pt idx="19">
                  <c:v>1E-4</c:v>
                </c:pt>
                <c:pt idx="22">
                  <c:v>5.0000000000000001E-4</c:v>
                </c:pt>
                <c:pt idx="33">
                  <c:v>5.0000000000000001E-4</c:v>
                </c:pt>
                <c:pt idx="34">
                  <c:v>5.0000000000000001E-4</c:v>
                </c:pt>
                <c:pt idx="39">
                  <c:v>2.0000000000000001E-4</c:v>
                </c:pt>
                <c:pt idx="42">
                  <c:v>8.0000000000000007E-5</c:v>
                </c:pt>
                <c:pt idx="44">
                  <c:v>2.0000000000000001E-4</c:v>
                </c:pt>
                <c:pt idx="46">
                  <c:v>1.4999999999999999E-4</c:v>
                </c:pt>
                <c:pt idx="48">
                  <c:v>2.0000000000000001E-4</c:v>
                </c:pt>
                <c:pt idx="49">
                  <c:v>2.0000000000000001E-4</c:v>
                </c:pt>
                <c:pt idx="50">
                  <c:v>2.0000000000000001E-4</c:v>
                </c:pt>
                <c:pt idx="55">
                  <c:v>2.0000000000000001E-4</c:v>
                </c:pt>
                <c:pt idx="60">
                  <c:v>5.0000000000000001E-3</c:v>
                </c:pt>
                <c:pt idx="61">
                  <c:v>1E-3</c:v>
                </c:pt>
                <c:pt idx="62">
                  <c:v>2.0000000000000002E-5</c:v>
                </c:pt>
                <c:pt idx="63">
                  <c:v>2.0000000000000001E-4</c:v>
                </c:pt>
                <c:pt idx="64">
                  <c:v>2.0000000000000001E-4</c:v>
                </c:pt>
                <c:pt idx="65">
                  <c:v>8.0000000000000004E-4</c:v>
                </c:pt>
                <c:pt idx="66">
                  <c:v>7.7999999999999999E-5</c:v>
                </c:pt>
                <c:pt idx="68">
                  <c:v>2.0000000000000001E-4</c:v>
                </c:pt>
              </c:numCache>
            </c:numRef>
          </c:yVal>
          <c:smooth val="0"/>
        </c:ser>
        <c:dLbls>
          <c:showLegendKey val="0"/>
          <c:showVal val="0"/>
          <c:showCatName val="0"/>
          <c:showSerName val="0"/>
          <c:showPercent val="0"/>
          <c:showBubbleSize val="0"/>
        </c:dLbls>
        <c:axId val="217594496"/>
        <c:axId val="217931776"/>
      </c:scatterChart>
      <c:valAx>
        <c:axId val="217594496"/>
        <c:scaling>
          <c:orientation val="minMax"/>
        </c:scaling>
        <c:delete val="0"/>
        <c:axPos val="b"/>
        <c:numFmt formatCode="mmm\-yy" sourceLinked="1"/>
        <c:majorTickMark val="out"/>
        <c:minorTickMark val="none"/>
        <c:tickLblPos val="nextTo"/>
        <c:crossAx val="217931776"/>
        <c:crosses val="autoZero"/>
        <c:crossBetween val="midCat"/>
      </c:valAx>
      <c:valAx>
        <c:axId val="217931776"/>
        <c:scaling>
          <c:logBase val="10"/>
          <c:orientation val="minMax"/>
        </c:scaling>
        <c:delete val="0"/>
        <c:axPos val="l"/>
        <c:majorGridlines/>
        <c:numFmt formatCode="General" sourceLinked="1"/>
        <c:majorTickMark val="out"/>
        <c:minorTickMark val="none"/>
        <c:tickLblPos val="nextTo"/>
        <c:crossAx val="21759449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sourcedata!$N$1</c:f>
              <c:strCache>
                <c:ptCount val="1"/>
                <c:pt idx="0">
                  <c:v>Cost</c:v>
                </c:pt>
              </c:strCache>
            </c:strRef>
          </c:tx>
          <c:spPr>
            <a:ln w="47625">
              <a:noFill/>
            </a:ln>
          </c:spPr>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sourcedata!$N$2:$N$101</c:f>
              <c:numCache>
                <c:formatCode>General</c:formatCode>
                <c:ptCount val="100"/>
                <c:pt idx="15" formatCode="&quot;$&quot;#,##0_);[Red]\(&quot;$&quot;#,##0\)">
                  <c:v>5350</c:v>
                </c:pt>
                <c:pt idx="21">
                  <c:v>695</c:v>
                </c:pt>
                <c:pt idx="37">
                  <c:v>110500</c:v>
                </c:pt>
                <c:pt idx="39">
                  <c:v>6400</c:v>
                </c:pt>
                <c:pt idx="67">
                  <c:v>55000</c:v>
                </c:pt>
                <c:pt idx="74">
                  <c:v>150000</c:v>
                </c:pt>
              </c:numCache>
            </c:numRef>
          </c:yVal>
          <c:smooth val="0"/>
        </c:ser>
        <c:dLbls>
          <c:showLegendKey val="0"/>
          <c:showVal val="0"/>
          <c:showCatName val="0"/>
          <c:showSerName val="0"/>
          <c:showPercent val="0"/>
          <c:showBubbleSize val="0"/>
        </c:dLbls>
        <c:axId val="218145536"/>
        <c:axId val="218147072"/>
      </c:scatterChart>
      <c:valAx>
        <c:axId val="218145536"/>
        <c:scaling>
          <c:orientation val="minMax"/>
        </c:scaling>
        <c:delete val="0"/>
        <c:axPos val="b"/>
        <c:numFmt formatCode="mmm\-yy" sourceLinked="1"/>
        <c:majorTickMark val="out"/>
        <c:minorTickMark val="none"/>
        <c:tickLblPos val="nextTo"/>
        <c:crossAx val="218147072"/>
        <c:crosses val="autoZero"/>
        <c:crossBetween val="midCat"/>
      </c:valAx>
      <c:valAx>
        <c:axId val="218147072"/>
        <c:scaling>
          <c:logBase val="10"/>
          <c:orientation val="minMax"/>
        </c:scaling>
        <c:delete val="0"/>
        <c:axPos val="l"/>
        <c:majorGridlines/>
        <c:numFmt formatCode="General" sourceLinked="1"/>
        <c:majorTickMark val="out"/>
        <c:minorTickMark val="none"/>
        <c:tickLblPos val="nextTo"/>
        <c:crossAx val="21814553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Table Speed and Accuracy</a:t>
            </a:r>
          </a:p>
        </c:rich>
      </c:tx>
      <c:overlay val="0"/>
    </c:title>
    <c:autoTitleDeleted val="0"/>
    <c:plotArea>
      <c:layout/>
      <c:scatterChart>
        <c:scatterStyle val="lineMarker"/>
        <c:varyColors val="0"/>
        <c:ser>
          <c:idx val="1"/>
          <c:order val="1"/>
          <c:tx>
            <c:strRef>
              <c:f>sourcedata!$K$1</c:f>
              <c:strCache>
                <c:ptCount val="1"/>
                <c:pt idx="0">
                  <c:v>Speed (table speed ipm)</c:v>
                </c:pt>
              </c:strCache>
            </c:strRef>
          </c:tx>
          <c:spPr>
            <a:ln w="47625">
              <a:noFill/>
            </a:ln>
          </c:spPr>
          <c:trendline>
            <c:trendlineType val="exp"/>
            <c:dispRSqr val="0"/>
            <c:dispEq val="0"/>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sourcedata!$K$2:$K$101</c:f>
              <c:numCache>
                <c:formatCode>General</c:formatCode>
                <c:ptCount val="100"/>
                <c:pt idx="0">
                  <c:v>14</c:v>
                </c:pt>
                <c:pt idx="1">
                  <c:v>30</c:v>
                </c:pt>
                <c:pt idx="2">
                  <c:v>159.60000000000002</c:v>
                </c:pt>
                <c:pt idx="10">
                  <c:v>20</c:v>
                </c:pt>
                <c:pt idx="11">
                  <c:v>5</c:v>
                </c:pt>
                <c:pt idx="13">
                  <c:v>60</c:v>
                </c:pt>
                <c:pt idx="23">
                  <c:v>40</c:v>
                </c:pt>
                <c:pt idx="35">
                  <c:v>200</c:v>
                </c:pt>
                <c:pt idx="41">
                  <c:v>512</c:v>
                </c:pt>
                <c:pt idx="47">
                  <c:v>150</c:v>
                </c:pt>
                <c:pt idx="55">
                  <c:v>300</c:v>
                </c:pt>
                <c:pt idx="57">
                  <c:v>60</c:v>
                </c:pt>
                <c:pt idx="59">
                  <c:v>1180</c:v>
                </c:pt>
                <c:pt idx="61">
                  <c:v>1200</c:v>
                </c:pt>
                <c:pt idx="72">
                  <c:v>2685</c:v>
                </c:pt>
                <c:pt idx="76">
                  <c:v>1181</c:v>
                </c:pt>
                <c:pt idx="79">
                  <c:v>1378</c:v>
                </c:pt>
                <c:pt idx="80">
                  <c:v>2362</c:v>
                </c:pt>
                <c:pt idx="84">
                  <c:v>1174.3599999999999</c:v>
                </c:pt>
                <c:pt idx="85">
                  <c:v>912</c:v>
                </c:pt>
                <c:pt idx="87">
                  <c:v>2362</c:v>
                </c:pt>
                <c:pt idx="91">
                  <c:v>1574</c:v>
                </c:pt>
                <c:pt idx="93">
                  <c:v>1771</c:v>
                </c:pt>
                <c:pt idx="94">
                  <c:v>3543</c:v>
                </c:pt>
                <c:pt idx="97">
                  <c:v>1417</c:v>
                </c:pt>
              </c:numCache>
            </c:numRef>
          </c:yVal>
          <c:smooth val="0"/>
        </c:ser>
        <c:ser>
          <c:idx val="0"/>
          <c:order val="0"/>
          <c:tx>
            <c:strRef>
              <c:f>sourcedata!$M$1</c:f>
              <c:strCache>
                <c:ptCount val="1"/>
                <c:pt idx="0">
                  <c:v>Accuracy (")</c:v>
                </c:pt>
              </c:strCache>
            </c:strRef>
          </c:tx>
          <c:spPr>
            <a:ln w="47625">
              <a:noFill/>
            </a:ln>
          </c:spPr>
          <c:trendline>
            <c:trendlineType val="exp"/>
            <c:dispRSqr val="1"/>
            <c:dispEq val="1"/>
            <c:trendlineLbl>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sourcedata!$M$2:$M$101</c:f>
              <c:numCache>
                <c:formatCode>General</c:formatCode>
                <c:ptCount val="100"/>
                <c:pt idx="13">
                  <c:v>5.0000000000000001E-4</c:v>
                </c:pt>
                <c:pt idx="14">
                  <c:v>1E-4</c:v>
                </c:pt>
                <c:pt idx="19">
                  <c:v>1E-4</c:v>
                </c:pt>
                <c:pt idx="22">
                  <c:v>5.0000000000000001E-4</c:v>
                </c:pt>
                <c:pt idx="33">
                  <c:v>5.0000000000000001E-4</c:v>
                </c:pt>
                <c:pt idx="34">
                  <c:v>5.0000000000000001E-4</c:v>
                </c:pt>
                <c:pt idx="39">
                  <c:v>2.0000000000000001E-4</c:v>
                </c:pt>
                <c:pt idx="42">
                  <c:v>8.0000000000000007E-5</c:v>
                </c:pt>
                <c:pt idx="44">
                  <c:v>2.0000000000000001E-4</c:v>
                </c:pt>
                <c:pt idx="46">
                  <c:v>1.4999999999999999E-4</c:v>
                </c:pt>
                <c:pt idx="48">
                  <c:v>2.0000000000000001E-4</c:v>
                </c:pt>
                <c:pt idx="49">
                  <c:v>2.0000000000000001E-4</c:v>
                </c:pt>
                <c:pt idx="50">
                  <c:v>2.0000000000000001E-4</c:v>
                </c:pt>
                <c:pt idx="55">
                  <c:v>2.0000000000000001E-4</c:v>
                </c:pt>
                <c:pt idx="60">
                  <c:v>5.0000000000000001E-3</c:v>
                </c:pt>
                <c:pt idx="61">
                  <c:v>1E-3</c:v>
                </c:pt>
                <c:pt idx="62">
                  <c:v>2.0000000000000002E-5</c:v>
                </c:pt>
                <c:pt idx="63">
                  <c:v>2.0000000000000001E-4</c:v>
                </c:pt>
                <c:pt idx="64">
                  <c:v>2.0000000000000001E-4</c:v>
                </c:pt>
                <c:pt idx="65">
                  <c:v>8.0000000000000004E-4</c:v>
                </c:pt>
                <c:pt idx="66">
                  <c:v>7.7999999999999999E-5</c:v>
                </c:pt>
                <c:pt idx="68">
                  <c:v>2.0000000000000001E-4</c:v>
                </c:pt>
              </c:numCache>
            </c:numRef>
          </c:yVal>
          <c:smooth val="0"/>
        </c:ser>
        <c:dLbls>
          <c:showLegendKey val="0"/>
          <c:showVal val="0"/>
          <c:showCatName val="0"/>
          <c:showSerName val="0"/>
          <c:showPercent val="0"/>
          <c:showBubbleSize val="0"/>
        </c:dLbls>
        <c:axId val="168339712"/>
        <c:axId val="168402944"/>
      </c:scatterChart>
      <c:valAx>
        <c:axId val="168339712"/>
        <c:scaling>
          <c:orientation val="minMax"/>
        </c:scaling>
        <c:delete val="0"/>
        <c:axPos val="b"/>
        <c:numFmt formatCode="mmm\-yy" sourceLinked="1"/>
        <c:majorTickMark val="out"/>
        <c:minorTickMark val="none"/>
        <c:tickLblPos val="nextTo"/>
        <c:crossAx val="168402944"/>
        <c:crosses val="autoZero"/>
        <c:crossBetween val="midCat"/>
      </c:valAx>
      <c:valAx>
        <c:axId val="168402944"/>
        <c:scaling>
          <c:logBase val="10"/>
          <c:orientation val="minMax"/>
        </c:scaling>
        <c:delete val="0"/>
        <c:axPos val="l"/>
        <c:majorGridlines/>
        <c:numFmt formatCode="General" sourceLinked="1"/>
        <c:majorTickMark val="out"/>
        <c:minorTickMark val="none"/>
        <c:tickLblPos val="nextTo"/>
        <c:crossAx val="16833971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sourcedata!$O$1</c:f>
              <c:strCache>
                <c:ptCount val="1"/>
                <c:pt idx="0">
                  <c:v>Average table speed per year</c:v>
                </c:pt>
              </c:strCache>
            </c:strRef>
          </c:tx>
          <c:spPr>
            <a:ln w="47625">
              <a:noFill/>
            </a:ln>
          </c:spPr>
          <c:trendline>
            <c:trendlineType val="exp"/>
            <c:dispRSqr val="1"/>
            <c:dispEq val="1"/>
            <c:trendlineLbl>
              <c:layout>
                <c:manualLayout>
                  <c:x val="-0.13263669827649299"/>
                  <c:y val="-6.2850727096223802E-2"/>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sourcedata!$O$2:$O$101</c:f>
              <c:numCache>
                <c:formatCode>General</c:formatCode>
                <c:ptCount val="100"/>
                <c:pt idx="0">
                  <c:v>14</c:v>
                </c:pt>
                <c:pt idx="1">
                  <c:v>94.800000000000011</c:v>
                </c:pt>
                <c:pt idx="7">
                  <c:v>20</c:v>
                </c:pt>
                <c:pt idx="11">
                  <c:v>32.5</c:v>
                </c:pt>
                <c:pt idx="22">
                  <c:v>40</c:v>
                </c:pt>
                <c:pt idx="31">
                  <c:v>200</c:v>
                </c:pt>
                <c:pt idx="37">
                  <c:v>331</c:v>
                </c:pt>
                <c:pt idx="51">
                  <c:v>300</c:v>
                </c:pt>
                <c:pt idx="56">
                  <c:v>813.33333333333337</c:v>
                </c:pt>
                <c:pt idx="70">
                  <c:v>2685</c:v>
                </c:pt>
                <c:pt idx="75">
                  <c:v>1806.3733333333334</c:v>
                </c:pt>
              </c:numCache>
            </c:numRef>
          </c:yVal>
          <c:smooth val="0"/>
        </c:ser>
        <c:dLbls>
          <c:showLegendKey val="0"/>
          <c:showVal val="0"/>
          <c:showCatName val="0"/>
          <c:showSerName val="0"/>
          <c:showPercent val="0"/>
          <c:showBubbleSize val="0"/>
        </c:dLbls>
        <c:axId val="212349696"/>
        <c:axId val="212351232"/>
      </c:scatterChart>
      <c:valAx>
        <c:axId val="212349696"/>
        <c:scaling>
          <c:orientation val="minMax"/>
        </c:scaling>
        <c:delete val="0"/>
        <c:axPos val="b"/>
        <c:numFmt formatCode="mmm\-yy" sourceLinked="1"/>
        <c:majorTickMark val="out"/>
        <c:minorTickMark val="none"/>
        <c:tickLblPos val="nextTo"/>
        <c:crossAx val="212351232"/>
        <c:crosses val="autoZero"/>
        <c:crossBetween val="midCat"/>
      </c:valAx>
      <c:valAx>
        <c:axId val="212351232"/>
        <c:scaling>
          <c:logBase val="10"/>
          <c:orientation val="minMax"/>
        </c:scaling>
        <c:delete val="0"/>
        <c:axPos val="l"/>
        <c:majorGridlines/>
        <c:numFmt formatCode="General" sourceLinked="1"/>
        <c:majorTickMark val="out"/>
        <c:minorTickMark val="none"/>
        <c:tickLblPos val="nextTo"/>
        <c:crossAx val="21234969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sourcedata!$T$1</c:f>
              <c:strCache>
                <c:ptCount val="1"/>
                <c:pt idx="0">
                  <c:v>Average accuracy per year</c:v>
                </c:pt>
              </c:strCache>
            </c:strRef>
          </c:tx>
          <c:spPr>
            <a:ln w="47625">
              <a:noFill/>
            </a:ln>
          </c:spPr>
          <c:trendline>
            <c:trendlineType val="exp"/>
            <c:dispRSqr val="1"/>
            <c:dispEq val="1"/>
            <c:trendlineLbl>
              <c:layout>
                <c:manualLayout>
                  <c:x val="-0.13263669827649299"/>
                  <c:y val="-6.2850727096223802E-2"/>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sourcedata!$T$2:$T$101</c:f>
              <c:numCache>
                <c:formatCode>General</c:formatCode>
                <c:ptCount val="100"/>
                <c:pt idx="11">
                  <c:v>2.3333333333333336E-4</c:v>
                </c:pt>
                <c:pt idx="22">
                  <c:v>5.0000000000000001E-4</c:v>
                </c:pt>
                <c:pt idx="31">
                  <c:v>5.0000000000000001E-4</c:v>
                </c:pt>
                <c:pt idx="37">
                  <c:v>1.7571428571428575E-4</c:v>
                </c:pt>
                <c:pt idx="51">
                  <c:v>2.0000000000000001E-4</c:v>
                </c:pt>
                <c:pt idx="56">
                  <c:v>9.3724999999999993E-4</c:v>
                </c:pt>
              </c:numCache>
            </c:numRef>
          </c:yVal>
          <c:smooth val="0"/>
        </c:ser>
        <c:dLbls>
          <c:showLegendKey val="0"/>
          <c:showVal val="0"/>
          <c:showCatName val="0"/>
          <c:showSerName val="0"/>
          <c:showPercent val="0"/>
          <c:showBubbleSize val="0"/>
        </c:dLbls>
        <c:axId val="212372480"/>
        <c:axId val="212378368"/>
      </c:scatterChart>
      <c:valAx>
        <c:axId val="212372480"/>
        <c:scaling>
          <c:orientation val="minMax"/>
        </c:scaling>
        <c:delete val="0"/>
        <c:axPos val="b"/>
        <c:numFmt formatCode="mmm\-yy" sourceLinked="1"/>
        <c:majorTickMark val="out"/>
        <c:minorTickMark val="none"/>
        <c:tickLblPos val="nextTo"/>
        <c:crossAx val="212378368"/>
        <c:crosses val="autoZero"/>
        <c:crossBetween val="midCat"/>
      </c:valAx>
      <c:valAx>
        <c:axId val="212378368"/>
        <c:scaling>
          <c:logBase val="10"/>
          <c:orientation val="minMax"/>
        </c:scaling>
        <c:delete val="0"/>
        <c:axPos val="l"/>
        <c:majorGridlines/>
        <c:numFmt formatCode="General" sourceLinked="1"/>
        <c:majorTickMark val="out"/>
        <c:minorTickMark val="none"/>
        <c:tickLblPos val="nextTo"/>
        <c:crossAx val="21237248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8.02208624850686E-2"/>
          <c:y val="8.6176836861768399E-2"/>
          <c:w val="0.68490980229638498"/>
          <c:h val="0.82329610417626797"/>
        </c:manualLayout>
      </c:layout>
      <c:scatterChart>
        <c:scatterStyle val="lineMarker"/>
        <c:varyColors val="0"/>
        <c:ser>
          <c:idx val="0"/>
          <c:order val="0"/>
          <c:tx>
            <c:strRef>
              <c:f>sourcedata!$V$1</c:f>
              <c:strCache>
                <c:ptCount val="1"/>
                <c:pt idx="0">
                  <c:v>Speed/accuracy values (0's deleted)</c:v>
                </c:pt>
              </c:strCache>
            </c:strRef>
          </c:tx>
          <c:spPr>
            <a:ln w="47625">
              <a:noFill/>
            </a:ln>
          </c:spPr>
          <c:trendline>
            <c:trendlineType val="exp"/>
            <c:dispRSqr val="1"/>
            <c:dispEq val="1"/>
            <c:trendlineLbl>
              <c:layout>
                <c:manualLayout>
                  <c:x val="0.274059627995417"/>
                  <c:y val="0.115566625155666"/>
                </c:manualLayout>
              </c:layout>
              <c:tx>
                <c:rich>
                  <a:bodyPr/>
                  <a:lstStyle/>
                  <a:p>
                    <a:pPr>
                      <a:defRPr/>
                    </a:pPr>
                    <a:r>
                      <a:rPr lang="en-US" sz="1600" baseline="0"/>
                      <a:t>y = 1677e</a:t>
                    </a:r>
                    <a:r>
                      <a:rPr lang="en-US" sz="1600" baseline="30000"/>
                      <a:t>0.0002x</a:t>
                    </a:r>
                    <a:r>
                      <a:rPr lang="en-US" sz="1600" baseline="0"/>
                      <a:t>
R² = 0.74586</a:t>
                    </a:r>
                    <a:endParaRPr lang="en-US" sz="1600"/>
                  </a:p>
                </c:rich>
              </c:tx>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sourcedata!$V$2:$V$101</c:f>
              <c:numCache>
                <c:formatCode>General</c:formatCode>
                <c:ptCount val="100"/>
                <c:pt idx="11">
                  <c:v>139285.71428571426</c:v>
                </c:pt>
                <c:pt idx="22">
                  <c:v>80000</c:v>
                </c:pt>
                <c:pt idx="31">
                  <c:v>400000</c:v>
                </c:pt>
                <c:pt idx="37">
                  <c:v>1883739.8373983738</c:v>
                </c:pt>
                <c:pt idx="51">
                  <c:v>1500000</c:v>
                </c:pt>
                <c:pt idx="56">
                  <c:v>867786.96541299915</c:v>
                </c:pt>
              </c:numCache>
            </c:numRef>
          </c:yVal>
          <c:smooth val="0"/>
        </c:ser>
        <c:dLbls>
          <c:showLegendKey val="0"/>
          <c:showVal val="0"/>
          <c:showCatName val="0"/>
          <c:showSerName val="0"/>
          <c:showPercent val="0"/>
          <c:showBubbleSize val="0"/>
        </c:dLbls>
        <c:axId val="212649472"/>
        <c:axId val="212651008"/>
      </c:scatterChart>
      <c:valAx>
        <c:axId val="212649472"/>
        <c:scaling>
          <c:orientation val="minMax"/>
        </c:scaling>
        <c:delete val="0"/>
        <c:axPos val="b"/>
        <c:numFmt formatCode="mmm\-yy" sourceLinked="1"/>
        <c:majorTickMark val="out"/>
        <c:minorTickMark val="none"/>
        <c:tickLblPos val="nextTo"/>
        <c:crossAx val="212651008"/>
        <c:crosses val="autoZero"/>
        <c:crossBetween val="midCat"/>
      </c:valAx>
      <c:valAx>
        <c:axId val="212651008"/>
        <c:scaling>
          <c:logBase val="10"/>
          <c:orientation val="minMax"/>
        </c:scaling>
        <c:delete val="0"/>
        <c:axPos val="l"/>
        <c:majorGridlines/>
        <c:numFmt formatCode="General" sourceLinked="1"/>
        <c:majorTickMark val="out"/>
        <c:minorTickMark val="none"/>
        <c:tickLblPos val="nextTo"/>
        <c:crossAx val="212649472"/>
        <c:crosses val="autoZero"/>
        <c:crossBetween val="midCat"/>
      </c:valAx>
    </c:plotArea>
    <c:legend>
      <c:legendPos val="r"/>
      <c:legendEntry>
        <c:idx val="1"/>
        <c:delete val="1"/>
      </c:legendEntry>
      <c:overlay val="0"/>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sourcedata!$V$1</c:f>
              <c:strCache>
                <c:ptCount val="1"/>
                <c:pt idx="0">
                  <c:v>Speed/accuracy values (0's deleted)</c:v>
                </c:pt>
              </c:strCache>
            </c:strRef>
          </c:tx>
          <c:spPr>
            <a:ln w="47625">
              <a:noFill/>
            </a:ln>
          </c:spPr>
          <c:trendline>
            <c:trendlineType val="exp"/>
            <c:dispRSqr val="1"/>
            <c:dispEq val="1"/>
            <c:trendlineLbl>
              <c:layout>
                <c:manualLayout>
                  <c:x val="0.32620441726699101"/>
                  <c:y val="2.0921544209215399E-2"/>
                </c:manualLayout>
              </c:layout>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sourcedata!$V$2:$V$101</c:f>
              <c:numCache>
                <c:formatCode>General</c:formatCode>
                <c:ptCount val="100"/>
                <c:pt idx="11">
                  <c:v>139285.71428571426</c:v>
                </c:pt>
                <c:pt idx="22">
                  <c:v>80000</c:v>
                </c:pt>
                <c:pt idx="31">
                  <c:v>400000</c:v>
                </c:pt>
                <c:pt idx="37">
                  <c:v>1883739.8373983738</c:v>
                </c:pt>
                <c:pt idx="51">
                  <c:v>1500000</c:v>
                </c:pt>
                <c:pt idx="56">
                  <c:v>867786.96541299915</c:v>
                </c:pt>
              </c:numCache>
            </c:numRef>
          </c:yVal>
          <c:smooth val="0"/>
        </c:ser>
        <c:dLbls>
          <c:showLegendKey val="0"/>
          <c:showVal val="0"/>
          <c:showCatName val="0"/>
          <c:showSerName val="0"/>
          <c:showPercent val="0"/>
          <c:showBubbleSize val="0"/>
        </c:dLbls>
        <c:axId val="213602688"/>
        <c:axId val="213604224"/>
      </c:scatterChart>
      <c:valAx>
        <c:axId val="213602688"/>
        <c:scaling>
          <c:orientation val="minMax"/>
        </c:scaling>
        <c:delete val="0"/>
        <c:axPos val="b"/>
        <c:numFmt formatCode="mmm\-yy" sourceLinked="1"/>
        <c:majorTickMark val="out"/>
        <c:minorTickMark val="none"/>
        <c:tickLblPos val="nextTo"/>
        <c:crossAx val="213604224"/>
        <c:crosses val="autoZero"/>
        <c:crossBetween val="midCat"/>
      </c:valAx>
      <c:valAx>
        <c:axId val="213604224"/>
        <c:scaling>
          <c:logBase val="10"/>
          <c:orientation val="minMax"/>
        </c:scaling>
        <c:delete val="0"/>
        <c:axPos val="l"/>
        <c:majorGridlines/>
        <c:numFmt formatCode="General" sourceLinked="1"/>
        <c:majorTickMark val="out"/>
        <c:minorTickMark val="none"/>
        <c:tickLblPos val="nextTo"/>
        <c:crossAx val="21360268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Speed/accuracy values</a:t>
            </a:r>
            <a:r>
              <a:rPr lang="en-US" baseline="0"/>
              <a:t> for mills</a:t>
            </a:r>
            <a:endParaRPr lang="en-US"/>
          </a:p>
        </c:rich>
      </c:tx>
      <c:overlay val="0"/>
    </c:title>
    <c:autoTitleDeleted val="0"/>
    <c:plotArea>
      <c:layout/>
      <c:scatterChart>
        <c:scatterStyle val="lineMarker"/>
        <c:varyColors val="0"/>
        <c:ser>
          <c:idx val="0"/>
          <c:order val="0"/>
          <c:tx>
            <c:strRef>
              <c:f>sourcedata!$V$1</c:f>
              <c:strCache>
                <c:ptCount val="1"/>
                <c:pt idx="0">
                  <c:v>Speed/accuracy values (0's deleted)</c:v>
                </c:pt>
              </c:strCache>
            </c:strRef>
          </c:tx>
          <c:spPr>
            <a:ln w="47625">
              <a:noFill/>
            </a:ln>
          </c:spPr>
          <c:trendline>
            <c:trendlineType val="exp"/>
            <c:dispRSqr val="1"/>
            <c:dispEq val="1"/>
            <c:trendlineLbl>
              <c:layout>
                <c:manualLayout>
                  <c:x val="0.21342568440554799"/>
                  <c:y val="0.17783312577833099"/>
                </c:manualLayout>
              </c:layout>
              <c:tx>
                <c:rich>
                  <a:bodyPr/>
                  <a:lstStyle/>
                  <a:p>
                    <a:pPr>
                      <a:defRPr/>
                    </a:pPr>
                    <a:r>
                      <a:rPr lang="en-US" sz="1600" baseline="0"/>
                      <a:t>y = 1677e</a:t>
                    </a:r>
                    <a:r>
                      <a:rPr lang="en-US" sz="1600" baseline="30000"/>
                      <a:t>0.0002x</a:t>
                    </a:r>
                    <a:r>
                      <a:rPr lang="en-US" sz="1600" baseline="0"/>
                      <a:t>
R² = 0.74586</a:t>
                    </a:r>
                    <a:endParaRPr lang="en-US" sz="1600"/>
                  </a:p>
                </c:rich>
              </c:tx>
              <c:numFmt formatCode="General" sourceLinked="0"/>
            </c:trendlineLbl>
          </c:trendline>
          <c:xVal>
            <c:numRef>
              <c:f>sourcedata!$F$2:$F$101</c:f>
              <c:numCache>
                <c:formatCode>mmm\-yy</c:formatCode>
                <c:ptCount val="100"/>
                <c:pt idx="0">
                  <c:v>10410</c:v>
                </c:pt>
                <c:pt idx="1">
                  <c:v>14366</c:v>
                </c:pt>
                <c:pt idx="2">
                  <c:v>14366</c:v>
                </c:pt>
                <c:pt idx="3">
                  <c:v>14366</c:v>
                </c:pt>
                <c:pt idx="4">
                  <c:v>14366</c:v>
                </c:pt>
                <c:pt idx="5">
                  <c:v>16589</c:v>
                </c:pt>
                <c:pt idx="6">
                  <c:v>16589</c:v>
                </c:pt>
                <c:pt idx="7">
                  <c:v>18780</c:v>
                </c:pt>
                <c:pt idx="8">
                  <c:v>18780</c:v>
                </c:pt>
                <c:pt idx="9">
                  <c:v>18780</c:v>
                </c:pt>
                <c:pt idx="10">
                  <c:v>18780</c:v>
                </c:pt>
                <c:pt idx="11">
                  <c:v>21337</c:v>
                </c:pt>
                <c:pt idx="12">
                  <c:v>21337</c:v>
                </c:pt>
                <c:pt idx="13">
                  <c:v>21337</c:v>
                </c:pt>
                <c:pt idx="14">
                  <c:v>21337</c:v>
                </c:pt>
                <c:pt idx="15">
                  <c:v>21337</c:v>
                </c:pt>
                <c:pt idx="16">
                  <c:v>21337</c:v>
                </c:pt>
                <c:pt idx="17">
                  <c:v>21337</c:v>
                </c:pt>
                <c:pt idx="18">
                  <c:v>21337</c:v>
                </c:pt>
                <c:pt idx="19">
                  <c:v>21337</c:v>
                </c:pt>
                <c:pt idx="20">
                  <c:v>21337</c:v>
                </c:pt>
                <c:pt idx="21">
                  <c:v>21337</c:v>
                </c:pt>
                <c:pt idx="22">
                  <c:v>24259</c:v>
                </c:pt>
                <c:pt idx="23">
                  <c:v>24259</c:v>
                </c:pt>
                <c:pt idx="24">
                  <c:v>24259</c:v>
                </c:pt>
                <c:pt idx="25">
                  <c:v>24259</c:v>
                </c:pt>
                <c:pt idx="26">
                  <c:v>24259</c:v>
                </c:pt>
                <c:pt idx="27">
                  <c:v>24259</c:v>
                </c:pt>
                <c:pt idx="28">
                  <c:v>24259</c:v>
                </c:pt>
                <c:pt idx="29">
                  <c:v>24259</c:v>
                </c:pt>
                <c:pt idx="30">
                  <c:v>24259</c:v>
                </c:pt>
                <c:pt idx="31">
                  <c:v>26816</c:v>
                </c:pt>
                <c:pt idx="32">
                  <c:v>26816</c:v>
                </c:pt>
                <c:pt idx="33">
                  <c:v>26816</c:v>
                </c:pt>
                <c:pt idx="34">
                  <c:v>26816</c:v>
                </c:pt>
                <c:pt idx="35">
                  <c:v>26816</c:v>
                </c:pt>
                <c:pt idx="36">
                  <c:v>26816</c:v>
                </c:pt>
                <c:pt idx="37">
                  <c:v>31199</c:v>
                </c:pt>
                <c:pt idx="38">
                  <c:v>31199</c:v>
                </c:pt>
                <c:pt idx="39">
                  <c:v>31199</c:v>
                </c:pt>
                <c:pt idx="40">
                  <c:v>31199</c:v>
                </c:pt>
                <c:pt idx="41">
                  <c:v>31199</c:v>
                </c:pt>
                <c:pt idx="42">
                  <c:v>31199</c:v>
                </c:pt>
                <c:pt idx="43">
                  <c:v>31199</c:v>
                </c:pt>
                <c:pt idx="44">
                  <c:v>31199</c:v>
                </c:pt>
                <c:pt idx="45">
                  <c:v>31199</c:v>
                </c:pt>
                <c:pt idx="46">
                  <c:v>31199</c:v>
                </c:pt>
                <c:pt idx="47">
                  <c:v>31199</c:v>
                </c:pt>
                <c:pt idx="48">
                  <c:v>31199</c:v>
                </c:pt>
                <c:pt idx="49">
                  <c:v>31199</c:v>
                </c:pt>
                <c:pt idx="50">
                  <c:v>31199</c:v>
                </c:pt>
                <c:pt idx="51">
                  <c:v>34943</c:v>
                </c:pt>
                <c:pt idx="52">
                  <c:v>34943</c:v>
                </c:pt>
                <c:pt idx="53">
                  <c:v>34973</c:v>
                </c:pt>
                <c:pt idx="54">
                  <c:v>35004</c:v>
                </c:pt>
                <c:pt idx="55">
                  <c:v>35034</c:v>
                </c:pt>
                <c:pt idx="56">
                  <c:v>35065</c:v>
                </c:pt>
                <c:pt idx="57">
                  <c:v>35065</c:v>
                </c:pt>
                <c:pt idx="58">
                  <c:v>35065</c:v>
                </c:pt>
                <c:pt idx="59">
                  <c:v>35065</c:v>
                </c:pt>
                <c:pt idx="60">
                  <c:v>35065</c:v>
                </c:pt>
                <c:pt idx="61">
                  <c:v>35125</c:v>
                </c:pt>
                <c:pt idx="62">
                  <c:v>35125</c:v>
                </c:pt>
                <c:pt idx="63">
                  <c:v>35156</c:v>
                </c:pt>
                <c:pt idx="64">
                  <c:v>35156</c:v>
                </c:pt>
                <c:pt idx="65">
                  <c:v>35156</c:v>
                </c:pt>
                <c:pt idx="66">
                  <c:v>35156</c:v>
                </c:pt>
                <c:pt idx="67">
                  <c:v>35156</c:v>
                </c:pt>
                <c:pt idx="68">
                  <c:v>35247</c:v>
                </c:pt>
                <c:pt idx="69">
                  <c:v>35247</c:v>
                </c:pt>
                <c:pt idx="70">
                  <c:v>37104</c:v>
                </c:pt>
                <c:pt idx="71">
                  <c:v>37104</c:v>
                </c:pt>
                <c:pt idx="72">
                  <c:v>37104</c:v>
                </c:pt>
                <c:pt idx="73">
                  <c:v>37104</c:v>
                </c:pt>
                <c:pt idx="74">
                  <c:v>37104</c:v>
                </c:pt>
                <c:pt idx="75">
                  <c:v>41122</c:v>
                </c:pt>
                <c:pt idx="76">
                  <c:v>41122</c:v>
                </c:pt>
                <c:pt idx="77">
                  <c:v>41122</c:v>
                </c:pt>
                <c:pt idx="78">
                  <c:v>41122</c:v>
                </c:pt>
                <c:pt idx="79">
                  <c:v>41122</c:v>
                </c:pt>
                <c:pt idx="80">
                  <c:v>41122</c:v>
                </c:pt>
                <c:pt idx="81">
                  <c:v>41122</c:v>
                </c:pt>
                <c:pt idx="82">
                  <c:v>41122</c:v>
                </c:pt>
                <c:pt idx="83">
                  <c:v>41122</c:v>
                </c:pt>
                <c:pt idx="84">
                  <c:v>41122</c:v>
                </c:pt>
                <c:pt idx="85">
                  <c:v>41122</c:v>
                </c:pt>
                <c:pt idx="86">
                  <c:v>41122</c:v>
                </c:pt>
                <c:pt idx="87">
                  <c:v>41122</c:v>
                </c:pt>
                <c:pt idx="88">
                  <c:v>41122</c:v>
                </c:pt>
                <c:pt idx="89">
                  <c:v>41122</c:v>
                </c:pt>
                <c:pt idx="90">
                  <c:v>41122</c:v>
                </c:pt>
                <c:pt idx="91">
                  <c:v>41122</c:v>
                </c:pt>
                <c:pt idx="92">
                  <c:v>41122</c:v>
                </c:pt>
                <c:pt idx="93">
                  <c:v>41122</c:v>
                </c:pt>
                <c:pt idx="94">
                  <c:v>41122</c:v>
                </c:pt>
                <c:pt idx="95">
                  <c:v>41122</c:v>
                </c:pt>
                <c:pt idx="96">
                  <c:v>41122</c:v>
                </c:pt>
                <c:pt idx="97">
                  <c:v>41122</c:v>
                </c:pt>
                <c:pt idx="98">
                  <c:v>41122</c:v>
                </c:pt>
                <c:pt idx="99">
                  <c:v>41122</c:v>
                </c:pt>
              </c:numCache>
            </c:numRef>
          </c:xVal>
          <c:yVal>
            <c:numRef>
              <c:f>sourcedata!$V$2:$V$101</c:f>
              <c:numCache>
                <c:formatCode>General</c:formatCode>
                <c:ptCount val="100"/>
                <c:pt idx="11">
                  <c:v>139285.71428571426</c:v>
                </c:pt>
                <c:pt idx="22">
                  <c:v>80000</c:v>
                </c:pt>
                <c:pt idx="31">
                  <c:v>400000</c:v>
                </c:pt>
                <c:pt idx="37">
                  <c:v>1883739.8373983738</c:v>
                </c:pt>
                <c:pt idx="51">
                  <c:v>1500000</c:v>
                </c:pt>
                <c:pt idx="56">
                  <c:v>867786.96541299915</c:v>
                </c:pt>
              </c:numCache>
            </c:numRef>
          </c:yVal>
          <c:smooth val="0"/>
        </c:ser>
        <c:dLbls>
          <c:showLegendKey val="0"/>
          <c:showVal val="0"/>
          <c:showCatName val="0"/>
          <c:showSerName val="0"/>
          <c:showPercent val="0"/>
          <c:showBubbleSize val="0"/>
        </c:dLbls>
        <c:axId val="213781504"/>
        <c:axId val="213787776"/>
      </c:scatterChart>
      <c:valAx>
        <c:axId val="213781504"/>
        <c:scaling>
          <c:orientation val="minMax"/>
        </c:scaling>
        <c:delete val="0"/>
        <c:axPos val="b"/>
        <c:title>
          <c:tx>
            <c:rich>
              <a:bodyPr/>
              <a:lstStyle/>
              <a:p>
                <a:pPr>
                  <a:defRPr/>
                </a:pPr>
                <a:r>
                  <a:rPr lang="en-US"/>
                  <a:t>Year</a:t>
                </a:r>
              </a:p>
            </c:rich>
          </c:tx>
          <c:overlay val="0"/>
        </c:title>
        <c:numFmt formatCode="mmm\-yy" sourceLinked="1"/>
        <c:majorTickMark val="out"/>
        <c:minorTickMark val="none"/>
        <c:tickLblPos val="nextTo"/>
        <c:crossAx val="213787776"/>
        <c:crosses val="autoZero"/>
        <c:crossBetween val="midCat"/>
      </c:valAx>
      <c:valAx>
        <c:axId val="213787776"/>
        <c:scaling>
          <c:logBase val="10"/>
          <c:orientation val="minMax"/>
        </c:scaling>
        <c:delete val="0"/>
        <c:axPos val="l"/>
        <c:majorGridlines/>
        <c:title>
          <c:tx>
            <c:rich>
              <a:bodyPr rot="-5400000" vert="horz"/>
              <a:lstStyle/>
              <a:p>
                <a:pPr>
                  <a:defRPr/>
                </a:pPr>
                <a:r>
                  <a:rPr lang="en-US"/>
                  <a:t>Average table speed</a:t>
                </a:r>
                <a:r>
                  <a:rPr lang="en-US" baseline="0"/>
                  <a:t> (ipm) / Accuracy (")</a:t>
                </a:r>
                <a:endParaRPr lang="en-US"/>
              </a:p>
            </c:rich>
          </c:tx>
          <c:overlay val="0"/>
        </c:title>
        <c:numFmt formatCode="General" sourceLinked="1"/>
        <c:majorTickMark val="out"/>
        <c:minorTickMark val="none"/>
        <c:tickLblPos val="nextTo"/>
        <c:crossAx val="213781504"/>
        <c:crosses val="autoZero"/>
        <c:crossBetween val="midCat"/>
      </c:valAx>
    </c:plotArea>
    <c:legend>
      <c:legendPos val="r"/>
      <c:legendEntry>
        <c:idx val="1"/>
        <c:delete val="1"/>
      </c:legendEntry>
      <c:overlay val="0"/>
    </c:legend>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Speed/Accuracy</a:t>
            </a:r>
          </a:p>
        </c:rich>
      </c:tx>
      <c:overlay val="0"/>
    </c:title>
    <c:autoTitleDeleted val="0"/>
    <c:plotArea>
      <c:layout/>
      <c:scatterChart>
        <c:scatterStyle val="lineMarker"/>
        <c:varyColors val="0"/>
        <c:ser>
          <c:idx val="0"/>
          <c:order val="0"/>
          <c:tx>
            <c:strRef>
              <c:f>sourcedata!$Y$1</c:f>
              <c:strCache>
                <c:ptCount val="1"/>
                <c:pt idx="0">
                  <c:v>machine table speed/accuracy</c:v>
                </c:pt>
              </c:strCache>
            </c:strRef>
          </c:tx>
          <c:spPr>
            <a:ln w="47625">
              <a:noFill/>
            </a:ln>
          </c:spPr>
          <c:trendline>
            <c:trendlineType val="exp"/>
            <c:dispRSqr val="1"/>
            <c:dispEq val="1"/>
            <c:trendlineLbl>
              <c:layout>
                <c:manualLayout>
                  <c:x val="3.5243385383581301E-2"/>
                  <c:y val="9.6466973886328702E-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sourcedata!$Y$2:$Y$102</c:f>
              <c:numCache>
                <c:formatCode>General</c:formatCode>
                <c:ptCount val="101"/>
                <c:pt idx="13" formatCode="_(* #,##0.00_);_(* \(#,##0.00\);_(* &quot;-&quot;??_);_(@_)">
                  <c:v>120000</c:v>
                </c:pt>
                <c:pt idx="55" formatCode="_(* #,##0.00_);_(* \(#,##0.00\);_(* &quot;-&quot;??_);_(@_)">
                  <c:v>1500000</c:v>
                </c:pt>
                <c:pt idx="61" formatCode="_(* #,##0.00_);_(* \(#,##0.00\);_(* &quot;-&quot;??_);_(@_)">
                  <c:v>1200000</c:v>
                </c:pt>
              </c:numCache>
            </c:numRef>
          </c:yVal>
          <c:smooth val="0"/>
        </c:ser>
        <c:dLbls>
          <c:showLegendKey val="0"/>
          <c:showVal val="0"/>
          <c:showCatName val="0"/>
          <c:showSerName val="0"/>
          <c:showPercent val="0"/>
          <c:showBubbleSize val="0"/>
        </c:dLbls>
        <c:axId val="214235776"/>
        <c:axId val="216597248"/>
      </c:scatterChart>
      <c:valAx>
        <c:axId val="214235776"/>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6597248"/>
        <c:crosses val="autoZero"/>
        <c:crossBetween val="midCat"/>
      </c:valAx>
      <c:valAx>
        <c:axId val="216597248"/>
        <c:scaling>
          <c:logBase val="10"/>
          <c:orientation val="minMax"/>
        </c:scaling>
        <c:delete val="0"/>
        <c:axPos val="l"/>
        <c:majorGridlines/>
        <c:title>
          <c:tx>
            <c:rich>
              <a:bodyPr rot="-5400000" vert="horz"/>
              <a:lstStyle/>
              <a:p>
                <a:pPr>
                  <a:defRPr/>
                </a:pPr>
                <a:r>
                  <a:rPr lang="en-US"/>
                  <a:t>Table Speed/Accuracy </a:t>
                </a:r>
              </a:p>
              <a:p>
                <a:pPr>
                  <a:defRPr/>
                </a:pPr>
                <a:r>
                  <a:rPr lang="en-US"/>
                  <a:t>1/(min)</a:t>
                </a:r>
              </a:p>
            </c:rich>
          </c:tx>
          <c:overlay val="0"/>
        </c:title>
        <c:numFmt formatCode="General" sourceLinked="1"/>
        <c:majorTickMark val="out"/>
        <c:minorTickMark val="none"/>
        <c:tickLblPos val="nextTo"/>
        <c:crossAx val="214235776"/>
        <c:crosses val="autoZero"/>
        <c:crossBetween val="midCat"/>
      </c:valAx>
    </c:plotArea>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HP</a:t>
            </a:r>
          </a:p>
        </c:rich>
      </c:tx>
      <c:overlay val="0"/>
    </c:title>
    <c:autoTitleDeleted val="0"/>
    <c:plotArea>
      <c:layout/>
      <c:scatterChart>
        <c:scatterStyle val="lineMarker"/>
        <c:varyColors val="0"/>
        <c:ser>
          <c:idx val="0"/>
          <c:order val="0"/>
          <c:tx>
            <c:v>Size (HP)</c:v>
          </c:tx>
          <c:spPr>
            <a:ln w="47625">
              <a:noFill/>
            </a:ln>
          </c:spPr>
          <c:trendline>
            <c:trendlineType val="exp"/>
            <c:dispRSqr val="1"/>
            <c:dispEq val="1"/>
            <c:trendlineLbl>
              <c:layout>
                <c:manualLayout>
                  <c:x val="-2.1618826727334501E-3"/>
                  <c:y val="-0.20110502316242701"/>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sourcedata!$H$2:$H$101</c:f>
              <c:numCache>
                <c:formatCode>0.00</c:formatCode>
                <c:ptCount val="100"/>
                <c:pt idx="1">
                  <c:v>3</c:v>
                </c:pt>
                <c:pt idx="10">
                  <c:v>7.5</c:v>
                </c:pt>
                <c:pt idx="11">
                  <c:v>2</c:v>
                </c:pt>
                <c:pt idx="14">
                  <c:v>0.5</c:v>
                </c:pt>
                <c:pt idx="16">
                  <c:v>7.5</c:v>
                </c:pt>
                <c:pt idx="17">
                  <c:v>1.5</c:v>
                </c:pt>
                <c:pt idx="21">
                  <c:v>0.75</c:v>
                </c:pt>
                <c:pt idx="23">
                  <c:v>5</c:v>
                </c:pt>
                <c:pt idx="26">
                  <c:v>30</c:v>
                </c:pt>
                <c:pt idx="28">
                  <c:v>1</c:v>
                </c:pt>
                <c:pt idx="30">
                  <c:v>2</c:v>
                </c:pt>
                <c:pt idx="31">
                  <c:v>15</c:v>
                </c:pt>
                <c:pt idx="34">
                  <c:v>7.5</c:v>
                </c:pt>
                <c:pt idx="36">
                  <c:v>6</c:v>
                </c:pt>
                <c:pt idx="37">
                  <c:v>5</c:v>
                </c:pt>
                <c:pt idx="38">
                  <c:v>20</c:v>
                </c:pt>
                <c:pt idx="40">
                  <c:v>10</c:v>
                </c:pt>
                <c:pt idx="41">
                  <c:v>10</c:v>
                </c:pt>
                <c:pt idx="43">
                  <c:v>6</c:v>
                </c:pt>
                <c:pt idx="44">
                  <c:v>5.5</c:v>
                </c:pt>
                <c:pt idx="48">
                  <c:v>10</c:v>
                </c:pt>
                <c:pt idx="49">
                  <c:v>2</c:v>
                </c:pt>
                <c:pt idx="50">
                  <c:v>10</c:v>
                </c:pt>
                <c:pt idx="59">
                  <c:v>35</c:v>
                </c:pt>
                <c:pt idx="69">
                  <c:v>14</c:v>
                </c:pt>
                <c:pt idx="76">
                  <c:v>25</c:v>
                </c:pt>
                <c:pt idx="81">
                  <c:v>58</c:v>
                </c:pt>
                <c:pt idx="86">
                  <c:v>30</c:v>
                </c:pt>
                <c:pt idx="88">
                  <c:v>78</c:v>
                </c:pt>
                <c:pt idx="94">
                  <c:v>29.5</c:v>
                </c:pt>
                <c:pt idx="95">
                  <c:v>30</c:v>
                </c:pt>
                <c:pt idx="96">
                  <c:v>20</c:v>
                </c:pt>
                <c:pt idx="98">
                  <c:v>50</c:v>
                </c:pt>
                <c:pt idx="99">
                  <c:v>60</c:v>
                </c:pt>
              </c:numCache>
            </c:numRef>
          </c:yVal>
          <c:smooth val="0"/>
        </c:ser>
        <c:dLbls>
          <c:showLegendKey val="0"/>
          <c:showVal val="0"/>
          <c:showCatName val="0"/>
          <c:showSerName val="0"/>
          <c:showPercent val="0"/>
          <c:showBubbleSize val="0"/>
        </c:dLbls>
        <c:axId val="216606208"/>
        <c:axId val="216608128"/>
      </c:scatterChart>
      <c:valAx>
        <c:axId val="2166062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6608128"/>
        <c:crosses val="autoZero"/>
        <c:crossBetween val="midCat"/>
      </c:valAx>
      <c:valAx>
        <c:axId val="216608128"/>
        <c:scaling>
          <c:logBase val="10"/>
          <c:orientation val="minMax"/>
        </c:scaling>
        <c:delete val="0"/>
        <c:axPos val="l"/>
        <c:majorGridlines/>
        <c:title>
          <c:tx>
            <c:rich>
              <a:bodyPr rot="-5400000" vert="horz"/>
              <a:lstStyle/>
              <a:p>
                <a:pPr>
                  <a:defRPr/>
                </a:pPr>
                <a:r>
                  <a:rPr lang="en-US"/>
                  <a:t>Size</a:t>
                </a:r>
              </a:p>
              <a:p>
                <a:pPr>
                  <a:defRPr/>
                </a:pPr>
                <a:r>
                  <a:rPr lang="en-US"/>
                  <a:t>(hp)</a:t>
                </a:r>
              </a:p>
            </c:rich>
          </c:tx>
          <c:overlay val="0"/>
        </c:title>
        <c:numFmt formatCode="0.00" sourceLinked="1"/>
        <c:majorTickMark val="out"/>
        <c:minorTickMark val="none"/>
        <c:tickLblPos val="nextTo"/>
        <c:crossAx val="216606208"/>
        <c:crosses val="autoZero"/>
        <c:crossBetween val="midCat"/>
      </c:valAx>
    </c:plotArea>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 Bit</a:t>
            </a:r>
            <a:r>
              <a:rPr lang="en-US" baseline="0"/>
              <a:t> Size</a:t>
            </a:r>
            <a:endParaRPr lang="en-US"/>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5.3473873927109901E-2"/>
                  <c:y val="-0.35850865416016497"/>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sourcedata!$I$2:$I$101</c:f>
              <c:numCache>
                <c:formatCode>0.00</c:formatCode>
                <c:ptCount val="100"/>
                <c:pt idx="2">
                  <c:v>3</c:v>
                </c:pt>
                <c:pt idx="4">
                  <c:v>1.625</c:v>
                </c:pt>
                <c:pt idx="5">
                  <c:v>1.25</c:v>
                </c:pt>
                <c:pt idx="18">
                  <c:v>3</c:v>
                </c:pt>
                <c:pt idx="28">
                  <c:v>0.5</c:v>
                </c:pt>
                <c:pt idx="40">
                  <c:v>8</c:v>
                </c:pt>
                <c:pt idx="47">
                  <c:v>6</c:v>
                </c:pt>
                <c:pt idx="51">
                  <c:v>0.25</c:v>
                </c:pt>
                <c:pt idx="60">
                  <c:v>18</c:v>
                </c:pt>
                <c:pt idx="76">
                  <c:v>2.5</c:v>
                </c:pt>
                <c:pt idx="90">
                  <c:v>0.125</c:v>
                </c:pt>
              </c:numCache>
            </c:numRef>
          </c:yVal>
          <c:smooth val="0"/>
        </c:ser>
        <c:dLbls>
          <c:showLegendKey val="0"/>
          <c:showVal val="0"/>
          <c:showCatName val="0"/>
          <c:showSerName val="0"/>
          <c:showPercent val="0"/>
          <c:showBubbleSize val="0"/>
        </c:dLbls>
        <c:axId val="216654208"/>
        <c:axId val="216656128"/>
      </c:scatterChart>
      <c:valAx>
        <c:axId val="2166542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6656128"/>
        <c:crosses val="autoZero"/>
        <c:crossBetween val="midCat"/>
      </c:valAx>
      <c:valAx>
        <c:axId val="216656128"/>
        <c:scaling>
          <c:logBase val="10"/>
          <c:orientation val="minMax"/>
        </c:scaling>
        <c:delete val="0"/>
        <c:axPos val="l"/>
        <c:majorGridlines/>
        <c:title>
          <c:tx>
            <c:rich>
              <a:bodyPr rot="-5400000" vert="horz"/>
              <a:lstStyle/>
              <a:p>
                <a:pPr>
                  <a:defRPr/>
                </a:pPr>
                <a:r>
                  <a:rPr lang="en-US"/>
                  <a:t>Max Bit Size</a:t>
                </a:r>
              </a:p>
              <a:p>
                <a:pPr>
                  <a:defRPr/>
                </a:pPr>
                <a:r>
                  <a:rPr lang="en-US"/>
                  <a:t>(in)</a:t>
                </a:r>
              </a:p>
            </c:rich>
          </c:tx>
          <c:overlay val="0"/>
        </c:title>
        <c:numFmt formatCode="0.00" sourceLinked="1"/>
        <c:majorTickMark val="out"/>
        <c:minorTickMark val="none"/>
        <c:tickLblPos val="nextTo"/>
        <c:crossAx val="216654208"/>
        <c:crosses val="autoZero"/>
        <c:crossBetween val="midCat"/>
      </c:valAx>
    </c:plotArea>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a:t>
            </a:r>
            <a:r>
              <a:rPr lang="en-US" baseline="0"/>
              <a:t> RPM</a:t>
            </a:r>
            <a:endParaRPr lang="en-US"/>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1.07340709990988E-3"/>
                  <c:y val="-0.15958537440884399"/>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sourcedata!$J$2:$J$101</c:f>
              <c:numCache>
                <c:formatCode>General</c:formatCode>
                <c:ptCount val="100"/>
                <c:pt idx="1">
                  <c:v>1500</c:v>
                </c:pt>
                <c:pt idx="2">
                  <c:v>17</c:v>
                </c:pt>
                <c:pt idx="4">
                  <c:v>4800</c:v>
                </c:pt>
                <c:pt idx="5">
                  <c:v>380</c:v>
                </c:pt>
                <c:pt idx="7">
                  <c:v>2000</c:v>
                </c:pt>
                <c:pt idx="9">
                  <c:v>5000</c:v>
                </c:pt>
                <c:pt idx="10">
                  <c:v>2000</c:v>
                </c:pt>
                <c:pt idx="11">
                  <c:v>5600</c:v>
                </c:pt>
                <c:pt idx="14">
                  <c:v>45000</c:v>
                </c:pt>
                <c:pt idx="15">
                  <c:v>1200</c:v>
                </c:pt>
                <c:pt idx="16">
                  <c:v>1500</c:v>
                </c:pt>
                <c:pt idx="17">
                  <c:v>3800</c:v>
                </c:pt>
                <c:pt idx="23">
                  <c:v>4000</c:v>
                </c:pt>
                <c:pt idx="25">
                  <c:v>3500</c:v>
                </c:pt>
                <c:pt idx="26">
                  <c:v>1800</c:v>
                </c:pt>
                <c:pt idx="28">
                  <c:v>4015</c:v>
                </c:pt>
                <c:pt idx="34">
                  <c:v>2000</c:v>
                </c:pt>
                <c:pt idx="36">
                  <c:v>1400</c:v>
                </c:pt>
                <c:pt idx="37">
                  <c:v>10000</c:v>
                </c:pt>
                <c:pt idx="40">
                  <c:v>10000</c:v>
                </c:pt>
                <c:pt idx="41">
                  <c:v>10000</c:v>
                </c:pt>
                <c:pt idx="43">
                  <c:v>4000</c:v>
                </c:pt>
                <c:pt idx="46">
                  <c:v>12000</c:v>
                </c:pt>
                <c:pt idx="47">
                  <c:v>6000</c:v>
                </c:pt>
                <c:pt idx="48">
                  <c:v>2000</c:v>
                </c:pt>
                <c:pt idx="50">
                  <c:v>10000</c:v>
                </c:pt>
                <c:pt idx="51">
                  <c:v>10000</c:v>
                </c:pt>
                <c:pt idx="53">
                  <c:v>15000</c:v>
                </c:pt>
                <c:pt idx="57">
                  <c:v>24000</c:v>
                </c:pt>
                <c:pt idx="59">
                  <c:v>8000</c:v>
                </c:pt>
                <c:pt idx="69">
                  <c:v>6000</c:v>
                </c:pt>
                <c:pt idx="73">
                  <c:v>36000</c:v>
                </c:pt>
                <c:pt idx="75">
                  <c:v>20000</c:v>
                </c:pt>
                <c:pt idx="79">
                  <c:v>12000</c:v>
                </c:pt>
                <c:pt idx="80">
                  <c:v>30000</c:v>
                </c:pt>
                <c:pt idx="81">
                  <c:v>12000</c:v>
                </c:pt>
                <c:pt idx="82">
                  <c:v>48000</c:v>
                </c:pt>
                <c:pt idx="84">
                  <c:v>800</c:v>
                </c:pt>
                <c:pt idx="85">
                  <c:v>15000</c:v>
                </c:pt>
                <c:pt idx="86">
                  <c:v>15000</c:v>
                </c:pt>
                <c:pt idx="87">
                  <c:v>18000</c:v>
                </c:pt>
                <c:pt idx="89">
                  <c:v>50000</c:v>
                </c:pt>
                <c:pt idx="90">
                  <c:v>120000</c:v>
                </c:pt>
                <c:pt idx="94">
                  <c:v>15000</c:v>
                </c:pt>
                <c:pt idx="96">
                  <c:v>12000</c:v>
                </c:pt>
                <c:pt idx="97">
                  <c:v>12000</c:v>
                </c:pt>
                <c:pt idx="98">
                  <c:v>2500</c:v>
                </c:pt>
                <c:pt idx="99">
                  <c:v>4000</c:v>
                </c:pt>
              </c:numCache>
            </c:numRef>
          </c:yVal>
          <c:smooth val="0"/>
        </c:ser>
        <c:dLbls>
          <c:showLegendKey val="0"/>
          <c:showVal val="0"/>
          <c:showCatName val="0"/>
          <c:showSerName val="0"/>
          <c:showPercent val="0"/>
          <c:showBubbleSize val="0"/>
        </c:dLbls>
        <c:axId val="216710144"/>
        <c:axId val="216716416"/>
      </c:scatterChart>
      <c:valAx>
        <c:axId val="21671014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6716416"/>
        <c:crosses val="autoZero"/>
        <c:crossBetween val="midCat"/>
      </c:valAx>
      <c:valAx>
        <c:axId val="216716416"/>
        <c:scaling>
          <c:logBase val="10"/>
          <c:orientation val="minMax"/>
        </c:scaling>
        <c:delete val="0"/>
        <c:axPos val="l"/>
        <c:majorGridlines/>
        <c:title>
          <c:tx>
            <c:rich>
              <a:bodyPr rot="-5400000" vert="horz"/>
              <a:lstStyle/>
              <a:p>
                <a:pPr>
                  <a:defRPr/>
                </a:pPr>
                <a:r>
                  <a:rPr lang="en-US"/>
                  <a:t>Max RPM</a:t>
                </a:r>
              </a:p>
              <a:p>
                <a:pPr>
                  <a:defRPr/>
                </a:pPr>
                <a:r>
                  <a:rPr lang="en-US"/>
                  <a:t>(RPM)</a:t>
                </a:r>
              </a:p>
            </c:rich>
          </c:tx>
          <c:overlay val="0"/>
        </c:title>
        <c:numFmt formatCode="General" sourceLinked="1"/>
        <c:majorTickMark val="out"/>
        <c:minorTickMark val="none"/>
        <c:tickLblPos val="nextTo"/>
        <c:crossAx val="216710144"/>
        <c:crosses val="autoZero"/>
        <c:crossBetween val="midCat"/>
      </c:valAx>
    </c:plotArea>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a:t>
            </a:r>
            <a:r>
              <a:rPr lang="en-US" baseline="0"/>
              <a:t> Table Speed</a:t>
            </a:r>
            <a:endParaRPr lang="en-US"/>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0.30134508280273598"/>
                  <c:y val="-5.3058287068955101E-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sourcedata!$K$2:$K$101</c:f>
              <c:numCache>
                <c:formatCode>General</c:formatCode>
                <c:ptCount val="100"/>
                <c:pt idx="0">
                  <c:v>14</c:v>
                </c:pt>
                <c:pt idx="1">
                  <c:v>30</c:v>
                </c:pt>
                <c:pt idx="2">
                  <c:v>159.60000000000002</c:v>
                </c:pt>
                <c:pt idx="10">
                  <c:v>20</c:v>
                </c:pt>
                <c:pt idx="11">
                  <c:v>5</c:v>
                </c:pt>
                <c:pt idx="13">
                  <c:v>60</c:v>
                </c:pt>
                <c:pt idx="23">
                  <c:v>40</c:v>
                </c:pt>
                <c:pt idx="35">
                  <c:v>200</c:v>
                </c:pt>
                <c:pt idx="41">
                  <c:v>512</c:v>
                </c:pt>
                <c:pt idx="47">
                  <c:v>150</c:v>
                </c:pt>
                <c:pt idx="55">
                  <c:v>300</c:v>
                </c:pt>
                <c:pt idx="57">
                  <c:v>60</c:v>
                </c:pt>
                <c:pt idx="59">
                  <c:v>1180</c:v>
                </c:pt>
                <c:pt idx="61">
                  <c:v>1200</c:v>
                </c:pt>
                <c:pt idx="72">
                  <c:v>2685</c:v>
                </c:pt>
                <c:pt idx="76">
                  <c:v>1181</c:v>
                </c:pt>
                <c:pt idx="79">
                  <c:v>1378</c:v>
                </c:pt>
                <c:pt idx="80">
                  <c:v>2362</c:v>
                </c:pt>
                <c:pt idx="84">
                  <c:v>1174.3599999999999</c:v>
                </c:pt>
                <c:pt idx="85">
                  <c:v>912</c:v>
                </c:pt>
                <c:pt idx="87">
                  <c:v>2362</c:v>
                </c:pt>
                <c:pt idx="91">
                  <c:v>1574</c:v>
                </c:pt>
                <c:pt idx="93">
                  <c:v>1771</c:v>
                </c:pt>
                <c:pt idx="94">
                  <c:v>3543</c:v>
                </c:pt>
                <c:pt idx="97">
                  <c:v>1417</c:v>
                </c:pt>
              </c:numCache>
            </c:numRef>
          </c:yVal>
          <c:smooth val="0"/>
        </c:ser>
        <c:dLbls>
          <c:showLegendKey val="0"/>
          <c:showVal val="0"/>
          <c:showCatName val="0"/>
          <c:showSerName val="0"/>
          <c:showPercent val="0"/>
          <c:showBubbleSize val="0"/>
        </c:dLbls>
        <c:axId val="216995712"/>
        <c:axId val="217010176"/>
      </c:scatterChart>
      <c:valAx>
        <c:axId val="216995712"/>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010176"/>
        <c:crosses val="autoZero"/>
        <c:crossBetween val="midCat"/>
      </c:valAx>
      <c:valAx>
        <c:axId val="217010176"/>
        <c:scaling>
          <c:logBase val="10"/>
          <c:orientation val="minMax"/>
        </c:scaling>
        <c:delete val="0"/>
        <c:axPos val="l"/>
        <c:majorGridlines/>
        <c:title>
          <c:tx>
            <c:rich>
              <a:bodyPr rot="-5400000" vert="horz"/>
              <a:lstStyle/>
              <a:p>
                <a:pPr>
                  <a:defRPr/>
                </a:pPr>
                <a:r>
                  <a:rPr lang="en-US"/>
                  <a:t>Max Table</a:t>
                </a:r>
                <a:r>
                  <a:rPr lang="en-US" baseline="0"/>
                  <a:t> Speed </a:t>
                </a:r>
                <a:endParaRPr lang="en-US"/>
              </a:p>
              <a:p>
                <a:pPr>
                  <a:defRPr/>
                </a:pPr>
                <a:r>
                  <a:rPr lang="en-US"/>
                  <a:t>(in/min)</a:t>
                </a:r>
              </a:p>
            </c:rich>
          </c:tx>
          <c:overlay val="0"/>
        </c:title>
        <c:numFmt formatCode="General" sourceLinked="1"/>
        <c:majorTickMark val="out"/>
        <c:minorTickMark val="none"/>
        <c:tickLblPos val="nextTo"/>
        <c:crossAx val="216995712"/>
        <c:crosses val="autoZero"/>
        <c:crossBetween val="midCat"/>
      </c:valAx>
    </c:plotArea>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Area</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4.1704953391145001E-2"/>
                  <c:y val="-0.30094270474255203"/>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sourcedata!$L$2:$L$101</c:f>
              <c:numCache>
                <c:formatCode>General</c:formatCode>
                <c:ptCount val="100"/>
                <c:pt idx="8">
                  <c:v>123162.99839133424</c:v>
                </c:pt>
                <c:pt idx="9">
                  <c:v>630</c:v>
                </c:pt>
                <c:pt idx="13">
                  <c:v>234360</c:v>
                </c:pt>
                <c:pt idx="15">
                  <c:v>720</c:v>
                </c:pt>
                <c:pt idx="16">
                  <c:v>572</c:v>
                </c:pt>
                <c:pt idx="20">
                  <c:v>1092</c:v>
                </c:pt>
                <c:pt idx="23">
                  <c:v>648</c:v>
                </c:pt>
                <c:pt idx="24">
                  <c:v>592</c:v>
                </c:pt>
                <c:pt idx="27">
                  <c:v>585</c:v>
                </c:pt>
                <c:pt idx="29">
                  <c:v>2430</c:v>
                </c:pt>
                <c:pt idx="30">
                  <c:v>237.5</c:v>
                </c:pt>
                <c:pt idx="31">
                  <c:v>2430</c:v>
                </c:pt>
                <c:pt idx="32">
                  <c:v>560</c:v>
                </c:pt>
                <c:pt idx="36">
                  <c:v>660</c:v>
                </c:pt>
                <c:pt idx="39">
                  <c:v>441</c:v>
                </c:pt>
                <c:pt idx="43">
                  <c:v>4800</c:v>
                </c:pt>
                <c:pt idx="47">
                  <c:v>1664</c:v>
                </c:pt>
                <c:pt idx="48">
                  <c:v>800</c:v>
                </c:pt>
                <c:pt idx="50">
                  <c:v>540</c:v>
                </c:pt>
                <c:pt idx="67">
                  <c:v>320</c:v>
                </c:pt>
                <c:pt idx="78">
                  <c:v>2436.5</c:v>
                </c:pt>
                <c:pt idx="79">
                  <c:v>1008</c:v>
                </c:pt>
                <c:pt idx="81">
                  <c:v>2442</c:v>
                </c:pt>
                <c:pt idx="85">
                  <c:v>1600</c:v>
                </c:pt>
                <c:pt idx="86">
                  <c:v>409.6</c:v>
                </c:pt>
                <c:pt idx="87">
                  <c:v>1073.8399999999999</c:v>
                </c:pt>
                <c:pt idx="95">
                  <c:v>660</c:v>
                </c:pt>
                <c:pt idx="96">
                  <c:v>190.44000000000003</c:v>
                </c:pt>
                <c:pt idx="97">
                  <c:v>946</c:v>
                </c:pt>
                <c:pt idx="98">
                  <c:v>4527.8100000000004</c:v>
                </c:pt>
                <c:pt idx="99">
                  <c:v>7429.2800000000007</c:v>
                </c:pt>
              </c:numCache>
            </c:numRef>
          </c:yVal>
          <c:smooth val="0"/>
        </c:ser>
        <c:dLbls>
          <c:showLegendKey val="0"/>
          <c:showVal val="0"/>
          <c:showCatName val="0"/>
          <c:showSerName val="0"/>
          <c:showPercent val="0"/>
          <c:showBubbleSize val="0"/>
        </c:dLbls>
        <c:axId val="217027328"/>
        <c:axId val="217029248"/>
      </c:scatterChart>
      <c:valAx>
        <c:axId val="21702732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029248"/>
        <c:crosses val="autoZero"/>
        <c:crossBetween val="midCat"/>
      </c:valAx>
      <c:valAx>
        <c:axId val="217029248"/>
        <c:scaling>
          <c:logBase val="10"/>
          <c:orientation val="minMax"/>
        </c:scaling>
        <c:delete val="0"/>
        <c:axPos val="l"/>
        <c:majorGridlines/>
        <c:title>
          <c:tx>
            <c:rich>
              <a:bodyPr rot="-5400000" vert="horz"/>
              <a:lstStyle/>
              <a:p>
                <a:pPr>
                  <a:defRPr/>
                </a:pPr>
                <a:r>
                  <a:rPr lang="en-US"/>
                  <a:t>Table Area</a:t>
                </a:r>
              </a:p>
              <a:p>
                <a:pPr>
                  <a:defRPr/>
                </a:pPr>
                <a:r>
                  <a:rPr lang="en-US"/>
                  <a:t>(in2)</a:t>
                </a:r>
              </a:p>
            </c:rich>
          </c:tx>
          <c:overlay val="0"/>
        </c:title>
        <c:numFmt formatCode="General" sourceLinked="1"/>
        <c:majorTickMark val="out"/>
        <c:minorTickMark val="none"/>
        <c:tickLblPos val="nextTo"/>
        <c:crossAx val="217027328"/>
        <c:crosses val="autoZero"/>
        <c:crossBetween val="midCat"/>
      </c:valAx>
    </c:plotArea>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Accuracy</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4.1704953391145001E-2"/>
                  <c:y val="-0.30094270474255203"/>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sourcedata!$M$2:$M$101</c:f>
              <c:numCache>
                <c:formatCode>General</c:formatCode>
                <c:ptCount val="100"/>
                <c:pt idx="13">
                  <c:v>5.0000000000000001E-4</c:v>
                </c:pt>
                <c:pt idx="14">
                  <c:v>1E-4</c:v>
                </c:pt>
                <c:pt idx="19">
                  <c:v>1E-4</c:v>
                </c:pt>
                <c:pt idx="22">
                  <c:v>5.0000000000000001E-4</c:v>
                </c:pt>
                <c:pt idx="33">
                  <c:v>5.0000000000000001E-4</c:v>
                </c:pt>
                <c:pt idx="34">
                  <c:v>5.0000000000000001E-4</c:v>
                </c:pt>
                <c:pt idx="39">
                  <c:v>2.0000000000000001E-4</c:v>
                </c:pt>
                <c:pt idx="42">
                  <c:v>8.0000000000000007E-5</c:v>
                </c:pt>
                <c:pt idx="44">
                  <c:v>2.0000000000000001E-4</c:v>
                </c:pt>
                <c:pt idx="46">
                  <c:v>1.4999999999999999E-4</c:v>
                </c:pt>
                <c:pt idx="48">
                  <c:v>2.0000000000000001E-4</c:v>
                </c:pt>
                <c:pt idx="49">
                  <c:v>2.0000000000000001E-4</c:v>
                </c:pt>
                <c:pt idx="50">
                  <c:v>2.0000000000000001E-4</c:v>
                </c:pt>
                <c:pt idx="55">
                  <c:v>2.0000000000000001E-4</c:v>
                </c:pt>
                <c:pt idx="60">
                  <c:v>5.0000000000000001E-3</c:v>
                </c:pt>
                <c:pt idx="61">
                  <c:v>1E-3</c:v>
                </c:pt>
                <c:pt idx="62">
                  <c:v>2.0000000000000002E-5</c:v>
                </c:pt>
                <c:pt idx="63">
                  <c:v>2.0000000000000001E-4</c:v>
                </c:pt>
                <c:pt idx="64">
                  <c:v>2.0000000000000001E-4</c:v>
                </c:pt>
                <c:pt idx="65">
                  <c:v>8.0000000000000004E-4</c:v>
                </c:pt>
                <c:pt idx="66">
                  <c:v>7.7999999999999999E-5</c:v>
                </c:pt>
                <c:pt idx="68">
                  <c:v>2.0000000000000001E-4</c:v>
                </c:pt>
              </c:numCache>
            </c:numRef>
          </c:yVal>
          <c:smooth val="0"/>
        </c:ser>
        <c:dLbls>
          <c:showLegendKey val="0"/>
          <c:showVal val="0"/>
          <c:showCatName val="0"/>
          <c:showSerName val="0"/>
          <c:showPercent val="0"/>
          <c:showBubbleSize val="0"/>
        </c:dLbls>
        <c:axId val="217128320"/>
        <c:axId val="217150976"/>
      </c:scatterChart>
      <c:valAx>
        <c:axId val="21712832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150976"/>
        <c:crosses val="autoZero"/>
        <c:crossBetween val="midCat"/>
      </c:valAx>
      <c:valAx>
        <c:axId val="217150976"/>
        <c:scaling>
          <c:logBase val="10"/>
          <c:orientation val="minMax"/>
        </c:scaling>
        <c:delete val="0"/>
        <c:axPos val="l"/>
        <c:majorGridlines/>
        <c:title>
          <c:tx>
            <c:rich>
              <a:bodyPr rot="-5400000" vert="horz"/>
              <a:lstStyle/>
              <a:p>
                <a:pPr>
                  <a:defRPr/>
                </a:pPr>
                <a:r>
                  <a:rPr lang="en-US"/>
                  <a:t>Accuracy</a:t>
                </a:r>
              </a:p>
              <a:p>
                <a:pPr>
                  <a:defRPr/>
                </a:pPr>
                <a:r>
                  <a:rPr lang="en-US"/>
                  <a:t>(in)</a:t>
                </a:r>
              </a:p>
            </c:rich>
          </c:tx>
          <c:overlay val="0"/>
        </c:title>
        <c:numFmt formatCode="General" sourceLinked="1"/>
        <c:majorTickMark val="out"/>
        <c:minorTickMark val="none"/>
        <c:tickLblPos val="nextTo"/>
        <c:crossAx val="217128320"/>
        <c:crosses val="autoZero"/>
        <c:crossBetween val="midCat"/>
      </c:valAx>
    </c:plotArea>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Cost</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8.3074559394897395E-3"/>
                  <c:y val="0.35145929339477699"/>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sourcedata!$N$2:$N$101</c:f>
              <c:numCache>
                <c:formatCode>General</c:formatCode>
                <c:ptCount val="100"/>
                <c:pt idx="15" formatCode="&quot;$&quot;#,##0_);[Red]\(&quot;$&quot;#,##0\)">
                  <c:v>5350</c:v>
                </c:pt>
                <c:pt idx="21">
                  <c:v>695</c:v>
                </c:pt>
                <c:pt idx="37">
                  <c:v>110500</c:v>
                </c:pt>
                <c:pt idx="39">
                  <c:v>6400</c:v>
                </c:pt>
                <c:pt idx="67">
                  <c:v>55000</c:v>
                </c:pt>
                <c:pt idx="74">
                  <c:v>150000</c:v>
                </c:pt>
              </c:numCache>
            </c:numRef>
          </c:yVal>
          <c:smooth val="0"/>
        </c:ser>
        <c:dLbls>
          <c:showLegendKey val="0"/>
          <c:showVal val="0"/>
          <c:showCatName val="0"/>
          <c:showSerName val="0"/>
          <c:showPercent val="0"/>
          <c:showBubbleSize val="0"/>
        </c:dLbls>
        <c:axId val="217160320"/>
        <c:axId val="217174784"/>
      </c:scatterChart>
      <c:valAx>
        <c:axId val="21716032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174784"/>
        <c:crosses val="autoZero"/>
        <c:crossBetween val="midCat"/>
      </c:valAx>
      <c:valAx>
        <c:axId val="217174784"/>
        <c:scaling>
          <c:logBase val="10"/>
          <c:orientation val="minMax"/>
        </c:scaling>
        <c:delete val="0"/>
        <c:axPos val="l"/>
        <c:majorGridlines/>
        <c:title>
          <c:tx>
            <c:rich>
              <a:bodyPr rot="-5400000" vert="horz"/>
              <a:lstStyle/>
              <a:p>
                <a:pPr>
                  <a:defRPr/>
                </a:pPr>
                <a:r>
                  <a:rPr lang="en-US"/>
                  <a:t>Cost</a:t>
                </a:r>
              </a:p>
              <a:p>
                <a:pPr>
                  <a:defRPr/>
                </a:pPr>
                <a:r>
                  <a:rPr lang="en-US"/>
                  <a:t>($)</a:t>
                </a:r>
              </a:p>
            </c:rich>
          </c:tx>
          <c:overlay val="0"/>
        </c:title>
        <c:numFmt formatCode="General" sourceLinked="1"/>
        <c:majorTickMark val="out"/>
        <c:minorTickMark val="none"/>
        <c:tickLblPos val="nextTo"/>
        <c:crossAx val="217160320"/>
        <c:crosses val="autoZero"/>
        <c:crossBetween val="midCat"/>
      </c:valAx>
    </c:plotArea>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Distribution of Data Points</a:t>
            </a:r>
          </a:p>
        </c:rich>
      </c:tx>
      <c:overlay val="0"/>
    </c:title>
    <c:autoTitleDeleted val="0"/>
    <c:plotArea>
      <c:layout/>
      <c:scatterChart>
        <c:scatterStyle val="lineMarker"/>
        <c:varyColors val="0"/>
        <c:ser>
          <c:idx val="0"/>
          <c:order val="0"/>
          <c:spPr>
            <a:ln w="47625">
              <a:noFill/>
            </a:ln>
          </c:spPr>
          <c:xVal>
            <c:numRef>
              <c:f>sourcedata!$BI$2:$BI$87</c:f>
              <c:numCache>
                <c:formatCode>General</c:formatCode>
                <c:ptCount val="86"/>
                <c:pt idx="0">
                  <c:v>1928</c:v>
                </c:pt>
                <c:pt idx="1">
                  <c:v>1929</c:v>
                </c:pt>
                <c:pt idx="2">
                  <c:v>1930</c:v>
                </c:pt>
                <c:pt idx="3">
                  <c:v>1931</c:v>
                </c:pt>
                <c:pt idx="4">
                  <c:v>1932</c:v>
                </c:pt>
                <c:pt idx="5">
                  <c:v>1933</c:v>
                </c:pt>
                <c:pt idx="6">
                  <c:v>1934</c:v>
                </c:pt>
                <c:pt idx="7">
                  <c:v>1935</c:v>
                </c:pt>
                <c:pt idx="8">
                  <c:v>1936</c:v>
                </c:pt>
                <c:pt idx="9">
                  <c:v>1937</c:v>
                </c:pt>
                <c:pt idx="10">
                  <c:v>1938</c:v>
                </c:pt>
                <c:pt idx="11">
                  <c:v>1939</c:v>
                </c:pt>
                <c:pt idx="12">
                  <c:v>1940</c:v>
                </c:pt>
                <c:pt idx="13">
                  <c:v>1941</c:v>
                </c:pt>
                <c:pt idx="14">
                  <c:v>1942</c:v>
                </c:pt>
                <c:pt idx="15">
                  <c:v>1943</c:v>
                </c:pt>
                <c:pt idx="16">
                  <c:v>1944</c:v>
                </c:pt>
                <c:pt idx="17">
                  <c:v>1945</c:v>
                </c:pt>
                <c:pt idx="18">
                  <c:v>1946</c:v>
                </c:pt>
                <c:pt idx="19">
                  <c:v>1947</c:v>
                </c:pt>
                <c:pt idx="20">
                  <c:v>1948</c:v>
                </c:pt>
                <c:pt idx="21">
                  <c:v>1949</c:v>
                </c:pt>
                <c:pt idx="22">
                  <c:v>1950</c:v>
                </c:pt>
                <c:pt idx="23">
                  <c:v>1951</c:v>
                </c:pt>
                <c:pt idx="24">
                  <c:v>1952</c:v>
                </c:pt>
                <c:pt idx="25">
                  <c:v>1953</c:v>
                </c:pt>
                <c:pt idx="26">
                  <c:v>1954</c:v>
                </c:pt>
                <c:pt idx="27">
                  <c:v>1955</c:v>
                </c:pt>
                <c:pt idx="28">
                  <c:v>1956</c:v>
                </c:pt>
                <c:pt idx="29">
                  <c:v>1957</c:v>
                </c:pt>
                <c:pt idx="30">
                  <c:v>1958</c:v>
                </c:pt>
                <c:pt idx="31">
                  <c:v>1959</c:v>
                </c:pt>
                <c:pt idx="32">
                  <c:v>1960</c:v>
                </c:pt>
                <c:pt idx="33">
                  <c:v>1961</c:v>
                </c:pt>
                <c:pt idx="34">
                  <c:v>1962</c:v>
                </c:pt>
                <c:pt idx="35">
                  <c:v>1963</c:v>
                </c:pt>
                <c:pt idx="36">
                  <c:v>1964</c:v>
                </c:pt>
                <c:pt idx="37">
                  <c:v>1965</c:v>
                </c:pt>
                <c:pt idx="38">
                  <c:v>1966</c:v>
                </c:pt>
                <c:pt idx="39">
                  <c:v>1967</c:v>
                </c:pt>
                <c:pt idx="40">
                  <c:v>1968</c:v>
                </c:pt>
                <c:pt idx="41">
                  <c:v>1969</c:v>
                </c:pt>
                <c:pt idx="42">
                  <c:v>1970</c:v>
                </c:pt>
                <c:pt idx="43">
                  <c:v>1971</c:v>
                </c:pt>
                <c:pt idx="44">
                  <c:v>1972</c:v>
                </c:pt>
                <c:pt idx="45">
                  <c:v>1973</c:v>
                </c:pt>
                <c:pt idx="46">
                  <c:v>1974</c:v>
                </c:pt>
                <c:pt idx="47">
                  <c:v>1975</c:v>
                </c:pt>
                <c:pt idx="48">
                  <c:v>1976</c:v>
                </c:pt>
                <c:pt idx="49">
                  <c:v>1977</c:v>
                </c:pt>
                <c:pt idx="50">
                  <c:v>1978</c:v>
                </c:pt>
                <c:pt idx="51">
                  <c:v>1979</c:v>
                </c:pt>
                <c:pt idx="52">
                  <c:v>1980</c:v>
                </c:pt>
                <c:pt idx="53">
                  <c:v>1981</c:v>
                </c:pt>
                <c:pt idx="54">
                  <c:v>1982</c:v>
                </c:pt>
                <c:pt idx="55">
                  <c:v>1983</c:v>
                </c:pt>
                <c:pt idx="56">
                  <c:v>1984</c:v>
                </c:pt>
                <c:pt idx="57">
                  <c:v>1985</c:v>
                </c:pt>
                <c:pt idx="58">
                  <c:v>1986</c:v>
                </c:pt>
                <c:pt idx="59">
                  <c:v>1987</c:v>
                </c:pt>
                <c:pt idx="60">
                  <c:v>1988</c:v>
                </c:pt>
                <c:pt idx="61">
                  <c:v>1989</c:v>
                </c:pt>
                <c:pt idx="62">
                  <c:v>1990</c:v>
                </c:pt>
                <c:pt idx="63">
                  <c:v>1991</c:v>
                </c:pt>
                <c:pt idx="64">
                  <c:v>1992</c:v>
                </c:pt>
                <c:pt idx="65">
                  <c:v>1993</c:v>
                </c:pt>
                <c:pt idx="66">
                  <c:v>1994</c:v>
                </c:pt>
                <c:pt idx="67">
                  <c:v>1995</c:v>
                </c:pt>
                <c:pt idx="68">
                  <c:v>1996</c:v>
                </c:pt>
                <c:pt idx="69">
                  <c:v>1997</c:v>
                </c:pt>
                <c:pt idx="70">
                  <c:v>1998</c:v>
                </c:pt>
                <c:pt idx="71">
                  <c:v>1999</c:v>
                </c:pt>
                <c:pt idx="72">
                  <c:v>2000</c:v>
                </c:pt>
                <c:pt idx="73">
                  <c:v>2001</c:v>
                </c:pt>
                <c:pt idx="74">
                  <c:v>2002</c:v>
                </c:pt>
                <c:pt idx="75">
                  <c:v>2003</c:v>
                </c:pt>
                <c:pt idx="76">
                  <c:v>2004</c:v>
                </c:pt>
                <c:pt idx="77">
                  <c:v>2005</c:v>
                </c:pt>
                <c:pt idx="78">
                  <c:v>2006</c:v>
                </c:pt>
                <c:pt idx="79">
                  <c:v>2007</c:v>
                </c:pt>
                <c:pt idx="80">
                  <c:v>2008</c:v>
                </c:pt>
                <c:pt idx="81">
                  <c:v>2009</c:v>
                </c:pt>
                <c:pt idx="82">
                  <c:v>2010</c:v>
                </c:pt>
                <c:pt idx="83">
                  <c:v>2011</c:v>
                </c:pt>
                <c:pt idx="84">
                  <c:v>2012</c:v>
                </c:pt>
                <c:pt idx="85">
                  <c:v>2013</c:v>
                </c:pt>
              </c:numCache>
            </c:numRef>
          </c:xVal>
          <c:yVal>
            <c:numRef>
              <c:f>sourcedata!$BJ$2:$BJ$87</c:f>
              <c:numCache>
                <c:formatCode>General</c:formatCode>
                <c:ptCount val="86"/>
                <c:pt idx="0">
                  <c:v>1</c:v>
                </c:pt>
                <c:pt idx="11">
                  <c:v>4</c:v>
                </c:pt>
                <c:pt idx="17">
                  <c:v>2</c:v>
                </c:pt>
                <c:pt idx="23">
                  <c:v>4</c:v>
                </c:pt>
                <c:pt idx="30">
                  <c:v>11</c:v>
                </c:pt>
                <c:pt idx="38">
                  <c:v>9</c:v>
                </c:pt>
                <c:pt idx="45">
                  <c:v>6</c:v>
                </c:pt>
                <c:pt idx="57">
                  <c:v>14</c:v>
                </c:pt>
                <c:pt idx="67">
                  <c:v>5</c:v>
                </c:pt>
                <c:pt idx="68">
                  <c:v>14</c:v>
                </c:pt>
                <c:pt idx="73">
                  <c:v>5</c:v>
                </c:pt>
                <c:pt idx="84">
                  <c:v>25</c:v>
                </c:pt>
              </c:numCache>
            </c:numRef>
          </c:yVal>
          <c:smooth val="0"/>
        </c:ser>
        <c:dLbls>
          <c:showLegendKey val="0"/>
          <c:showVal val="0"/>
          <c:showCatName val="0"/>
          <c:showSerName val="0"/>
          <c:showPercent val="0"/>
          <c:showBubbleSize val="0"/>
        </c:dLbls>
        <c:axId val="217183744"/>
        <c:axId val="217185664"/>
      </c:scatterChart>
      <c:valAx>
        <c:axId val="21718374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185664"/>
        <c:crosses val="autoZero"/>
        <c:crossBetween val="midCat"/>
      </c:valAx>
      <c:valAx>
        <c:axId val="217185664"/>
        <c:scaling>
          <c:orientation val="minMax"/>
        </c:scaling>
        <c:delete val="0"/>
        <c:axPos val="l"/>
        <c:majorGridlines/>
        <c:title>
          <c:tx>
            <c:rich>
              <a:bodyPr rot="-5400000" vert="horz"/>
              <a:lstStyle/>
              <a:p>
                <a:pPr>
                  <a:defRPr/>
                </a:pPr>
                <a:r>
                  <a:rPr lang="en-US"/>
                  <a:t>Number</a:t>
                </a:r>
                <a:r>
                  <a:rPr lang="en-US" baseline="0"/>
                  <a:t> of Data Points</a:t>
                </a:r>
                <a:endParaRPr lang="en-US"/>
              </a:p>
            </c:rich>
          </c:tx>
          <c:overlay val="0"/>
        </c:title>
        <c:numFmt formatCode="General" sourceLinked="1"/>
        <c:majorTickMark val="out"/>
        <c:minorTickMark val="none"/>
        <c:tickLblPos val="nextTo"/>
        <c:crossAx val="217183744"/>
        <c:crosses val="autoZero"/>
        <c:crossBetween val="midCat"/>
      </c:valAx>
    </c:plotArea>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Power/Accuracy</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3.5243385383581301E-2"/>
                  <c:y val="9.6466973886328702E-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sourcedata!$Z$2:$Z$102</c:f>
              <c:numCache>
                <c:formatCode>General</c:formatCode>
                <c:ptCount val="101"/>
                <c:pt idx="14">
                  <c:v>5000</c:v>
                </c:pt>
                <c:pt idx="34">
                  <c:v>15000</c:v>
                </c:pt>
                <c:pt idx="44">
                  <c:v>27500</c:v>
                </c:pt>
                <c:pt idx="48">
                  <c:v>50000</c:v>
                </c:pt>
                <c:pt idx="49">
                  <c:v>10000</c:v>
                </c:pt>
                <c:pt idx="50">
                  <c:v>50000</c:v>
                </c:pt>
              </c:numCache>
            </c:numRef>
          </c:yVal>
          <c:smooth val="0"/>
        </c:ser>
        <c:dLbls>
          <c:showLegendKey val="0"/>
          <c:showVal val="0"/>
          <c:showCatName val="0"/>
          <c:showSerName val="0"/>
          <c:showPercent val="0"/>
          <c:showBubbleSize val="0"/>
        </c:dLbls>
        <c:axId val="217313664"/>
        <c:axId val="217315584"/>
      </c:scatterChart>
      <c:valAx>
        <c:axId val="21731366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7315584"/>
        <c:crosses val="autoZero"/>
        <c:crossBetween val="midCat"/>
      </c:valAx>
      <c:valAx>
        <c:axId val="217315584"/>
        <c:scaling>
          <c:logBase val="10"/>
          <c:orientation val="minMax"/>
        </c:scaling>
        <c:delete val="0"/>
        <c:axPos val="l"/>
        <c:majorGridlines/>
        <c:title>
          <c:tx>
            <c:rich>
              <a:bodyPr rot="-5400000" vert="horz"/>
              <a:lstStyle/>
              <a:p>
                <a:pPr>
                  <a:defRPr/>
                </a:pPr>
                <a:r>
                  <a:rPr lang="en-US"/>
                  <a:t>Power/accuracy </a:t>
                </a:r>
              </a:p>
              <a:p>
                <a:pPr>
                  <a:defRPr/>
                </a:pPr>
                <a:r>
                  <a:rPr lang="en-US"/>
                  <a:t>(hp/in)</a:t>
                </a:r>
              </a:p>
            </c:rich>
          </c:tx>
          <c:overlay val="0"/>
        </c:title>
        <c:numFmt formatCode="General" sourceLinked="1"/>
        <c:majorTickMark val="out"/>
        <c:minorTickMark val="none"/>
        <c:tickLblPos val="nextTo"/>
        <c:crossAx val="217313664"/>
        <c:crosses val="autoZero"/>
        <c:crossBetween val="midCat"/>
      </c:valAx>
    </c:plotArea>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Work Area/Accuracy</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6.4484791183466006E-2"/>
                  <c:y val="-0.50907314005104198"/>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sourcedata!$AB$2:$AB$102</c:f>
              <c:numCache>
                <c:formatCode>General</c:formatCode>
                <c:ptCount val="101"/>
                <c:pt idx="13">
                  <c:v>468720000</c:v>
                </c:pt>
                <c:pt idx="39">
                  <c:v>2205000</c:v>
                </c:pt>
                <c:pt idx="48">
                  <c:v>4000000</c:v>
                </c:pt>
                <c:pt idx="50">
                  <c:v>2700000</c:v>
                </c:pt>
              </c:numCache>
            </c:numRef>
          </c:yVal>
          <c:smooth val="0"/>
        </c:ser>
        <c:dLbls>
          <c:showLegendKey val="0"/>
          <c:showVal val="0"/>
          <c:showCatName val="0"/>
          <c:showSerName val="0"/>
          <c:showPercent val="0"/>
          <c:showBubbleSize val="0"/>
        </c:dLbls>
        <c:axId val="217992192"/>
        <c:axId val="218326144"/>
      </c:scatterChart>
      <c:valAx>
        <c:axId val="217992192"/>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8326144"/>
        <c:crosses val="autoZero"/>
        <c:crossBetween val="midCat"/>
      </c:valAx>
      <c:valAx>
        <c:axId val="218326144"/>
        <c:scaling>
          <c:logBase val="10"/>
          <c:orientation val="minMax"/>
        </c:scaling>
        <c:delete val="0"/>
        <c:axPos val="l"/>
        <c:majorGridlines/>
        <c:title>
          <c:tx>
            <c:rich>
              <a:bodyPr rot="-5400000" vert="horz"/>
              <a:lstStyle/>
              <a:p>
                <a:pPr>
                  <a:defRPr/>
                </a:pPr>
                <a:r>
                  <a:rPr lang="en-US"/>
                  <a:t>Work</a:t>
                </a:r>
                <a:r>
                  <a:rPr lang="en-US" baseline="0"/>
                  <a:t> Area</a:t>
                </a:r>
                <a:r>
                  <a:rPr lang="en-US"/>
                  <a:t>/accuracy </a:t>
                </a:r>
              </a:p>
              <a:p>
                <a:pPr>
                  <a:defRPr/>
                </a:pPr>
                <a:r>
                  <a:rPr lang="en-US"/>
                  <a:t>(in2/in)</a:t>
                </a:r>
              </a:p>
            </c:rich>
          </c:tx>
          <c:overlay val="0"/>
        </c:title>
        <c:numFmt formatCode="0.00E+00" sourceLinked="0"/>
        <c:majorTickMark val="out"/>
        <c:minorTickMark val="none"/>
        <c:tickLblPos val="nextTo"/>
        <c:crossAx val="217992192"/>
        <c:crosses val="autoZero"/>
        <c:crossBetween val="midCat"/>
      </c:valAx>
    </c:plotArea>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a:t>
            </a:r>
            <a:r>
              <a:rPr lang="en-US" baseline="0"/>
              <a:t> Bit Size</a:t>
            </a:r>
            <a:r>
              <a:rPr lang="en-US"/>
              <a:t>/Accuracy</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6.4484791183466006E-2"/>
                  <c:y val="-0.50907314005104198"/>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sourcedata!$AC$2:$AC$102</c:f>
              <c:numCache>
                <c:formatCode>General</c:formatCode>
                <c:ptCount val="101"/>
                <c:pt idx="60">
                  <c:v>3600</c:v>
                </c:pt>
              </c:numCache>
            </c:numRef>
          </c:yVal>
          <c:smooth val="0"/>
        </c:ser>
        <c:dLbls>
          <c:showLegendKey val="0"/>
          <c:showVal val="0"/>
          <c:showCatName val="0"/>
          <c:showSerName val="0"/>
          <c:showPercent val="0"/>
          <c:showBubbleSize val="0"/>
        </c:dLbls>
        <c:axId val="218613248"/>
        <c:axId val="218615168"/>
      </c:scatterChart>
      <c:valAx>
        <c:axId val="21861324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8615168"/>
        <c:crosses val="autoZero"/>
        <c:crossBetween val="midCat"/>
      </c:valAx>
      <c:valAx>
        <c:axId val="218615168"/>
        <c:scaling>
          <c:logBase val="10"/>
          <c:orientation val="minMax"/>
        </c:scaling>
        <c:delete val="0"/>
        <c:axPos val="l"/>
        <c:majorGridlines/>
        <c:title>
          <c:tx>
            <c:rich>
              <a:bodyPr rot="-5400000" vert="horz"/>
              <a:lstStyle/>
              <a:p>
                <a:pPr>
                  <a:defRPr/>
                </a:pPr>
                <a:r>
                  <a:rPr lang="en-US"/>
                  <a:t>Max Bit Size/ Accuracy</a:t>
                </a:r>
              </a:p>
              <a:p>
                <a:pPr>
                  <a:defRPr/>
                </a:pPr>
                <a:r>
                  <a:rPr lang="en-US"/>
                  <a:t>(in/in)</a:t>
                </a:r>
              </a:p>
            </c:rich>
          </c:tx>
          <c:overlay val="0"/>
        </c:title>
        <c:numFmt formatCode="0.00E+00" sourceLinked="0"/>
        <c:majorTickMark val="out"/>
        <c:minorTickMark val="none"/>
        <c:tickLblPos val="nextTo"/>
        <c:crossAx val="218613248"/>
        <c:crosses val="autoZero"/>
        <c:crossBetween val="midCat"/>
      </c:valAx>
    </c:plotArea>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a:t>
            </a:r>
            <a:r>
              <a:rPr lang="en-US" baseline="0"/>
              <a:t> Bit Size</a:t>
            </a:r>
            <a:r>
              <a:rPr lang="en-US"/>
              <a:t>*RPM</a:t>
            </a:r>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6.4484791183466006E-2"/>
                  <c:y val="-0.50907314005104198"/>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sourcedata!$AD$2:$AD$102</c:f>
              <c:numCache>
                <c:formatCode>General</c:formatCode>
                <c:ptCount val="101"/>
                <c:pt idx="1">
                  <c:v>45000</c:v>
                </c:pt>
                <c:pt idx="2">
                  <c:v>2713.2000000000003</c:v>
                </c:pt>
                <c:pt idx="10">
                  <c:v>40000</c:v>
                </c:pt>
                <c:pt idx="11">
                  <c:v>28000</c:v>
                </c:pt>
                <c:pt idx="23">
                  <c:v>160000</c:v>
                </c:pt>
                <c:pt idx="41">
                  <c:v>5120000</c:v>
                </c:pt>
                <c:pt idx="47">
                  <c:v>900000</c:v>
                </c:pt>
                <c:pt idx="57">
                  <c:v>1440000</c:v>
                </c:pt>
                <c:pt idx="59">
                  <c:v>9440000</c:v>
                </c:pt>
                <c:pt idx="79">
                  <c:v>16536000</c:v>
                </c:pt>
                <c:pt idx="80">
                  <c:v>70860000</c:v>
                </c:pt>
                <c:pt idx="84">
                  <c:v>939487.99999999988</c:v>
                </c:pt>
                <c:pt idx="85">
                  <c:v>13680000</c:v>
                </c:pt>
                <c:pt idx="87">
                  <c:v>42516000</c:v>
                </c:pt>
                <c:pt idx="94">
                  <c:v>53145000</c:v>
                </c:pt>
                <c:pt idx="97">
                  <c:v>17004000</c:v>
                </c:pt>
              </c:numCache>
            </c:numRef>
          </c:yVal>
          <c:smooth val="0"/>
        </c:ser>
        <c:dLbls>
          <c:showLegendKey val="0"/>
          <c:showVal val="0"/>
          <c:showCatName val="0"/>
          <c:showSerName val="0"/>
          <c:showPercent val="0"/>
          <c:showBubbleSize val="0"/>
        </c:dLbls>
        <c:axId val="218726784"/>
        <c:axId val="218728704"/>
      </c:scatterChart>
      <c:valAx>
        <c:axId val="21872678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18728704"/>
        <c:crosses val="autoZero"/>
        <c:crossBetween val="midCat"/>
      </c:valAx>
      <c:valAx>
        <c:axId val="218728704"/>
        <c:scaling>
          <c:logBase val="10"/>
          <c:orientation val="minMax"/>
        </c:scaling>
        <c:delete val="0"/>
        <c:axPos val="l"/>
        <c:majorGridlines/>
        <c:title>
          <c:tx>
            <c:rich>
              <a:bodyPr rot="-5400000" vert="horz"/>
              <a:lstStyle/>
              <a:p>
                <a:pPr>
                  <a:defRPr/>
                </a:pPr>
                <a:r>
                  <a:rPr lang="en-US"/>
                  <a:t>Max Bit Size*RPM</a:t>
                </a:r>
              </a:p>
              <a:p>
                <a:pPr>
                  <a:defRPr/>
                </a:pPr>
                <a:r>
                  <a:rPr lang="en-US"/>
                  <a:t>(in*RPM)</a:t>
                </a:r>
              </a:p>
            </c:rich>
          </c:tx>
          <c:layout>
            <c:manualLayout>
              <c:xMode val="edge"/>
              <c:yMode val="edge"/>
              <c:x val="1.87617260787992E-3"/>
              <c:y val="0.32882446145844701"/>
            </c:manualLayout>
          </c:layout>
          <c:overlay val="0"/>
        </c:title>
        <c:numFmt formatCode="0.00E+00" sourceLinked="0"/>
        <c:majorTickMark val="out"/>
        <c:minorTickMark val="none"/>
        <c:tickLblPos val="nextTo"/>
        <c:crossAx val="218726784"/>
        <c:crosses val="autoZero"/>
        <c:crossBetween val="midCat"/>
      </c:valAx>
    </c:plotArea>
    <c:plotVisOnly val="1"/>
    <c:dispBlanksAs val="gap"/>
    <c:showDLblsOverMax val="0"/>
  </c:chart>
  <c:printSettings>
    <c:headerFooter/>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a:t>
            </a:r>
            <a:r>
              <a:rPr lang="en-US" baseline="0"/>
              <a:t> Machine Power *Work Area/Accuracy</a:t>
            </a:r>
            <a:endParaRPr lang="en-US"/>
          </a:p>
        </c:rich>
      </c:tx>
      <c:overlay val="0"/>
    </c:title>
    <c:autoTitleDeleted val="0"/>
    <c:plotArea>
      <c:layout/>
      <c:scatterChart>
        <c:scatterStyle val="lineMarker"/>
        <c:varyColors val="0"/>
        <c:ser>
          <c:idx val="0"/>
          <c:order val="0"/>
          <c:spPr>
            <a:ln w="47625">
              <a:noFill/>
            </a:ln>
          </c:spPr>
          <c:trendline>
            <c:trendlineType val="exp"/>
            <c:dispRSqr val="1"/>
            <c:dispEq val="1"/>
            <c:trendlineLbl>
              <c:layout>
                <c:manualLayout>
                  <c:x val="3.44660294573872E-2"/>
                  <c:y val="9.4173228346456694E-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sourcedata!$AE$2:$AE$102</c:f>
              <c:numCache>
                <c:formatCode>General</c:formatCode>
                <c:ptCount val="101"/>
                <c:pt idx="13">
                  <c:v>262483200000</c:v>
                </c:pt>
                <c:pt idx="48">
                  <c:v>40000000</c:v>
                </c:pt>
                <c:pt idx="50">
                  <c:v>27000000</c:v>
                </c:pt>
              </c:numCache>
            </c:numRef>
          </c:yVal>
          <c:smooth val="0"/>
        </c:ser>
        <c:dLbls>
          <c:showLegendKey val="0"/>
          <c:showVal val="0"/>
          <c:showCatName val="0"/>
          <c:showSerName val="0"/>
          <c:showPercent val="0"/>
          <c:showBubbleSize val="0"/>
        </c:dLbls>
        <c:axId val="218737664"/>
        <c:axId val="223290496"/>
      </c:scatterChart>
      <c:valAx>
        <c:axId val="21873766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290496"/>
        <c:crosses val="autoZero"/>
        <c:crossBetween val="midCat"/>
      </c:valAx>
      <c:valAx>
        <c:axId val="223290496"/>
        <c:scaling>
          <c:logBase val="10"/>
          <c:orientation val="minMax"/>
        </c:scaling>
        <c:delete val="0"/>
        <c:axPos val="l"/>
        <c:majorGridlines/>
        <c:title>
          <c:tx>
            <c:rich>
              <a:bodyPr rot="-5400000" vert="horz"/>
              <a:lstStyle/>
              <a:p>
                <a:pPr>
                  <a:defRPr/>
                </a:pPr>
                <a:r>
                  <a:rPr lang="en-US"/>
                  <a:t>Power*Table</a:t>
                </a:r>
                <a:r>
                  <a:rPr lang="en-US" baseline="0"/>
                  <a:t> Size/Accuracy</a:t>
                </a:r>
                <a:endParaRPr lang="en-US"/>
              </a:p>
              <a:p>
                <a:pPr>
                  <a:defRPr/>
                </a:pPr>
                <a:r>
                  <a:rPr lang="en-US"/>
                  <a:t>(hp*in)</a:t>
                </a:r>
              </a:p>
            </c:rich>
          </c:tx>
          <c:layout>
            <c:manualLayout>
              <c:xMode val="edge"/>
              <c:yMode val="edge"/>
              <c:x val="1.87617260787992E-3"/>
              <c:y val="0.32882446145844701"/>
            </c:manualLayout>
          </c:layout>
          <c:overlay val="0"/>
        </c:title>
        <c:numFmt formatCode="0.00E+00" sourceLinked="0"/>
        <c:majorTickMark val="out"/>
        <c:minorTickMark val="none"/>
        <c:tickLblPos val="nextTo"/>
        <c:crossAx val="218737664"/>
        <c:crosses val="autoZero"/>
        <c:crossBetween val="midCat"/>
      </c:valAx>
    </c:plotArea>
    <c:plotVisOnly val="1"/>
    <c:dispBlanksAs val="gap"/>
    <c:showDLblsOverMax val="0"/>
  </c:chart>
  <c:printSettings>
    <c:headerFooter/>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Average Yearly</a:t>
            </a:r>
            <a:r>
              <a:rPr lang="en-US" baseline="0"/>
              <a:t> Table Speed</a:t>
            </a:r>
            <a:endParaRPr lang="en-US"/>
          </a:p>
        </c:rich>
      </c:tx>
      <c:overlay val="0"/>
    </c:title>
    <c:autoTitleDeleted val="0"/>
    <c:plotArea>
      <c:layout/>
      <c:scatterChart>
        <c:scatterStyle val="lineMarker"/>
        <c:varyColors val="0"/>
        <c:ser>
          <c:idx val="0"/>
          <c:order val="0"/>
          <c:tx>
            <c:v>Yearly Average</c:v>
          </c:tx>
          <c:spPr>
            <a:ln w="47625">
              <a:noFill/>
            </a:ln>
          </c:spPr>
          <c:trendline>
            <c:trendlineType val="exp"/>
            <c:dispRSqr val="1"/>
            <c:dispEq val="1"/>
            <c:trendlineLbl>
              <c:layout>
                <c:manualLayout>
                  <c:x val="0.27348776055901097"/>
                  <c:y val="0.43042321322737898"/>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sourcedata!$O$2:$O$101</c:f>
              <c:numCache>
                <c:formatCode>General</c:formatCode>
                <c:ptCount val="100"/>
                <c:pt idx="0">
                  <c:v>14</c:v>
                </c:pt>
                <c:pt idx="1">
                  <c:v>94.800000000000011</c:v>
                </c:pt>
                <c:pt idx="7">
                  <c:v>20</c:v>
                </c:pt>
                <c:pt idx="11">
                  <c:v>32.5</c:v>
                </c:pt>
                <c:pt idx="22">
                  <c:v>40</c:v>
                </c:pt>
                <c:pt idx="31">
                  <c:v>200</c:v>
                </c:pt>
                <c:pt idx="37">
                  <c:v>331</c:v>
                </c:pt>
                <c:pt idx="51">
                  <c:v>300</c:v>
                </c:pt>
                <c:pt idx="56">
                  <c:v>813.33333333333337</c:v>
                </c:pt>
                <c:pt idx="70">
                  <c:v>2685</c:v>
                </c:pt>
                <c:pt idx="75">
                  <c:v>1806.3733333333334</c:v>
                </c:pt>
              </c:numCache>
            </c:numRef>
          </c:yVal>
          <c:smooth val="0"/>
        </c:ser>
        <c:ser>
          <c:idx val="1"/>
          <c:order val="1"/>
          <c:tx>
            <c:v>Individual Machines</c:v>
          </c:tx>
          <c:spPr>
            <a:ln w="47625">
              <a:noFill/>
            </a:ln>
          </c:spPr>
          <c:trendline>
            <c:spPr>
              <a:ln>
                <a:solidFill>
                  <a:srgbClr val="FF0000"/>
                </a:solidFill>
              </a:ln>
            </c:spPr>
            <c:trendlineType val="exp"/>
            <c:dispRSqr val="1"/>
            <c:dispEq val="1"/>
            <c:trendlineLbl>
              <c:layout>
                <c:manualLayout>
                  <c:x val="0.27678007416052403"/>
                  <c:y val="0.53987566070370197"/>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sourcedata!$K$2:$K$101</c:f>
              <c:numCache>
                <c:formatCode>General</c:formatCode>
                <c:ptCount val="100"/>
                <c:pt idx="0">
                  <c:v>14</c:v>
                </c:pt>
                <c:pt idx="1">
                  <c:v>30</c:v>
                </c:pt>
                <c:pt idx="2">
                  <c:v>159.60000000000002</c:v>
                </c:pt>
                <c:pt idx="10">
                  <c:v>20</c:v>
                </c:pt>
                <c:pt idx="11">
                  <c:v>5</c:v>
                </c:pt>
                <c:pt idx="13">
                  <c:v>60</c:v>
                </c:pt>
                <c:pt idx="23">
                  <c:v>40</c:v>
                </c:pt>
                <c:pt idx="35">
                  <c:v>200</c:v>
                </c:pt>
                <c:pt idx="41">
                  <c:v>512</c:v>
                </c:pt>
                <c:pt idx="47">
                  <c:v>150</c:v>
                </c:pt>
                <c:pt idx="55">
                  <c:v>300</c:v>
                </c:pt>
                <c:pt idx="57">
                  <c:v>60</c:v>
                </c:pt>
                <c:pt idx="59">
                  <c:v>1180</c:v>
                </c:pt>
                <c:pt idx="61">
                  <c:v>1200</c:v>
                </c:pt>
                <c:pt idx="72">
                  <c:v>2685</c:v>
                </c:pt>
                <c:pt idx="76">
                  <c:v>1181</c:v>
                </c:pt>
                <c:pt idx="79">
                  <c:v>1378</c:v>
                </c:pt>
                <c:pt idx="80">
                  <c:v>2362</c:v>
                </c:pt>
                <c:pt idx="84">
                  <c:v>1174.3599999999999</c:v>
                </c:pt>
                <c:pt idx="85">
                  <c:v>912</c:v>
                </c:pt>
                <c:pt idx="87">
                  <c:v>2362</c:v>
                </c:pt>
                <c:pt idx="91">
                  <c:v>1574</c:v>
                </c:pt>
                <c:pt idx="93">
                  <c:v>1771</c:v>
                </c:pt>
                <c:pt idx="94">
                  <c:v>3543</c:v>
                </c:pt>
                <c:pt idx="97">
                  <c:v>1417</c:v>
                </c:pt>
              </c:numCache>
            </c:numRef>
          </c:yVal>
          <c:smooth val="0"/>
        </c:ser>
        <c:dLbls>
          <c:showLegendKey val="0"/>
          <c:showVal val="0"/>
          <c:showCatName val="0"/>
          <c:showSerName val="0"/>
          <c:showPercent val="0"/>
          <c:showBubbleSize val="0"/>
        </c:dLbls>
        <c:axId val="223326208"/>
        <c:axId val="223328128"/>
      </c:scatterChart>
      <c:valAx>
        <c:axId val="2233262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328128"/>
        <c:crosses val="autoZero"/>
        <c:crossBetween val="midCat"/>
      </c:valAx>
      <c:valAx>
        <c:axId val="223328128"/>
        <c:scaling>
          <c:logBase val="10"/>
          <c:orientation val="minMax"/>
        </c:scaling>
        <c:delete val="0"/>
        <c:axPos val="l"/>
        <c:majorGridlines/>
        <c:title>
          <c:tx>
            <c:rich>
              <a:bodyPr rot="-5400000" vert="horz"/>
              <a:lstStyle/>
              <a:p>
                <a:pPr>
                  <a:defRPr/>
                </a:pPr>
                <a:r>
                  <a:rPr lang="en-US"/>
                  <a:t>Averagel</a:t>
                </a:r>
                <a:r>
                  <a:rPr lang="en-US" baseline="0"/>
                  <a:t> Yearly Table Speed </a:t>
                </a:r>
                <a:endParaRPr lang="en-US"/>
              </a:p>
              <a:p>
                <a:pPr>
                  <a:defRPr/>
                </a:pPr>
                <a:r>
                  <a:rPr lang="en-US"/>
                  <a:t>(in/min)</a:t>
                </a:r>
              </a:p>
            </c:rich>
          </c:tx>
          <c:overlay val="0"/>
        </c:title>
        <c:numFmt formatCode="General" sourceLinked="1"/>
        <c:majorTickMark val="out"/>
        <c:minorTickMark val="none"/>
        <c:tickLblPos val="nextTo"/>
        <c:crossAx val="22332620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Accuracy</a:t>
            </a:r>
          </a:p>
        </c:rich>
      </c:tx>
      <c:overlay val="0"/>
    </c:title>
    <c:autoTitleDeleted val="0"/>
    <c:plotArea>
      <c:layout/>
      <c:scatterChart>
        <c:scatterStyle val="lineMarker"/>
        <c:varyColors val="0"/>
        <c:ser>
          <c:idx val="0"/>
          <c:order val="0"/>
          <c:tx>
            <c:v>Individual Machine</c:v>
          </c:tx>
          <c:spPr>
            <a:ln w="47625">
              <a:noFill/>
            </a:ln>
          </c:spPr>
          <c:trendline>
            <c:trendlineType val="exp"/>
            <c:dispRSqr val="1"/>
            <c:dispEq val="1"/>
            <c:trendlineLbl>
              <c:layout>
                <c:manualLayout>
                  <c:x val="0.22569337134921899"/>
                  <c:y val="2.5436820397450301E-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sourcedata!$M$2:$M$101</c:f>
              <c:numCache>
                <c:formatCode>General</c:formatCode>
                <c:ptCount val="100"/>
                <c:pt idx="13">
                  <c:v>5.0000000000000001E-4</c:v>
                </c:pt>
                <c:pt idx="14">
                  <c:v>1E-4</c:v>
                </c:pt>
                <c:pt idx="19">
                  <c:v>1E-4</c:v>
                </c:pt>
                <c:pt idx="22">
                  <c:v>5.0000000000000001E-4</c:v>
                </c:pt>
                <c:pt idx="33">
                  <c:v>5.0000000000000001E-4</c:v>
                </c:pt>
                <c:pt idx="34">
                  <c:v>5.0000000000000001E-4</c:v>
                </c:pt>
                <c:pt idx="39">
                  <c:v>2.0000000000000001E-4</c:v>
                </c:pt>
                <c:pt idx="42">
                  <c:v>8.0000000000000007E-5</c:v>
                </c:pt>
                <c:pt idx="44">
                  <c:v>2.0000000000000001E-4</c:v>
                </c:pt>
                <c:pt idx="46">
                  <c:v>1.4999999999999999E-4</c:v>
                </c:pt>
                <c:pt idx="48">
                  <c:v>2.0000000000000001E-4</c:v>
                </c:pt>
                <c:pt idx="49">
                  <c:v>2.0000000000000001E-4</c:v>
                </c:pt>
                <c:pt idx="50">
                  <c:v>2.0000000000000001E-4</c:v>
                </c:pt>
                <c:pt idx="55">
                  <c:v>2.0000000000000001E-4</c:v>
                </c:pt>
                <c:pt idx="60">
                  <c:v>5.0000000000000001E-3</c:v>
                </c:pt>
                <c:pt idx="61">
                  <c:v>1E-3</c:v>
                </c:pt>
                <c:pt idx="62">
                  <c:v>2.0000000000000002E-5</c:v>
                </c:pt>
                <c:pt idx="63">
                  <c:v>2.0000000000000001E-4</c:v>
                </c:pt>
                <c:pt idx="64">
                  <c:v>2.0000000000000001E-4</c:v>
                </c:pt>
                <c:pt idx="65">
                  <c:v>8.0000000000000004E-4</c:v>
                </c:pt>
                <c:pt idx="66">
                  <c:v>7.7999999999999999E-5</c:v>
                </c:pt>
                <c:pt idx="68">
                  <c:v>2.0000000000000001E-4</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29445716564979"/>
                  <c:y val="0.172494164035947"/>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sourcedata!$T$2:$T$101</c:f>
              <c:numCache>
                <c:formatCode>General</c:formatCode>
                <c:ptCount val="100"/>
                <c:pt idx="11">
                  <c:v>2.3333333333333336E-4</c:v>
                </c:pt>
                <c:pt idx="22">
                  <c:v>5.0000000000000001E-4</c:v>
                </c:pt>
                <c:pt idx="31">
                  <c:v>5.0000000000000001E-4</c:v>
                </c:pt>
                <c:pt idx="37">
                  <c:v>1.7571428571428575E-4</c:v>
                </c:pt>
                <c:pt idx="51">
                  <c:v>2.0000000000000001E-4</c:v>
                </c:pt>
                <c:pt idx="56">
                  <c:v>9.3724999999999993E-4</c:v>
                </c:pt>
              </c:numCache>
            </c:numRef>
          </c:yVal>
          <c:smooth val="0"/>
        </c:ser>
        <c:dLbls>
          <c:showLegendKey val="0"/>
          <c:showVal val="0"/>
          <c:showCatName val="0"/>
          <c:showSerName val="0"/>
          <c:showPercent val="0"/>
          <c:showBubbleSize val="0"/>
        </c:dLbls>
        <c:axId val="223380224"/>
        <c:axId val="223382144"/>
      </c:scatterChart>
      <c:valAx>
        <c:axId val="22338022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382144"/>
        <c:crosses val="autoZero"/>
        <c:crossBetween val="midCat"/>
      </c:valAx>
      <c:valAx>
        <c:axId val="223382144"/>
        <c:scaling>
          <c:logBase val="10"/>
          <c:orientation val="minMax"/>
        </c:scaling>
        <c:delete val="0"/>
        <c:axPos val="l"/>
        <c:majorGridlines/>
        <c:title>
          <c:tx>
            <c:rich>
              <a:bodyPr rot="-5400000" vert="horz"/>
              <a:lstStyle/>
              <a:p>
                <a:pPr>
                  <a:defRPr/>
                </a:pPr>
                <a:r>
                  <a:rPr lang="en-US"/>
                  <a:t>Accuracy</a:t>
                </a:r>
              </a:p>
              <a:p>
                <a:pPr>
                  <a:defRPr/>
                </a:pPr>
                <a:r>
                  <a:rPr lang="en-US"/>
                  <a:t>(in)</a:t>
                </a:r>
              </a:p>
            </c:rich>
          </c:tx>
          <c:overlay val="0"/>
        </c:title>
        <c:numFmt formatCode="General" sourceLinked="1"/>
        <c:majorTickMark val="out"/>
        <c:minorTickMark val="none"/>
        <c:tickLblPos val="nextTo"/>
        <c:crossAx val="22338022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HP</a:t>
            </a:r>
          </a:p>
        </c:rich>
      </c:tx>
      <c:overlay val="0"/>
    </c:title>
    <c:autoTitleDeleted val="0"/>
    <c:plotArea>
      <c:layout/>
      <c:scatterChart>
        <c:scatterStyle val="lineMarker"/>
        <c:varyColors val="0"/>
        <c:ser>
          <c:idx val="0"/>
          <c:order val="0"/>
          <c:tx>
            <c:v>Individual Machine</c:v>
          </c:tx>
          <c:spPr>
            <a:ln w="47625">
              <a:noFill/>
            </a:ln>
          </c:spPr>
          <c:trendline>
            <c:trendlineType val="exp"/>
            <c:dispRSqr val="1"/>
            <c:dispEq val="1"/>
            <c:trendlineLbl>
              <c:layout>
                <c:manualLayout>
                  <c:x val="0.26823760136326202"/>
                  <c:y val="0.48607520834089302"/>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sourcedata!$H$2:$H$101</c:f>
              <c:numCache>
                <c:formatCode>0.00</c:formatCode>
                <c:ptCount val="100"/>
                <c:pt idx="1">
                  <c:v>3</c:v>
                </c:pt>
                <c:pt idx="10">
                  <c:v>7.5</c:v>
                </c:pt>
                <c:pt idx="11">
                  <c:v>2</c:v>
                </c:pt>
                <c:pt idx="14">
                  <c:v>0.5</c:v>
                </c:pt>
                <c:pt idx="16">
                  <c:v>7.5</c:v>
                </c:pt>
                <c:pt idx="17">
                  <c:v>1.5</c:v>
                </c:pt>
                <c:pt idx="21">
                  <c:v>0.75</c:v>
                </c:pt>
                <c:pt idx="23">
                  <c:v>5</c:v>
                </c:pt>
                <c:pt idx="26">
                  <c:v>30</c:v>
                </c:pt>
                <c:pt idx="28">
                  <c:v>1</c:v>
                </c:pt>
                <c:pt idx="30">
                  <c:v>2</c:v>
                </c:pt>
                <c:pt idx="31">
                  <c:v>15</c:v>
                </c:pt>
                <c:pt idx="34">
                  <c:v>7.5</c:v>
                </c:pt>
                <c:pt idx="36">
                  <c:v>6</c:v>
                </c:pt>
                <c:pt idx="37">
                  <c:v>5</c:v>
                </c:pt>
                <c:pt idx="38">
                  <c:v>20</c:v>
                </c:pt>
                <c:pt idx="40">
                  <c:v>10</c:v>
                </c:pt>
                <c:pt idx="41">
                  <c:v>10</c:v>
                </c:pt>
                <c:pt idx="43">
                  <c:v>6</c:v>
                </c:pt>
                <c:pt idx="44">
                  <c:v>5.5</c:v>
                </c:pt>
                <c:pt idx="48">
                  <c:v>10</c:v>
                </c:pt>
                <c:pt idx="49">
                  <c:v>2</c:v>
                </c:pt>
                <c:pt idx="50">
                  <c:v>10</c:v>
                </c:pt>
                <c:pt idx="59">
                  <c:v>35</c:v>
                </c:pt>
                <c:pt idx="69">
                  <c:v>14</c:v>
                </c:pt>
                <c:pt idx="76">
                  <c:v>25</c:v>
                </c:pt>
                <c:pt idx="81">
                  <c:v>58</c:v>
                </c:pt>
                <c:pt idx="86">
                  <c:v>30</c:v>
                </c:pt>
                <c:pt idx="88">
                  <c:v>78</c:v>
                </c:pt>
                <c:pt idx="94">
                  <c:v>29.5</c:v>
                </c:pt>
                <c:pt idx="95">
                  <c:v>30</c:v>
                </c:pt>
                <c:pt idx="96">
                  <c:v>20</c:v>
                </c:pt>
                <c:pt idx="98">
                  <c:v>50</c:v>
                </c:pt>
                <c:pt idx="99">
                  <c:v>60</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8631493124926499"/>
                  <c:y val="0.60955961150017501"/>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sourcedata!$P$2:$P$101</c:f>
              <c:numCache>
                <c:formatCode>General</c:formatCode>
                <c:ptCount val="100"/>
                <c:pt idx="1">
                  <c:v>3</c:v>
                </c:pt>
                <c:pt idx="7">
                  <c:v>7.5</c:v>
                </c:pt>
                <c:pt idx="11">
                  <c:v>2.4500000000000002</c:v>
                </c:pt>
                <c:pt idx="22">
                  <c:v>9.5</c:v>
                </c:pt>
                <c:pt idx="31">
                  <c:v>9.5</c:v>
                </c:pt>
                <c:pt idx="37">
                  <c:v>8.7222222222222214</c:v>
                </c:pt>
                <c:pt idx="56">
                  <c:v>24.5</c:v>
                </c:pt>
                <c:pt idx="75">
                  <c:v>44.1</c:v>
                </c:pt>
              </c:numCache>
            </c:numRef>
          </c:yVal>
          <c:smooth val="0"/>
        </c:ser>
        <c:dLbls>
          <c:showLegendKey val="0"/>
          <c:showVal val="0"/>
          <c:showCatName val="0"/>
          <c:showSerName val="0"/>
          <c:showPercent val="0"/>
          <c:showBubbleSize val="0"/>
        </c:dLbls>
        <c:axId val="223430144"/>
        <c:axId val="223432064"/>
      </c:scatterChart>
      <c:valAx>
        <c:axId val="22343014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432064"/>
        <c:crosses val="autoZero"/>
        <c:crossBetween val="midCat"/>
      </c:valAx>
      <c:valAx>
        <c:axId val="223432064"/>
        <c:scaling>
          <c:logBase val="10"/>
          <c:orientation val="minMax"/>
        </c:scaling>
        <c:delete val="0"/>
        <c:axPos val="l"/>
        <c:majorGridlines/>
        <c:title>
          <c:tx>
            <c:rich>
              <a:bodyPr rot="-5400000" vert="horz"/>
              <a:lstStyle/>
              <a:p>
                <a:pPr>
                  <a:defRPr/>
                </a:pPr>
                <a:r>
                  <a:rPr lang="en-US"/>
                  <a:t>Size</a:t>
                </a:r>
              </a:p>
              <a:p>
                <a:pPr>
                  <a:defRPr/>
                </a:pPr>
                <a:r>
                  <a:rPr lang="en-US"/>
                  <a:t>(hp)</a:t>
                </a:r>
              </a:p>
            </c:rich>
          </c:tx>
          <c:overlay val="0"/>
        </c:title>
        <c:numFmt formatCode="0.00" sourceLinked="1"/>
        <c:majorTickMark val="out"/>
        <c:minorTickMark val="none"/>
        <c:tickLblPos val="nextTo"/>
        <c:crossAx val="22343014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Power/Accuracy</a:t>
            </a:r>
          </a:p>
        </c:rich>
      </c:tx>
      <c:overlay val="0"/>
    </c:title>
    <c:autoTitleDeleted val="0"/>
    <c:plotArea>
      <c:layout/>
      <c:scatterChart>
        <c:scatterStyle val="lineMarker"/>
        <c:varyColors val="0"/>
        <c:ser>
          <c:idx val="0"/>
          <c:order val="0"/>
          <c:tx>
            <c:v>Individual Machine</c:v>
          </c:tx>
          <c:spPr>
            <a:ln w="47625">
              <a:noFill/>
            </a:ln>
          </c:spPr>
          <c:trendline>
            <c:trendlineType val="exp"/>
            <c:dispRSqr val="1"/>
            <c:dispEq val="1"/>
            <c:trendlineLbl>
              <c:layout>
                <c:manualLayout>
                  <c:x val="0.26475528504527901"/>
                  <c:y val="0.49311561861219"/>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sourcedata!$Z$2:$Z$102</c:f>
              <c:numCache>
                <c:formatCode>General</c:formatCode>
                <c:ptCount val="101"/>
                <c:pt idx="14">
                  <c:v>5000</c:v>
                </c:pt>
                <c:pt idx="34">
                  <c:v>15000</c:v>
                </c:pt>
                <c:pt idx="44">
                  <c:v>27500</c:v>
                </c:pt>
                <c:pt idx="48">
                  <c:v>50000</c:v>
                </c:pt>
                <c:pt idx="49">
                  <c:v>10000</c:v>
                </c:pt>
                <c:pt idx="50">
                  <c:v>50000</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70383802868919"/>
                  <c:y val="0.56516346746979196"/>
                </c:manualLayout>
              </c:layout>
              <c:numFmt formatCode="General" sourceLinked="0"/>
              <c:txPr>
                <a:bodyPr/>
                <a:lstStyle/>
                <a:p>
                  <a:pPr>
                    <a:defRPr sz="1400">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sourcedata!$S$2:$S$101</c:f>
              <c:numCache>
                <c:formatCode>General</c:formatCode>
                <c:ptCount val="100"/>
                <c:pt idx="1">
                  <c:v>5930.9849029475199</c:v>
                </c:pt>
                <c:pt idx="7">
                  <c:v>14827.462257368799</c:v>
                </c:pt>
                <c:pt idx="11">
                  <c:v>4843.6376707404752</c:v>
                </c:pt>
                <c:pt idx="22">
                  <c:v>18781.452192667144</c:v>
                </c:pt>
                <c:pt idx="31">
                  <c:v>18781.452192667144</c:v>
                </c:pt>
                <c:pt idx="37">
                  <c:v>17243.789440051121</c:v>
                </c:pt>
                <c:pt idx="56">
                  <c:v>48436.376707404743</c:v>
                </c:pt>
                <c:pt idx="75">
                  <c:v>87185.478073328544</c:v>
                </c:pt>
              </c:numCache>
            </c:numRef>
          </c:yVal>
          <c:smooth val="0"/>
        </c:ser>
        <c:dLbls>
          <c:showLegendKey val="0"/>
          <c:showVal val="0"/>
          <c:showCatName val="0"/>
          <c:showSerName val="0"/>
          <c:showPercent val="0"/>
          <c:showBubbleSize val="0"/>
        </c:dLbls>
        <c:axId val="223639808"/>
        <c:axId val="223666560"/>
      </c:scatterChart>
      <c:valAx>
        <c:axId val="2236398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666560"/>
        <c:crosses val="autoZero"/>
        <c:crossBetween val="midCat"/>
      </c:valAx>
      <c:valAx>
        <c:axId val="223666560"/>
        <c:scaling>
          <c:logBase val="10"/>
          <c:orientation val="minMax"/>
        </c:scaling>
        <c:delete val="0"/>
        <c:axPos val="l"/>
        <c:majorGridlines/>
        <c:title>
          <c:tx>
            <c:rich>
              <a:bodyPr rot="-5400000" vert="horz"/>
              <a:lstStyle/>
              <a:p>
                <a:pPr>
                  <a:defRPr/>
                </a:pPr>
                <a:r>
                  <a:rPr lang="en-US"/>
                  <a:t>Power/accuracy </a:t>
                </a:r>
              </a:p>
              <a:p>
                <a:pPr>
                  <a:defRPr/>
                </a:pPr>
                <a:r>
                  <a:rPr lang="en-US"/>
                  <a:t>(hp/in)</a:t>
                </a:r>
              </a:p>
            </c:rich>
          </c:tx>
          <c:overlay val="0"/>
        </c:title>
        <c:numFmt formatCode="General" sourceLinked="1"/>
        <c:majorTickMark val="out"/>
        <c:minorTickMark val="none"/>
        <c:tickLblPos val="nextTo"/>
        <c:crossAx val="22363980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Cost</a:t>
            </a:r>
          </a:p>
        </c:rich>
      </c:tx>
      <c:overlay val="0"/>
    </c:title>
    <c:autoTitleDeleted val="0"/>
    <c:plotArea>
      <c:layout/>
      <c:scatterChart>
        <c:scatterStyle val="lineMarker"/>
        <c:varyColors val="0"/>
        <c:ser>
          <c:idx val="0"/>
          <c:order val="0"/>
          <c:tx>
            <c:v>Individual Machines</c:v>
          </c:tx>
          <c:spPr>
            <a:ln w="47625">
              <a:noFill/>
            </a:ln>
          </c:spPr>
          <c:trendline>
            <c:trendlineType val="exp"/>
            <c:dispRSqr val="1"/>
            <c:dispEq val="1"/>
            <c:trendlineLbl>
              <c:layout>
                <c:manualLayout>
                  <c:x val="0.25649687550782202"/>
                  <c:y val="0.49585253456221201"/>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sourcedata!$N$2:$N$101</c:f>
              <c:numCache>
                <c:formatCode>General</c:formatCode>
                <c:ptCount val="100"/>
                <c:pt idx="15" formatCode="&quot;$&quot;#,##0_);[Red]\(&quot;$&quot;#,##0\)">
                  <c:v>5350</c:v>
                </c:pt>
                <c:pt idx="21">
                  <c:v>695</c:v>
                </c:pt>
                <c:pt idx="37">
                  <c:v>110500</c:v>
                </c:pt>
                <c:pt idx="39">
                  <c:v>6400</c:v>
                </c:pt>
                <c:pt idx="67">
                  <c:v>55000</c:v>
                </c:pt>
                <c:pt idx="74">
                  <c:v>150000</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5649687550782202"/>
                  <c:y val="0.61259600614439302"/>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sourcedata!$Q$2:$Q$101</c:f>
              <c:numCache>
                <c:formatCode>General</c:formatCode>
                <c:ptCount val="100"/>
                <c:pt idx="11">
                  <c:v>3022.5</c:v>
                </c:pt>
                <c:pt idx="37">
                  <c:v>58450</c:v>
                </c:pt>
                <c:pt idx="56">
                  <c:v>55000</c:v>
                </c:pt>
                <c:pt idx="70">
                  <c:v>150000</c:v>
                </c:pt>
              </c:numCache>
            </c:numRef>
          </c:yVal>
          <c:smooth val="0"/>
        </c:ser>
        <c:dLbls>
          <c:showLegendKey val="0"/>
          <c:showVal val="0"/>
          <c:showCatName val="0"/>
          <c:showSerName val="0"/>
          <c:showPercent val="0"/>
          <c:showBubbleSize val="0"/>
        </c:dLbls>
        <c:axId val="223746688"/>
        <c:axId val="223761152"/>
      </c:scatterChart>
      <c:valAx>
        <c:axId val="22374668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761152"/>
        <c:crosses val="autoZero"/>
        <c:crossBetween val="midCat"/>
      </c:valAx>
      <c:valAx>
        <c:axId val="223761152"/>
        <c:scaling>
          <c:logBase val="10"/>
          <c:orientation val="minMax"/>
        </c:scaling>
        <c:delete val="0"/>
        <c:axPos val="l"/>
        <c:majorGridlines/>
        <c:title>
          <c:tx>
            <c:rich>
              <a:bodyPr rot="-5400000" vert="horz"/>
              <a:lstStyle/>
              <a:p>
                <a:pPr>
                  <a:defRPr/>
                </a:pPr>
                <a:r>
                  <a:rPr lang="en-US"/>
                  <a:t>Cost</a:t>
                </a:r>
              </a:p>
              <a:p>
                <a:pPr>
                  <a:defRPr/>
                </a:pPr>
                <a:r>
                  <a:rPr lang="en-US"/>
                  <a:t>($)</a:t>
                </a:r>
              </a:p>
            </c:rich>
          </c:tx>
          <c:overlay val="0"/>
        </c:title>
        <c:numFmt formatCode="General" sourceLinked="1"/>
        <c:majorTickMark val="out"/>
        <c:minorTickMark val="none"/>
        <c:tickLblPos val="nextTo"/>
        <c:crossAx val="22374668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Power/Cost</a:t>
            </a:r>
          </a:p>
        </c:rich>
      </c:tx>
      <c:overlay val="0"/>
    </c:title>
    <c:autoTitleDeleted val="0"/>
    <c:plotArea>
      <c:layout/>
      <c:scatterChart>
        <c:scatterStyle val="lineMarker"/>
        <c:varyColors val="0"/>
        <c:ser>
          <c:idx val="0"/>
          <c:order val="0"/>
          <c:tx>
            <c:v>Individual Machines</c:v>
          </c:tx>
          <c:spPr>
            <a:ln w="47625">
              <a:noFill/>
            </a:ln>
          </c:spPr>
          <c:trendline>
            <c:trendlineType val="exp"/>
            <c:dispRSqr val="1"/>
            <c:dispEq val="1"/>
            <c:trendlineLbl>
              <c:layout>
                <c:manualLayout>
                  <c:x val="0.26622726802676899"/>
                  <c:y val="-0.13364055299539199"/>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sourcedata!$AG$2:$AG$101</c:f>
              <c:numCache>
                <c:formatCode>General</c:formatCode>
                <c:ptCount val="100"/>
                <c:pt idx="21">
                  <c:v>1.079136690647482E-3</c:v>
                </c:pt>
                <c:pt idx="37">
                  <c:v>4.5248868778280542E-5</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69979613242529"/>
                  <c:y val="0.23256552608343301"/>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sourcedata!$R$2:$R$101</c:f>
              <c:numCache>
                <c:formatCode>General</c:formatCode>
                <c:ptCount val="100"/>
                <c:pt idx="11">
                  <c:v>8.1058726220016553E-4</c:v>
                </c:pt>
                <c:pt idx="37">
                  <c:v>1.4922535880619711E-4</c:v>
                </c:pt>
                <c:pt idx="56">
                  <c:v>4.4545454545454543E-4</c:v>
                </c:pt>
              </c:numCache>
            </c:numRef>
          </c:yVal>
          <c:smooth val="0"/>
        </c:ser>
        <c:dLbls>
          <c:showLegendKey val="0"/>
          <c:showVal val="0"/>
          <c:showCatName val="0"/>
          <c:showSerName val="0"/>
          <c:showPercent val="0"/>
          <c:showBubbleSize val="0"/>
        </c:dLbls>
        <c:axId val="223780224"/>
        <c:axId val="223790592"/>
      </c:scatterChart>
      <c:valAx>
        <c:axId val="22378022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3790592"/>
        <c:crosses val="autoZero"/>
        <c:crossBetween val="midCat"/>
      </c:valAx>
      <c:valAx>
        <c:axId val="223790592"/>
        <c:scaling>
          <c:logBase val="10"/>
          <c:orientation val="minMax"/>
        </c:scaling>
        <c:delete val="0"/>
        <c:axPos val="l"/>
        <c:majorGridlines/>
        <c:title>
          <c:tx>
            <c:rich>
              <a:bodyPr rot="-5400000" vert="horz"/>
              <a:lstStyle/>
              <a:p>
                <a:pPr>
                  <a:defRPr/>
                </a:pPr>
                <a:r>
                  <a:rPr lang="en-US"/>
                  <a:t>Power/Cost</a:t>
                </a:r>
              </a:p>
              <a:p>
                <a:pPr>
                  <a:defRPr/>
                </a:pPr>
                <a:r>
                  <a:rPr lang="en-US"/>
                  <a:t>(hp/$)</a:t>
                </a:r>
              </a:p>
            </c:rich>
          </c:tx>
          <c:overlay val="0"/>
        </c:title>
        <c:numFmt formatCode="General" sourceLinked="1"/>
        <c:majorTickMark val="out"/>
        <c:minorTickMark val="none"/>
        <c:tickLblPos val="nextTo"/>
        <c:crossAx val="22378022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Max</a:t>
            </a:r>
            <a:r>
              <a:rPr lang="en-US" baseline="0"/>
              <a:t> Table Speed</a:t>
            </a:r>
            <a:endParaRPr lang="en-US"/>
          </a:p>
        </c:rich>
      </c:tx>
      <c:overlay val="0"/>
    </c:title>
    <c:autoTitleDeleted val="0"/>
    <c:plotArea>
      <c:layout/>
      <c:scatterChart>
        <c:scatterStyle val="lineMarker"/>
        <c:varyColors val="0"/>
        <c:ser>
          <c:idx val="1"/>
          <c:order val="1"/>
          <c:tx>
            <c:v>Yearly Average</c:v>
          </c:tx>
          <c:spPr>
            <a:ln w="47625">
              <a:noFill/>
            </a:ln>
          </c:spPr>
          <c:trendline>
            <c:spPr>
              <a:ln>
                <a:solidFill>
                  <a:srgbClr val="FF0000"/>
                </a:solidFill>
              </a:ln>
            </c:spPr>
            <c:trendlineType val="exp"/>
            <c:dispRSqr val="1"/>
            <c:dispEq val="1"/>
            <c:trendlineLbl>
              <c:layout>
                <c:manualLayout>
                  <c:x val="0.297417972847203"/>
                  <c:y val="0.59017743749773199"/>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sourcedata!$O$2:$O$101</c:f>
              <c:numCache>
                <c:formatCode>General</c:formatCode>
                <c:ptCount val="100"/>
                <c:pt idx="0">
                  <c:v>14</c:v>
                </c:pt>
                <c:pt idx="1">
                  <c:v>94.800000000000011</c:v>
                </c:pt>
                <c:pt idx="7">
                  <c:v>20</c:v>
                </c:pt>
                <c:pt idx="11">
                  <c:v>32.5</c:v>
                </c:pt>
                <c:pt idx="22">
                  <c:v>40</c:v>
                </c:pt>
                <c:pt idx="31">
                  <c:v>200</c:v>
                </c:pt>
                <c:pt idx="37">
                  <c:v>331</c:v>
                </c:pt>
                <c:pt idx="51">
                  <c:v>300</c:v>
                </c:pt>
                <c:pt idx="56">
                  <c:v>813.33333333333337</c:v>
                </c:pt>
                <c:pt idx="70">
                  <c:v>2685</c:v>
                </c:pt>
                <c:pt idx="75">
                  <c:v>1806.3733333333334</c:v>
                </c:pt>
              </c:numCache>
            </c:numRef>
          </c:yVal>
          <c:smooth val="0"/>
        </c:ser>
        <c:ser>
          <c:idx val="0"/>
          <c:order val="0"/>
          <c:tx>
            <c:v>Individual Machines</c:v>
          </c:tx>
          <c:spPr>
            <a:ln w="47625">
              <a:noFill/>
            </a:ln>
          </c:spPr>
          <c:trendline>
            <c:trendlineType val="exp"/>
            <c:dispRSqr val="1"/>
            <c:dispEq val="1"/>
            <c:trendlineLbl>
              <c:layout>
                <c:manualLayout>
                  <c:x val="0.28991328241568298"/>
                  <c:y val="0.45999854856852601"/>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sourcedata!$K$2:$K$101</c:f>
              <c:numCache>
                <c:formatCode>General</c:formatCode>
                <c:ptCount val="100"/>
                <c:pt idx="0">
                  <c:v>14</c:v>
                </c:pt>
                <c:pt idx="1">
                  <c:v>30</c:v>
                </c:pt>
                <c:pt idx="2">
                  <c:v>159.60000000000002</c:v>
                </c:pt>
                <c:pt idx="10">
                  <c:v>20</c:v>
                </c:pt>
                <c:pt idx="11">
                  <c:v>5</c:v>
                </c:pt>
                <c:pt idx="13">
                  <c:v>60</c:v>
                </c:pt>
                <c:pt idx="23">
                  <c:v>40</c:v>
                </c:pt>
                <c:pt idx="35">
                  <c:v>200</c:v>
                </c:pt>
                <c:pt idx="41">
                  <c:v>512</c:v>
                </c:pt>
                <c:pt idx="47">
                  <c:v>150</c:v>
                </c:pt>
                <c:pt idx="55">
                  <c:v>300</c:v>
                </c:pt>
                <c:pt idx="57">
                  <c:v>60</c:v>
                </c:pt>
                <c:pt idx="59">
                  <c:v>1180</c:v>
                </c:pt>
                <c:pt idx="61">
                  <c:v>1200</c:v>
                </c:pt>
                <c:pt idx="72">
                  <c:v>2685</c:v>
                </c:pt>
                <c:pt idx="76">
                  <c:v>1181</c:v>
                </c:pt>
                <c:pt idx="79">
                  <c:v>1378</c:v>
                </c:pt>
                <c:pt idx="80">
                  <c:v>2362</c:v>
                </c:pt>
                <c:pt idx="84">
                  <c:v>1174.3599999999999</c:v>
                </c:pt>
                <c:pt idx="85">
                  <c:v>912</c:v>
                </c:pt>
                <c:pt idx="87">
                  <c:v>2362</c:v>
                </c:pt>
                <c:pt idx="91">
                  <c:v>1574</c:v>
                </c:pt>
                <c:pt idx="93">
                  <c:v>1771</c:v>
                </c:pt>
                <c:pt idx="94">
                  <c:v>3543</c:v>
                </c:pt>
                <c:pt idx="97">
                  <c:v>1417</c:v>
                </c:pt>
              </c:numCache>
            </c:numRef>
          </c:yVal>
          <c:smooth val="0"/>
        </c:ser>
        <c:dLbls>
          <c:showLegendKey val="0"/>
          <c:showVal val="0"/>
          <c:showCatName val="0"/>
          <c:showSerName val="0"/>
          <c:showPercent val="0"/>
          <c:showBubbleSize val="0"/>
        </c:dLbls>
        <c:axId val="224002432"/>
        <c:axId val="224004352"/>
      </c:scatterChart>
      <c:valAx>
        <c:axId val="224002432"/>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4004352"/>
        <c:crosses val="autoZero"/>
        <c:crossBetween val="midCat"/>
      </c:valAx>
      <c:valAx>
        <c:axId val="224004352"/>
        <c:scaling>
          <c:logBase val="10"/>
          <c:orientation val="minMax"/>
        </c:scaling>
        <c:delete val="0"/>
        <c:axPos val="l"/>
        <c:majorGridlines/>
        <c:title>
          <c:tx>
            <c:rich>
              <a:bodyPr rot="-5400000" vert="horz"/>
              <a:lstStyle/>
              <a:p>
                <a:pPr>
                  <a:defRPr/>
                </a:pPr>
                <a:r>
                  <a:rPr lang="en-US"/>
                  <a:t>Max Table</a:t>
                </a:r>
                <a:r>
                  <a:rPr lang="en-US" baseline="0"/>
                  <a:t> Speed </a:t>
                </a:r>
                <a:endParaRPr lang="en-US"/>
              </a:p>
              <a:p>
                <a:pPr>
                  <a:defRPr/>
                </a:pPr>
                <a:r>
                  <a:rPr lang="en-US"/>
                  <a:t>(in/min)</a:t>
                </a:r>
              </a:p>
            </c:rich>
          </c:tx>
          <c:overlay val="0"/>
        </c:title>
        <c:numFmt formatCode="General" sourceLinked="1"/>
        <c:majorTickMark val="out"/>
        <c:minorTickMark val="none"/>
        <c:tickLblPos val="nextTo"/>
        <c:crossAx val="2240024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Speed/Accuracy</a:t>
            </a:r>
          </a:p>
        </c:rich>
      </c:tx>
      <c:overlay val="0"/>
    </c:title>
    <c:autoTitleDeleted val="0"/>
    <c:plotArea>
      <c:layout/>
      <c:scatterChart>
        <c:scatterStyle val="lineMarker"/>
        <c:varyColors val="0"/>
        <c:ser>
          <c:idx val="0"/>
          <c:order val="0"/>
          <c:tx>
            <c:v>Individual Machines</c:v>
          </c:tx>
          <c:spPr>
            <a:ln w="47625">
              <a:noFill/>
            </a:ln>
          </c:spPr>
          <c:trendline>
            <c:spPr>
              <a:ln>
                <a:solidFill>
                  <a:srgbClr val="0000FF"/>
                </a:solidFill>
              </a:ln>
            </c:spPr>
            <c:trendlineType val="exp"/>
            <c:dispRSqr val="1"/>
            <c:dispEq val="1"/>
            <c:trendlineLbl>
              <c:layout>
                <c:manualLayout>
                  <c:x val="0.27731205034642697"/>
                  <c:y val="0.37488418786361399"/>
                </c:manualLayout>
              </c:layout>
              <c:numFmt formatCode="General" sourceLinked="0"/>
              <c:txPr>
                <a:bodyPr/>
                <a:lstStyle/>
                <a:p>
                  <a:pPr>
                    <a:defRPr>
                      <a:solidFill>
                        <a:srgbClr val="0000FF"/>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sourcedata!$Y$2:$Y$102</c:f>
              <c:numCache>
                <c:formatCode>General</c:formatCode>
                <c:ptCount val="101"/>
                <c:pt idx="13" formatCode="_(* #,##0.00_);_(* \(#,##0.00\);_(* &quot;-&quot;??_);_(@_)">
                  <c:v>120000</c:v>
                </c:pt>
                <c:pt idx="55" formatCode="_(* #,##0.00_);_(* \(#,##0.00\);_(* &quot;-&quot;??_);_(@_)">
                  <c:v>1500000</c:v>
                </c:pt>
                <c:pt idx="61" formatCode="_(* #,##0.00_);_(* \(#,##0.00\);_(* &quot;-&quot;??_);_(@_)">
                  <c:v>1200000</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7918822295430701"/>
                  <c:y val="0.46702734738802798"/>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sourcedata!$X$2:$X$101</c:f>
              <c:numCache>
                <c:formatCode>General</c:formatCode>
                <c:ptCount val="100"/>
                <c:pt idx="0">
                  <c:v>27677.929547088424</c:v>
                </c:pt>
                <c:pt idx="1">
                  <c:v>187419.12293314165</c:v>
                </c:pt>
                <c:pt idx="7">
                  <c:v>39539.899352983462</c:v>
                </c:pt>
                <c:pt idx="11" formatCode="_(* #,##0.00_);_(* \(#,##0.00\);_(* &quot;-&quot;??_);_(@_)">
                  <c:v>64252.336448598129</c:v>
                </c:pt>
                <c:pt idx="22">
                  <c:v>79079.798705966925</c:v>
                </c:pt>
                <c:pt idx="31">
                  <c:v>395398.99352983467</c:v>
                </c:pt>
                <c:pt idx="37">
                  <c:v>654385.33429187629</c:v>
                </c:pt>
                <c:pt idx="51">
                  <c:v>593098.49029475194</c:v>
                </c:pt>
                <c:pt idx="56">
                  <c:v>1607955.9070213276</c:v>
                </c:pt>
                <c:pt idx="70">
                  <c:v>5308231.4881380303</c:v>
                </c:pt>
                <c:pt idx="75">
                  <c:v>3571190.9896956626</c:v>
                </c:pt>
              </c:numCache>
            </c:numRef>
          </c:yVal>
          <c:smooth val="0"/>
        </c:ser>
        <c:ser>
          <c:idx val="2"/>
          <c:order val="2"/>
          <c:tx>
            <c:strRef>
              <c:f>sourcedata!$AH$1</c:f>
              <c:strCache>
                <c:ptCount val="1"/>
                <c:pt idx="0">
                  <c:v>DAYC Table Speed/Accuracy</c:v>
                </c:pt>
              </c:strCache>
            </c:strRef>
          </c:tx>
          <c:spPr>
            <a:ln w="47625">
              <a:noFill/>
            </a:ln>
          </c:spPr>
          <c:trendline>
            <c:spPr>
              <a:ln>
                <a:solidFill>
                  <a:srgbClr val="008000"/>
                </a:solidFill>
              </a:ln>
            </c:spPr>
            <c:trendlineType val="exp"/>
            <c:dispRSqr val="1"/>
            <c:dispEq val="1"/>
            <c:trendlineLbl>
              <c:layout>
                <c:manualLayout>
                  <c:x val="0.27345525993115799"/>
                  <c:y val="0.58611899319036698"/>
                </c:manualLayout>
              </c:layout>
              <c:numFmt formatCode="General" sourceLinked="0"/>
              <c:txPr>
                <a:bodyPr/>
                <a:lstStyle/>
                <a:p>
                  <a:pPr>
                    <a:defRPr>
                      <a:solidFill>
                        <a:srgbClr val="008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sourcedata!$AH$2:$AH$77</c:f>
              <c:numCache>
                <c:formatCode>General</c:formatCode>
                <c:ptCount val="76"/>
                <c:pt idx="0">
                  <c:v>27677.929547088424</c:v>
                </c:pt>
                <c:pt idx="1">
                  <c:v>187419.12293314165</c:v>
                </c:pt>
                <c:pt idx="7">
                  <c:v>39539.899352983462</c:v>
                </c:pt>
                <c:pt idx="11">
                  <c:v>64252.336448598129</c:v>
                </c:pt>
                <c:pt idx="13">
                  <c:v>120000</c:v>
                </c:pt>
                <c:pt idx="22">
                  <c:v>79079.798705966925</c:v>
                </c:pt>
                <c:pt idx="31">
                  <c:v>395398.99352983467</c:v>
                </c:pt>
                <c:pt idx="37">
                  <c:v>654385.33429187629</c:v>
                </c:pt>
                <c:pt idx="51">
                  <c:v>593098.49029475194</c:v>
                </c:pt>
                <c:pt idx="55">
                  <c:v>1500000</c:v>
                </c:pt>
                <c:pt idx="56">
                  <c:v>1607955.9070213276</c:v>
                </c:pt>
                <c:pt idx="61">
                  <c:v>1200000</c:v>
                </c:pt>
                <c:pt idx="70">
                  <c:v>5308231.4881380303</c:v>
                </c:pt>
                <c:pt idx="75">
                  <c:v>3571190.9896956626</c:v>
                </c:pt>
              </c:numCache>
            </c:numRef>
          </c:yVal>
          <c:smooth val="0"/>
        </c:ser>
        <c:dLbls>
          <c:showLegendKey val="0"/>
          <c:showVal val="0"/>
          <c:showCatName val="0"/>
          <c:showSerName val="0"/>
          <c:showPercent val="0"/>
          <c:showBubbleSize val="0"/>
        </c:dLbls>
        <c:axId val="224053888"/>
        <c:axId val="225182464"/>
      </c:scatterChart>
      <c:valAx>
        <c:axId val="22405388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5182464"/>
        <c:crosses val="autoZero"/>
        <c:crossBetween val="midCat"/>
      </c:valAx>
      <c:valAx>
        <c:axId val="225182464"/>
        <c:scaling>
          <c:logBase val="10"/>
          <c:orientation val="minMax"/>
          <c:min val="10000"/>
        </c:scaling>
        <c:delete val="0"/>
        <c:axPos val="l"/>
        <c:majorGridlines/>
        <c:title>
          <c:tx>
            <c:rich>
              <a:bodyPr rot="-5400000" vert="horz"/>
              <a:lstStyle/>
              <a:p>
                <a:pPr>
                  <a:defRPr/>
                </a:pPr>
                <a:r>
                  <a:rPr lang="en-US"/>
                  <a:t>Table Speed/Accuracy </a:t>
                </a:r>
              </a:p>
              <a:p>
                <a:pPr>
                  <a:defRPr/>
                </a:pPr>
                <a:r>
                  <a:rPr lang="en-US"/>
                  <a:t>1/(min)</a:t>
                </a:r>
              </a:p>
            </c:rich>
          </c:tx>
          <c:overlay val="0"/>
        </c:title>
        <c:numFmt formatCode="General" sourceLinked="1"/>
        <c:majorTickMark val="out"/>
        <c:minorTickMark val="none"/>
        <c:tickLblPos val="nextTo"/>
        <c:crossAx val="224053888"/>
        <c:crosses val="autoZero"/>
        <c:crossBetween val="midCat"/>
      </c:valAx>
    </c:plotArea>
    <c:legend>
      <c:legendPos val="r"/>
      <c:layout>
        <c:manualLayout>
          <c:xMode val="edge"/>
          <c:yMode val="edge"/>
          <c:x val="0.64227652125097801"/>
          <c:y val="0.16836024529191901"/>
          <c:w val="0.34083792527810203"/>
          <c:h val="0.370191951812475"/>
        </c:manualLayout>
      </c:layout>
      <c:overlay val="0"/>
    </c:legend>
    <c:plotVisOnly val="1"/>
    <c:dispBlanksAs val="gap"/>
    <c:showDLblsOverMax val="0"/>
  </c:chart>
  <c:printSettings>
    <c:headerFooter/>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Power/Accuracy</a:t>
            </a:r>
          </a:p>
        </c:rich>
      </c:tx>
      <c:overlay val="0"/>
    </c:title>
    <c:autoTitleDeleted val="0"/>
    <c:plotArea>
      <c:layout/>
      <c:scatterChart>
        <c:scatterStyle val="lineMarker"/>
        <c:varyColors val="0"/>
        <c:ser>
          <c:idx val="0"/>
          <c:order val="0"/>
          <c:tx>
            <c:v>Individual Machine</c:v>
          </c:tx>
          <c:spPr>
            <a:ln w="47625">
              <a:noFill/>
            </a:ln>
          </c:spPr>
          <c:trendline>
            <c:trendlineType val="exp"/>
            <c:dispRSqr val="1"/>
            <c:dispEq val="1"/>
            <c:trendlineLbl>
              <c:layout>
                <c:manualLayout>
                  <c:x val="0.26287911243739898"/>
                  <c:y val="0.41938289971817999"/>
                </c:manualLayout>
              </c:layout>
              <c:numFmt formatCode="General" sourceLinked="0"/>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sourcedata!$Z$2:$Z$102</c:f>
              <c:numCache>
                <c:formatCode>General</c:formatCode>
                <c:ptCount val="101"/>
                <c:pt idx="14">
                  <c:v>5000</c:v>
                </c:pt>
                <c:pt idx="34">
                  <c:v>15000</c:v>
                </c:pt>
                <c:pt idx="44">
                  <c:v>27500</c:v>
                </c:pt>
                <c:pt idx="48">
                  <c:v>50000</c:v>
                </c:pt>
                <c:pt idx="49">
                  <c:v>10000</c:v>
                </c:pt>
                <c:pt idx="50">
                  <c:v>50000</c:v>
                </c:pt>
              </c:numCache>
            </c:numRef>
          </c:yVal>
          <c:smooth val="0"/>
        </c:ser>
        <c:ser>
          <c:idx val="1"/>
          <c:order val="1"/>
          <c:tx>
            <c:v>Yearly Average</c:v>
          </c:tx>
          <c:spPr>
            <a:ln w="47625">
              <a:noFill/>
            </a:ln>
          </c:spPr>
          <c:trendline>
            <c:spPr>
              <a:ln>
                <a:solidFill>
                  <a:srgbClr val="FF0000"/>
                </a:solidFill>
              </a:ln>
            </c:spPr>
            <c:trendlineType val="exp"/>
            <c:dispRSqr val="1"/>
            <c:dispEq val="1"/>
            <c:trendlineLbl>
              <c:layout>
                <c:manualLayout>
                  <c:x val="0.25725059461375999"/>
                  <c:y val="0.472997568852281"/>
                </c:manualLayout>
              </c:layout>
              <c:numFmt formatCode="General" sourceLinked="0"/>
              <c:txPr>
                <a:bodyPr/>
                <a:lstStyle/>
                <a:p>
                  <a:pPr>
                    <a:defRPr>
                      <a:solidFill>
                        <a:srgbClr val="FF0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sourcedata!$S$2:$S$101</c:f>
              <c:numCache>
                <c:formatCode>General</c:formatCode>
                <c:ptCount val="100"/>
                <c:pt idx="1">
                  <c:v>5930.9849029475199</c:v>
                </c:pt>
                <c:pt idx="7">
                  <c:v>14827.462257368799</c:v>
                </c:pt>
                <c:pt idx="11">
                  <c:v>4843.6376707404752</c:v>
                </c:pt>
                <c:pt idx="22">
                  <c:v>18781.452192667144</c:v>
                </c:pt>
                <c:pt idx="31">
                  <c:v>18781.452192667144</c:v>
                </c:pt>
                <c:pt idx="37">
                  <c:v>17243.789440051121</c:v>
                </c:pt>
                <c:pt idx="56">
                  <c:v>48436.376707404743</c:v>
                </c:pt>
                <c:pt idx="75">
                  <c:v>87185.478073328544</c:v>
                </c:pt>
              </c:numCache>
            </c:numRef>
          </c:yVal>
          <c:smooth val="0"/>
        </c:ser>
        <c:ser>
          <c:idx val="2"/>
          <c:order val="2"/>
          <c:tx>
            <c:v>Combined</c:v>
          </c:tx>
          <c:spPr>
            <a:ln w="47625">
              <a:noFill/>
            </a:ln>
          </c:spPr>
          <c:trendline>
            <c:trendlineType val="linear"/>
            <c:dispRSqr val="1"/>
            <c:dispEq val="1"/>
            <c:trendlineLbl>
              <c:layout>
                <c:manualLayout>
                  <c:x val="0.28423364996823802"/>
                  <c:y val="0.55404526047147296"/>
                </c:manualLayout>
              </c:layout>
              <c:numFmt formatCode="General" sourceLinked="0"/>
              <c:txPr>
                <a:bodyPr/>
                <a:lstStyle/>
                <a:p>
                  <a:pPr>
                    <a:defRPr>
                      <a:solidFill>
                        <a:srgbClr val="008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sourcedata!$AA$1:$AA$77</c:f>
              <c:numCache>
                <c:formatCode>General</c:formatCode>
                <c:ptCount val="77"/>
                <c:pt idx="0">
                  <c:v>0</c:v>
                </c:pt>
                <c:pt idx="2">
                  <c:v>5930.9849029475199</c:v>
                </c:pt>
                <c:pt idx="8">
                  <c:v>14827.462257368799</c:v>
                </c:pt>
                <c:pt idx="12">
                  <c:v>4843.6376707404752</c:v>
                </c:pt>
                <c:pt idx="15">
                  <c:v>5000</c:v>
                </c:pt>
                <c:pt idx="23">
                  <c:v>18781.452192667144</c:v>
                </c:pt>
                <c:pt idx="32">
                  <c:v>18781.452192667144</c:v>
                </c:pt>
                <c:pt idx="35">
                  <c:v>15000</c:v>
                </c:pt>
                <c:pt idx="38">
                  <c:v>17243.789440051121</c:v>
                </c:pt>
                <c:pt idx="45">
                  <c:v>27500</c:v>
                </c:pt>
                <c:pt idx="49">
                  <c:v>50000</c:v>
                </c:pt>
                <c:pt idx="50">
                  <c:v>10000</c:v>
                </c:pt>
                <c:pt idx="51">
                  <c:v>50000</c:v>
                </c:pt>
                <c:pt idx="57">
                  <c:v>48436.376707404743</c:v>
                </c:pt>
                <c:pt idx="76">
                  <c:v>87185.478073328544</c:v>
                </c:pt>
              </c:numCache>
            </c:numRef>
          </c:yVal>
          <c:smooth val="0"/>
        </c:ser>
        <c:dLbls>
          <c:showLegendKey val="0"/>
          <c:showVal val="0"/>
          <c:showCatName val="0"/>
          <c:showSerName val="0"/>
          <c:showPercent val="0"/>
          <c:showBubbleSize val="0"/>
        </c:dLbls>
        <c:axId val="225203328"/>
        <c:axId val="225205248"/>
      </c:scatterChart>
      <c:valAx>
        <c:axId val="22520332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5205248"/>
        <c:crosses val="autoZero"/>
        <c:crossBetween val="midCat"/>
      </c:valAx>
      <c:valAx>
        <c:axId val="225205248"/>
        <c:scaling>
          <c:logBase val="10"/>
          <c:orientation val="minMax"/>
        </c:scaling>
        <c:delete val="0"/>
        <c:axPos val="l"/>
        <c:majorGridlines/>
        <c:title>
          <c:tx>
            <c:rich>
              <a:bodyPr rot="-5400000" vert="horz"/>
              <a:lstStyle/>
              <a:p>
                <a:pPr>
                  <a:defRPr/>
                </a:pPr>
                <a:r>
                  <a:rPr lang="en-US"/>
                  <a:t>Power/accuracy </a:t>
                </a:r>
              </a:p>
              <a:p>
                <a:pPr>
                  <a:defRPr/>
                </a:pPr>
                <a:r>
                  <a:rPr lang="en-US"/>
                  <a:t>(hp/in)</a:t>
                </a:r>
              </a:p>
            </c:rich>
          </c:tx>
          <c:overlay val="0"/>
        </c:title>
        <c:numFmt formatCode="General" sourceLinked="1"/>
        <c:majorTickMark val="out"/>
        <c:minorTickMark val="none"/>
        <c:tickLblPos val="nextTo"/>
        <c:crossAx val="225203328"/>
        <c:crosses val="autoZero"/>
        <c:crossBetween val="midCat"/>
      </c:valAx>
    </c:plotArea>
    <c:legend>
      <c:legendPos val="r"/>
      <c:layout>
        <c:manualLayout>
          <c:xMode val="edge"/>
          <c:yMode val="edge"/>
          <c:x val="0.71073421872922604"/>
          <c:y val="0.22365978446242599"/>
          <c:w val="0.27238022779985499"/>
          <c:h val="0.370191951812475"/>
        </c:manualLayout>
      </c:layout>
      <c:overlay val="0"/>
    </c:legend>
    <c:plotVisOnly val="1"/>
    <c:dispBlanksAs val="gap"/>
    <c:showDLblsOverMax val="0"/>
  </c:chart>
  <c:printSettings>
    <c:headerFooter/>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Speed/Accuracy</a:t>
            </a:r>
          </a:p>
        </c:rich>
      </c:tx>
      <c:overlay val="0"/>
    </c:title>
    <c:autoTitleDeleted val="0"/>
    <c:plotArea>
      <c:layout/>
      <c:scatterChart>
        <c:scatterStyle val="lineMarker"/>
        <c:varyColors val="0"/>
        <c:ser>
          <c:idx val="0"/>
          <c:order val="0"/>
          <c:tx>
            <c:v>Individual Machines</c:v>
          </c:tx>
          <c:spPr>
            <a:ln w="47625">
              <a:noFill/>
            </a:ln>
          </c:spPr>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sourcedata!$Y$2:$Y$102</c:f>
              <c:numCache>
                <c:formatCode>General</c:formatCode>
                <c:ptCount val="101"/>
                <c:pt idx="13" formatCode="_(* #,##0.00_);_(* \(#,##0.00\);_(* &quot;-&quot;??_);_(@_)">
                  <c:v>120000</c:v>
                </c:pt>
                <c:pt idx="55" formatCode="_(* #,##0.00_);_(* \(#,##0.00\);_(* &quot;-&quot;??_);_(@_)">
                  <c:v>1500000</c:v>
                </c:pt>
                <c:pt idx="61" formatCode="_(* #,##0.00_);_(* \(#,##0.00\);_(* &quot;-&quot;??_);_(@_)">
                  <c:v>1200000</c:v>
                </c:pt>
              </c:numCache>
            </c:numRef>
          </c:yVal>
          <c:smooth val="0"/>
        </c:ser>
        <c:dLbls>
          <c:showLegendKey val="0"/>
          <c:showVal val="0"/>
          <c:showCatName val="0"/>
          <c:showSerName val="0"/>
          <c:showPercent val="0"/>
          <c:showBubbleSize val="0"/>
        </c:dLbls>
        <c:axId val="225271808"/>
        <c:axId val="225273728"/>
      </c:scatterChart>
      <c:valAx>
        <c:axId val="2252718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5273728"/>
        <c:crosses val="autoZero"/>
        <c:crossBetween val="midCat"/>
      </c:valAx>
      <c:valAx>
        <c:axId val="225273728"/>
        <c:scaling>
          <c:logBase val="10"/>
          <c:orientation val="minMax"/>
          <c:min val="10000"/>
        </c:scaling>
        <c:delete val="0"/>
        <c:axPos val="l"/>
        <c:majorGridlines/>
        <c:title>
          <c:tx>
            <c:rich>
              <a:bodyPr rot="-5400000" vert="horz"/>
              <a:lstStyle/>
              <a:p>
                <a:pPr>
                  <a:defRPr/>
                </a:pPr>
                <a:r>
                  <a:rPr lang="en-US"/>
                  <a:t>Table Speed/Accuracy </a:t>
                </a:r>
              </a:p>
              <a:p>
                <a:pPr>
                  <a:defRPr/>
                </a:pPr>
                <a:r>
                  <a:rPr lang="en-US"/>
                  <a:t>1/(min)</a:t>
                </a:r>
              </a:p>
            </c:rich>
          </c:tx>
          <c:overlay val="0"/>
        </c:title>
        <c:numFmt formatCode="General" sourceLinked="1"/>
        <c:majorTickMark val="out"/>
        <c:minorTickMark val="none"/>
        <c:tickLblPos val="nextTo"/>
        <c:crossAx val="225271808"/>
        <c:crosses val="autoZero"/>
        <c:crossBetween val="midCat"/>
      </c:valAx>
    </c:plotArea>
    <c:legend>
      <c:legendPos val="r"/>
      <c:layout>
        <c:manualLayout>
          <c:xMode val="edge"/>
          <c:yMode val="edge"/>
          <c:x val="0.65728590211401805"/>
          <c:y val="0.24823735742709599"/>
          <c:w val="0.34083792527810203"/>
          <c:h val="0.370191951812475"/>
        </c:manualLayout>
      </c:layout>
      <c:overlay val="0"/>
    </c:legend>
    <c:plotVisOnly val="1"/>
    <c:dispBlanksAs val="gap"/>
    <c:showDLblsOverMax val="0"/>
  </c:chart>
  <c:printSettings>
    <c:headerFooter/>
    <c:pageMargins b="1" l="0.75" r="0.75" t="1" header="0.5" footer="0.5"/>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Speed/Accuracy</a:t>
            </a:r>
          </a:p>
        </c:rich>
      </c:tx>
      <c:overlay val="0"/>
    </c:title>
    <c:autoTitleDeleted val="0"/>
    <c:plotArea>
      <c:layout/>
      <c:scatterChart>
        <c:scatterStyle val="lineMarker"/>
        <c:varyColors val="0"/>
        <c:ser>
          <c:idx val="0"/>
          <c:order val="0"/>
          <c:tx>
            <c:v>Individual Machines</c:v>
          </c:tx>
          <c:spPr>
            <a:ln w="47625">
              <a:noFill/>
            </a:ln>
          </c:spPr>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sourcedata!$Y$2:$Y$102</c:f>
              <c:numCache>
                <c:formatCode>General</c:formatCode>
                <c:ptCount val="101"/>
                <c:pt idx="13" formatCode="_(* #,##0.00_);_(* \(#,##0.00\);_(* &quot;-&quot;??_);_(@_)">
                  <c:v>120000</c:v>
                </c:pt>
                <c:pt idx="55" formatCode="_(* #,##0.00_);_(* \(#,##0.00\);_(* &quot;-&quot;??_);_(@_)">
                  <c:v>1500000</c:v>
                </c:pt>
                <c:pt idx="61" formatCode="_(* #,##0.00_);_(* \(#,##0.00\);_(* &quot;-&quot;??_);_(@_)">
                  <c:v>1200000</c:v>
                </c:pt>
              </c:numCache>
            </c:numRef>
          </c:yVal>
          <c:smooth val="0"/>
        </c:ser>
        <c:ser>
          <c:idx val="1"/>
          <c:order val="1"/>
          <c:tx>
            <c:v>Yearly Average</c:v>
          </c:tx>
          <c:spPr>
            <a:ln w="47625">
              <a:noFill/>
            </a:ln>
          </c:spPr>
          <c:trendline>
            <c:spPr>
              <a:ln>
                <a:solidFill>
                  <a:srgbClr val="008000"/>
                </a:solidFill>
              </a:ln>
            </c:spPr>
            <c:trendlineType val="exp"/>
            <c:dispRSqr val="0"/>
            <c:dispEq val="0"/>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sourcedata!$X$2:$X$101</c:f>
              <c:numCache>
                <c:formatCode>General</c:formatCode>
                <c:ptCount val="100"/>
                <c:pt idx="0">
                  <c:v>27677.929547088424</c:v>
                </c:pt>
                <c:pt idx="1">
                  <c:v>187419.12293314165</c:v>
                </c:pt>
                <c:pt idx="7">
                  <c:v>39539.899352983462</c:v>
                </c:pt>
                <c:pt idx="11" formatCode="_(* #,##0.00_);_(* \(#,##0.00\);_(* &quot;-&quot;??_);_(@_)">
                  <c:v>64252.336448598129</c:v>
                </c:pt>
                <c:pt idx="22">
                  <c:v>79079.798705966925</c:v>
                </c:pt>
                <c:pt idx="31">
                  <c:v>395398.99352983467</c:v>
                </c:pt>
                <c:pt idx="37">
                  <c:v>654385.33429187629</c:v>
                </c:pt>
                <c:pt idx="51">
                  <c:v>593098.49029475194</c:v>
                </c:pt>
                <c:pt idx="56">
                  <c:v>1607955.9070213276</c:v>
                </c:pt>
                <c:pt idx="70">
                  <c:v>5308231.4881380303</c:v>
                </c:pt>
                <c:pt idx="75">
                  <c:v>3571190.9896956626</c:v>
                </c:pt>
              </c:numCache>
            </c:numRef>
          </c:yVal>
          <c:smooth val="0"/>
        </c:ser>
        <c:dLbls>
          <c:showLegendKey val="0"/>
          <c:showVal val="0"/>
          <c:showCatName val="0"/>
          <c:showSerName val="0"/>
          <c:showPercent val="0"/>
          <c:showBubbleSize val="0"/>
        </c:dLbls>
        <c:axId val="225320960"/>
        <c:axId val="225322880"/>
      </c:scatterChart>
      <c:valAx>
        <c:axId val="22532096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5322880"/>
        <c:crosses val="autoZero"/>
        <c:crossBetween val="midCat"/>
      </c:valAx>
      <c:valAx>
        <c:axId val="225322880"/>
        <c:scaling>
          <c:logBase val="10"/>
          <c:orientation val="minMax"/>
          <c:min val="10000"/>
        </c:scaling>
        <c:delete val="0"/>
        <c:axPos val="l"/>
        <c:majorGridlines/>
        <c:title>
          <c:tx>
            <c:rich>
              <a:bodyPr rot="-5400000" vert="horz"/>
              <a:lstStyle/>
              <a:p>
                <a:pPr>
                  <a:defRPr/>
                </a:pPr>
                <a:r>
                  <a:rPr lang="en-US"/>
                  <a:t>Table Speed/Accuracy </a:t>
                </a:r>
              </a:p>
              <a:p>
                <a:pPr>
                  <a:defRPr/>
                </a:pPr>
                <a:r>
                  <a:rPr lang="en-US"/>
                  <a:t>1/(min)</a:t>
                </a:r>
              </a:p>
            </c:rich>
          </c:tx>
          <c:overlay val="0"/>
        </c:title>
        <c:numFmt formatCode="General" sourceLinked="1"/>
        <c:majorTickMark val="out"/>
        <c:minorTickMark val="none"/>
        <c:tickLblPos val="nextTo"/>
        <c:crossAx val="225320960"/>
        <c:crosses val="autoZero"/>
        <c:crossBetween val="midCat"/>
      </c:valAx>
    </c:plotArea>
    <c:legend>
      <c:legendPos val="r"/>
      <c:legendEntry>
        <c:idx val="2"/>
        <c:delete val="1"/>
      </c:legendEntry>
      <c:layout>
        <c:manualLayout>
          <c:xMode val="edge"/>
          <c:yMode val="edge"/>
          <c:x val="0.75743141628872401"/>
          <c:y val="0.37150719063342902"/>
          <c:w val="0.24069241110339601"/>
          <c:h val="0.185095975906238"/>
        </c:manualLayout>
      </c:layout>
      <c:overlay val="0"/>
    </c:legend>
    <c:plotVisOnly val="1"/>
    <c:dispBlanksAs val="gap"/>
    <c:showDLblsOverMax val="0"/>
  </c:chart>
  <c:printSettings>
    <c:headerFooter/>
    <c:pageMargins b="1" l="0.75" r="0.75" t="1" header="0.5" footer="0.5"/>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Milling Machine Table Speed/Accuracy</a:t>
            </a:r>
          </a:p>
        </c:rich>
      </c:tx>
      <c:overlay val="0"/>
    </c:title>
    <c:autoTitleDeleted val="0"/>
    <c:plotArea>
      <c:layout/>
      <c:scatterChart>
        <c:scatterStyle val="lineMarker"/>
        <c:varyColors val="0"/>
        <c:ser>
          <c:idx val="2"/>
          <c:order val="0"/>
          <c:tx>
            <c:v>All Data</c:v>
          </c:tx>
          <c:spPr>
            <a:ln w="47625">
              <a:noFill/>
            </a:ln>
          </c:spPr>
          <c:trendline>
            <c:spPr>
              <a:ln>
                <a:solidFill>
                  <a:srgbClr val="008000"/>
                </a:solidFill>
              </a:ln>
            </c:spPr>
            <c:trendlineType val="exp"/>
            <c:dispRSqr val="1"/>
            <c:dispEq val="1"/>
            <c:trendlineLbl>
              <c:layout>
                <c:manualLayout>
                  <c:x val="0.26879614719829797"/>
                  <c:y val="0.41714817905826301"/>
                </c:manualLayout>
              </c:layout>
              <c:numFmt formatCode="General" sourceLinked="0"/>
              <c:txPr>
                <a:bodyPr/>
                <a:lstStyle/>
                <a:p>
                  <a:pPr>
                    <a:defRPr>
                      <a:solidFill>
                        <a:srgbClr val="008000"/>
                      </a:solidFill>
                    </a:defRPr>
                  </a:pPr>
                  <a:endParaRPr lang="en-US"/>
                </a:p>
              </c:txPr>
            </c:trendlineLbl>
          </c:trendline>
          <c:xVal>
            <c:numRef>
              <c:f>sourcedata!$G$2:$G$101</c:f>
              <c:numCache>
                <c:formatCode>General</c:formatCode>
                <c:ptCount val="100"/>
                <c:pt idx="0">
                  <c:v>1928</c:v>
                </c:pt>
                <c:pt idx="1">
                  <c:v>1939</c:v>
                </c:pt>
                <c:pt idx="2">
                  <c:v>1939</c:v>
                </c:pt>
                <c:pt idx="3">
                  <c:v>1939</c:v>
                </c:pt>
                <c:pt idx="4">
                  <c:v>1939</c:v>
                </c:pt>
                <c:pt idx="5">
                  <c:v>1945</c:v>
                </c:pt>
                <c:pt idx="6">
                  <c:v>1945</c:v>
                </c:pt>
                <c:pt idx="7">
                  <c:v>1951</c:v>
                </c:pt>
                <c:pt idx="8">
                  <c:v>1951</c:v>
                </c:pt>
                <c:pt idx="9">
                  <c:v>1951</c:v>
                </c:pt>
                <c:pt idx="10">
                  <c:v>1951</c:v>
                </c:pt>
                <c:pt idx="11">
                  <c:v>1958</c:v>
                </c:pt>
                <c:pt idx="12">
                  <c:v>1958</c:v>
                </c:pt>
                <c:pt idx="13">
                  <c:v>1958</c:v>
                </c:pt>
                <c:pt idx="14">
                  <c:v>1958</c:v>
                </c:pt>
                <c:pt idx="15">
                  <c:v>1958</c:v>
                </c:pt>
                <c:pt idx="16">
                  <c:v>1958</c:v>
                </c:pt>
                <c:pt idx="17">
                  <c:v>1958</c:v>
                </c:pt>
                <c:pt idx="18">
                  <c:v>1958</c:v>
                </c:pt>
                <c:pt idx="19">
                  <c:v>1958</c:v>
                </c:pt>
                <c:pt idx="20">
                  <c:v>1958</c:v>
                </c:pt>
                <c:pt idx="21">
                  <c:v>1958</c:v>
                </c:pt>
                <c:pt idx="22">
                  <c:v>1966</c:v>
                </c:pt>
                <c:pt idx="23">
                  <c:v>1966</c:v>
                </c:pt>
                <c:pt idx="24">
                  <c:v>1966</c:v>
                </c:pt>
                <c:pt idx="25">
                  <c:v>1966</c:v>
                </c:pt>
                <c:pt idx="26">
                  <c:v>1966</c:v>
                </c:pt>
                <c:pt idx="27">
                  <c:v>1966</c:v>
                </c:pt>
                <c:pt idx="28">
                  <c:v>1966</c:v>
                </c:pt>
                <c:pt idx="29">
                  <c:v>1966</c:v>
                </c:pt>
                <c:pt idx="30">
                  <c:v>1966</c:v>
                </c:pt>
                <c:pt idx="31">
                  <c:v>1973</c:v>
                </c:pt>
                <c:pt idx="32">
                  <c:v>1973</c:v>
                </c:pt>
                <c:pt idx="33">
                  <c:v>1973</c:v>
                </c:pt>
                <c:pt idx="34">
                  <c:v>1973</c:v>
                </c:pt>
                <c:pt idx="35">
                  <c:v>1973</c:v>
                </c:pt>
                <c:pt idx="36">
                  <c:v>1973</c:v>
                </c:pt>
                <c:pt idx="37">
                  <c:v>1985</c:v>
                </c:pt>
                <c:pt idx="38">
                  <c:v>1985</c:v>
                </c:pt>
                <c:pt idx="39">
                  <c:v>1985</c:v>
                </c:pt>
                <c:pt idx="40">
                  <c:v>1985</c:v>
                </c:pt>
                <c:pt idx="41">
                  <c:v>1985</c:v>
                </c:pt>
                <c:pt idx="42">
                  <c:v>1985</c:v>
                </c:pt>
                <c:pt idx="43">
                  <c:v>1985</c:v>
                </c:pt>
                <c:pt idx="44">
                  <c:v>1985</c:v>
                </c:pt>
                <c:pt idx="45">
                  <c:v>1985</c:v>
                </c:pt>
                <c:pt idx="46">
                  <c:v>1985</c:v>
                </c:pt>
                <c:pt idx="47">
                  <c:v>1985</c:v>
                </c:pt>
                <c:pt idx="48">
                  <c:v>1985</c:v>
                </c:pt>
                <c:pt idx="49">
                  <c:v>1985</c:v>
                </c:pt>
                <c:pt idx="50">
                  <c:v>1985</c:v>
                </c:pt>
                <c:pt idx="51">
                  <c:v>1995</c:v>
                </c:pt>
                <c:pt idx="52">
                  <c:v>1995</c:v>
                </c:pt>
                <c:pt idx="53">
                  <c:v>1995</c:v>
                </c:pt>
                <c:pt idx="54">
                  <c:v>1995</c:v>
                </c:pt>
                <c:pt idx="55">
                  <c:v>1995</c:v>
                </c:pt>
                <c:pt idx="56">
                  <c:v>1996</c:v>
                </c:pt>
                <c:pt idx="57">
                  <c:v>1996</c:v>
                </c:pt>
                <c:pt idx="58">
                  <c:v>1996</c:v>
                </c:pt>
                <c:pt idx="59">
                  <c:v>1996</c:v>
                </c:pt>
                <c:pt idx="60">
                  <c:v>1996</c:v>
                </c:pt>
                <c:pt idx="61">
                  <c:v>1996</c:v>
                </c:pt>
                <c:pt idx="62">
                  <c:v>1996</c:v>
                </c:pt>
                <c:pt idx="63">
                  <c:v>1996</c:v>
                </c:pt>
                <c:pt idx="64">
                  <c:v>1996</c:v>
                </c:pt>
                <c:pt idx="65">
                  <c:v>1996</c:v>
                </c:pt>
                <c:pt idx="66">
                  <c:v>1996</c:v>
                </c:pt>
                <c:pt idx="67">
                  <c:v>1996</c:v>
                </c:pt>
                <c:pt idx="68">
                  <c:v>1996</c:v>
                </c:pt>
                <c:pt idx="69">
                  <c:v>1996</c:v>
                </c:pt>
                <c:pt idx="70">
                  <c:v>2001</c:v>
                </c:pt>
                <c:pt idx="71">
                  <c:v>2001</c:v>
                </c:pt>
                <c:pt idx="72">
                  <c:v>2001</c:v>
                </c:pt>
                <c:pt idx="73">
                  <c:v>2001</c:v>
                </c:pt>
                <c:pt idx="74">
                  <c:v>2001</c:v>
                </c:pt>
                <c:pt idx="75">
                  <c:v>2012</c:v>
                </c:pt>
                <c:pt idx="76">
                  <c:v>2012</c:v>
                </c:pt>
                <c:pt idx="77">
                  <c:v>2012</c:v>
                </c:pt>
                <c:pt idx="78">
                  <c:v>2012</c:v>
                </c:pt>
                <c:pt idx="79">
                  <c:v>2012</c:v>
                </c:pt>
                <c:pt idx="80">
                  <c:v>2012</c:v>
                </c:pt>
                <c:pt idx="81">
                  <c:v>2012</c:v>
                </c:pt>
                <c:pt idx="82">
                  <c:v>2012</c:v>
                </c:pt>
                <c:pt idx="83">
                  <c:v>2012</c:v>
                </c:pt>
                <c:pt idx="84">
                  <c:v>2012</c:v>
                </c:pt>
                <c:pt idx="85">
                  <c:v>2012</c:v>
                </c:pt>
                <c:pt idx="86">
                  <c:v>2012</c:v>
                </c:pt>
                <c:pt idx="87">
                  <c:v>2012</c:v>
                </c:pt>
                <c:pt idx="88">
                  <c:v>2012</c:v>
                </c:pt>
                <c:pt idx="89">
                  <c:v>2012</c:v>
                </c:pt>
                <c:pt idx="90">
                  <c:v>2012</c:v>
                </c:pt>
                <c:pt idx="91">
                  <c:v>2012</c:v>
                </c:pt>
                <c:pt idx="92">
                  <c:v>2012</c:v>
                </c:pt>
                <c:pt idx="93">
                  <c:v>2012</c:v>
                </c:pt>
                <c:pt idx="94">
                  <c:v>2012</c:v>
                </c:pt>
                <c:pt idx="95">
                  <c:v>2012</c:v>
                </c:pt>
                <c:pt idx="96">
                  <c:v>2012</c:v>
                </c:pt>
                <c:pt idx="97">
                  <c:v>2012</c:v>
                </c:pt>
                <c:pt idx="98">
                  <c:v>2012</c:v>
                </c:pt>
                <c:pt idx="99">
                  <c:v>2012</c:v>
                </c:pt>
              </c:numCache>
            </c:numRef>
          </c:xVal>
          <c:yVal>
            <c:numRef>
              <c:f>sourcedata!$AH$2:$AH$77</c:f>
              <c:numCache>
                <c:formatCode>General</c:formatCode>
                <c:ptCount val="76"/>
                <c:pt idx="0">
                  <c:v>27677.929547088424</c:v>
                </c:pt>
                <c:pt idx="1">
                  <c:v>187419.12293314165</c:v>
                </c:pt>
                <c:pt idx="7">
                  <c:v>39539.899352983462</c:v>
                </c:pt>
                <c:pt idx="11">
                  <c:v>64252.336448598129</c:v>
                </c:pt>
                <c:pt idx="13">
                  <c:v>120000</c:v>
                </c:pt>
                <c:pt idx="22">
                  <c:v>79079.798705966925</c:v>
                </c:pt>
                <c:pt idx="31">
                  <c:v>395398.99352983467</c:v>
                </c:pt>
                <c:pt idx="37">
                  <c:v>654385.33429187629</c:v>
                </c:pt>
                <c:pt idx="51">
                  <c:v>593098.49029475194</c:v>
                </c:pt>
                <c:pt idx="55">
                  <c:v>1500000</c:v>
                </c:pt>
                <c:pt idx="56">
                  <c:v>1607955.9070213276</c:v>
                </c:pt>
                <c:pt idx="61">
                  <c:v>1200000</c:v>
                </c:pt>
                <c:pt idx="70">
                  <c:v>5308231.4881380303</c:v>
                </c:pt>
                <c:pt idx="75">
                  <c:v>3571190.9896956626</c:v>
                </c:pt>
              </c:numCache>
            </c:numRef>
          </c:yVal>
          <c:smooth val="0"/>
        </c:ser>
        <c:dLbls>
          <c:showLegendKey val="0"/>
          <c:showVal val="0"/>
          <c:showCatName val="0"/>
          <c:showSerName val="0"/>
          <c:showPercent val="0"/>
          <c:showBubbleSize val="0"/>
        </c:dLbls>
        <c:axId val="225357184"/>
        <c:axId val="225371648"/>
      </c:scatterChart>
      <c:valAx>
        <c:axId val="22535718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25371648"/>
        <c:crosses val="autoZero"/>
        <c:crossBetween val="midCat"/>
      </c:valAx>
      <c:valAx>
        <c:axId val="225371648"/>
        <c:scaling>
          <c:logBase val="10"/>
          <c:orientation val="minMax"/>
          <c:min val="10000"/>
        </c:scaling>
        <c:delete val="0"/>
        <c:axPos val="l"/>
        <c:majorGridlines/>
        <c:title>
          <c:tx>
            <c:rich>
              <a:bodyPr rot="-5400000" vert="horz"/>
              <a:lstStyle/>
              <a:p>
                <a:pPr>
                  <a:defRPr/>
                </a:pPr>
                <a:r>
                  <a:rPr lang="en-US"/>
                  <a:t>Table Speed/Accuracy </a:t>
                </a:r>
              </a:p>
              <a:p>
                <a:pPr>
                  <a:defRPr/>
                </a:pPr>
                <a:r>
                  <a:rPr lang="en-US"/>
                  <a:t>1/(min)</a:t>
                </a:r>
              </a:p>
            </c:rich>
          </c:tx>
          <c:overlay val="0"/>
        </c:title>
        <c:numFmt formatCode="General" sourceLinked="1"/>
        <c:majorTickMark val="out"/>
        <c:minorTickMark val="none"/>
        <c:tickLblPos val="nextTo"/>
        <c:crossAx val="225357184"/>
        <c:crosses val="autoZero"/>
        <c:crossBetween val="midCat"/>
      </c:valAx>
    </c:plotArea>
    <c:legend>
      <c:legendPos val="r"/>
      <c:legendEntry>
        <c:idx val="0"/>
        <c:delete val="1"/>
      </c:legendEntry>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3" Type="http://schemas.openxmlformats.org/officeDocument/2006/relationships/chart" Target="../charts/chart3.xml"/><Relationship Id="rId21" Type="http://schemas.openxmlformats.org/officeDocument/2006/relationships/chart" Target="../charts/chart21.xml"/><Relationship Id="rId34" Type="http://schemas.openxmlformats.org/officeDocument/2006/relationships/chart" Target="../charts/chart34.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xdr:from>
      <xdr:col>0</xdr:col>
      <xdr:colOff>520700</xdr:colOff>
      <xdr:row>102</xdr:row>
      <xdr:rowOff>44450</xdr:rowOff>
    </xdr:from>
    <xdr:to>
      <xdr:col>4</xdr:col>
      <xdr:colOff>4178300</xdr:colOff>
      <xdr:row>129</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3746500</xdr:colOff>
      <xdr:row>102</xdr:row>
      <xdr:rowOff>50800</xdr:rowOff>
    </xdr:from>
    <xdr:to>
      <xdr:col>4</xdr:col>
      <xdr:colOff>11950700</xdr:colOff>
      <xdr:row>129</xdr:row>
      <xdr:rowOff>6350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11430000</xdr:colOff>
      <xdr:row>103</xdr:row>
      <xdr:rowOff>50800</xdr:rowOff>
    </xdr:from>
    <xdr:to>
      <xdr:col>9</xdr:col>
      <xdr:colOff>0</xdr:colOff>
      <xdr:row>130</xdr:row>
      <xdr:rowOff>6350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104</xdr:row>
      <xdr:rowOff>0</xdr:rowOff>
    </xdr:from>
    <xdr:to>
      <xdr:col>20</xdr:col>
      <xdr:colOff>50800</xdr:colOff>
      <xdr:row>130</xdr:row>
      <xdr:rowOff>146050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660400</xdr:colOff>
      <xdr:row>131</xdr:row>
      <xdr:rowOff>76200</xdr:rowOff>
    </xdr:from>
    <xdr:to>
      <xdr:col>4</xdr:col>
      <xdr:colOff>4318000</xdr:colOff>
      <xdr:row>158</xdr:row>
      <xdr:rowOff>31750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4445000</xdr:colOff>
      <xdr:row>131</xdr:row>
      <xdr:rowOff>76200</xdr:rowOff>
    </xdr:from>
    <xdr:to>
      <xdr:col>4</xdr:col>
      <xdr:colOff>12649200</xdr:colOff>
      <xdr:row>158</xdr:row>
      <xdr:rowOff>31750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12750800</xdr:colOff>
      <xdr:row>132</xdr:row>
      <xdr:rowOff>0</xdr:rowOff>
    </xdr:from>
    <xdr:to>
      <xdr:col>10</xdr:col>
      <xdr:colOff>304800</xdr:colOff>
      <xdr:row>158</xdr:row>
      <xdr:rowOff>146050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168</xdr:row>
      <xdr:rowOff>0</xdr:rowOff>
    </xdr:from>
    <xdr:to>
      <xdr:col>4</xdr:col>
      <xdr:colOff>8204200</xdr:colOff>
      <xdr:row>194</xdr:row>
      <xdr:rowOff>146050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1244600</xdr:colOff>
      <xdr:row>133</xdr:row>
      <xdr:rowOff>25400</xdr:rowOff>
    </xdr:from>
    <xdr:to>
      <xdr:col>21</xdr:col>
      <xdr:colOff>660400</xdr:colOff>
      <xdr:row>159</xdr:row>
      <xdr:rowOff>171450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12814300</xdr:colOff>
      <xdr:row>164</xdr:row>
      <xdr:rowOff>0</xdr:rowOff>
    </xdr:from>
    <xdr:to>
      <xdr:col>10</xdr:col>
      <xdr:colOff>368300</xdr:colOff>
      <xdr:row>190</xdr:row>
      <xdr:rowOff>146050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1587500</xdr:colOff>
      <xdr:row>163</xdr:row>
      <xdr:rowOff>63500</xdr:rowOff>
    </xdr:from>
    <xdr:to>
      <xdr:col>22</xdr:col>
      <xdr:colOff>0</xdr:colOff>
      <xdr:row>190</xdr:row>
      <xdr:rowOff>19050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0</xdr:colOff>
      <xdr:row>194</xdr:row>
      <xdr:rowOff>0</xdr:rowOff>
    </xdr:from>
    <xdr:to>
      <xdr:col>22</xdr:col>
      <xdr:colOff>0</xdr:colOff>
      <xdr:row>220</xdr:row>
      <xdr:rowOff>146050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2552700</xdr:colOff>
      <xdr:row>6</xdr:row>
      <xdr:rowOff>63500</xdr:rowOff>
    </xdr:from>
    <xdr:to>
      <xdr:col>4</xdr:col>
      <xdr:colOff>10756900</xdr:colOff>
      <xdr:row>33</xdr:row>
      <xdr:rowOff>19050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42</xdr:col>
      <xdr:colOff>304800</xdr:colOff>
      <xdr:row>4</xdr:row>
      <xdr:rowOff>6350</xdr:rowOff>
    </xdr:from>
    <xdr:to>
      <xdr:col>50</xdr:col>
      <xdr:colOff>469900</xdr:colOff>
      <xdr:row>25</xdr:row>
      <xdr:rowOff>139700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32</xdr:col>
      <xdr:colOff>368300</xdr:colOff>
      <xdr:row>78</xdr:row>
      <xdr:rowOff>177800</xdr:rowOff>
    </xdr:from>
    <xdr:to>
      <xdr:col>40</xdr:col>
      <xdr:colOff>533400</xdr:colOff>
      <xdr:row>87</xdr:row>
      <xdr:rowOff>247650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32</xdr:col>
      <xdr:colOff>609600</xdr:colOff>
      <xdr:row>24</xdr:row>
      <xdr:rowOff>12700</xdr:rowOff>
    </xdr:from>
    <xdr:to>
      <xdr:col>40</xdr:col>
      <xdr:colOff>774700</xdr:colOff>
      <xdr:row>45</xdr:row>
      <xdr:rowOff>146050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33</xdr:col>
      <xdr:colOff>254000</xdr:colOff>
      <xdr:row>48</xdr:row>
      <xdr:rowOff>76200</xdr:rowOff>
    </xdr:from>
    <xdr:to>
      <xdr:col>41</xdr:col>
      <xdr:colOff>419100</xdr:colOff>
      <xdr:row>58</xdr:row>
      <xdr:rowOff>95250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32</xdr:col>
      <xdr:colOff>355600</xdr:colOff>
      <xdr:row>70</xdr:row>
      <xdr:rowOff>571500</xdr:rowOff>
    </xdr:from>
    <xdr:to>
      <xdr:col>40</xdr:col>
      <xdr:colOff>520700</xdr:colOff>
      <xdr:row>78</xdr:row>
      <xdr:rowOff>133350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32</xdr:col>
      <xdr:colOff>495300</xdr:colOff>
      <xdr:row>64</xdr:row>
      <xdr:rowOff>1422400</xdr:rowOff>
    </xdr:from>
    <xdr:to>
      <xdr:col>40</xdr:col>
      <xdr:colOff>660400</xdr:colOff>
      <xdr:row>71</xdr:row>
      <xdr:rowOff>31750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33</xdr:col>
      <xdr:colOff>444500</xdr:colOff>
      <xdr:row>57</xdr:row>
      <xdr:rowOff>584200</xdr:rowOff>
    </xdr:from>
    <xdr:to>
      <xdr:col>41</xdr:col>
      <xdr:colOff>609600</xdr:colOff>
      <xdr:row>62</xdr:row>
      <xdr:rowOff>184150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33</xdr:col>
      <xdr:colOff>495300</xdr:colOff>
      <xdr:row>62</xdr:row>
      <xdr:rowOff>88900</xdr:rowOff>
    </xdr:from>
    <xdr:to>
      <xdr:col>41</xdr:col>
      <xdr:colOff>660400</xdr:colOff>
      <xdr:row>64</xdr:row>
      <xdr:rowOff>1352550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60</xdr:col>
      <xdr:colOff>25400</xdr:colOff>
      <xdr:row>7</xdr:row>
      <xdr:rowOff>120650</xdr:rowOff>
    </xdr:from>
    <xdr:to>
      <xdr:col>65</xdr:col>
      <xdr:colOff>469900</xdr:colOff>
      <xdr:row>22</xdr:row>
      <xdr:rowOff>6350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42</xdr:col>
      <xdr:colOff>596900</xdr:colOff>
      <xdr:row>26</xdr:row>
      <xdr:rowOff>139700</xdr:rowOff>
    </xdr:from>
    <xdr:to>
      <xdr:col>50</xdr:col>
      <xdr:colOff>762000</xdr:colOff>
      <xdr:row>48</xdr:row>
      <xdr:rowOff>82550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43</xdr:col>
      <xdr:colOff>0</xdr:colOff>
      <xdr:row>50</xdr:row>
      <xdr:rowOff>0</xdr:rowOff>
    </xdr:from>
    <xdr:to>
      <xdr:col>51</xdr:col>
      <xdr:colOff>165100</xdr:colOff>
      <xdr:row>58</xdr:row>
      <xdr:rowOff>400050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43</xdr:col>
      <xdr:colOff>0</xdr:colOff>
      <xdr:row>58</xdr:row>
      <xdr:rowOff>0</xdr:rowOff>
    </xdr:from>
    <xdr:to>
      <xdr:col>51</xdr:col>
      <xdr:colOff>165100</xdr:colOff>
      <xdr:row>62</xdr:row>
      <xdr:rowOff>209550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43</xdr:col>
      <xdr:colOff>0</xdr:colOff>
      <xdr:row>62</xdr:row>
      <xdr:rowOff>0</xdr:rowOff>
    </xdr:from>
    <xdr:to>
      <xdr:col>51</xdr:col>
      <xdr:colOff>165100</xdr:colOff>
      <xdr:row>64</xdr:row>
      <xdr:rowOff>1263650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43</xdr:col>
      <xdr:colOff>152400</xdr:colOff>
      <xdr:row>64</xdr:row>
      <xdr:rowOff>787400</xdr:rowOff>
    </xdr:from>
    <xdr:to>
      <xdr:col>51</xdr:col>
      <xdr:colOff>317500</xdr:colOff>
      <xdr:row>70</xdr:row>
      <xdr:rowOff>158750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52</xdr:col>
      <xdr:colOff>0</xdr:colOff>
      <xdr:row>8</xdr:row>
      <xdr:rowOff>0</xdr:rowOff>
    </xdr:from>
    <xdr:to>
      <xdr:col>60</xdr:col>
      <xdr:colOff>165100</xdr:colOff>
      <xdr:row>29</xdr:row>
      <xdr:rowOff>133350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52</xdr:col>
      <xdr:colOff>76200</xdr:colOff>
      <xdr:row>32</xdr:row>
      <xdr:rowOff>165100</xdr:rowOff>
    </xdr:from>
    <xdr:to>
      <xdr:col>60</xdr:col>
      <xdr:colOff>254000</xdr:colOff>
      <xdr:row>54</xdr:row>
      <xdr:rowOff>95250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51</xdr:col>
      <xdr:colOff>787400</xdr:colOff>
      <xdr:row>55</xdr:row>
      <xdr:rowOff>0</xdr:rowOff>
    </xdr:from>
    <xdr:to>
      <xdr:col>60</xdr:col>
      <xdr:colOff>165100</xdr:colOff>
      <xdr:row>59</xdr:row>
      <xdr:rowOff>158750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52</xdr:col>
      <xdr:colOff>0</xdr:colOff>
      <xdr:row>60</xdr:row>
      <xdr:rowOff>0</xdr:rowOff>
    </xdr:from>
    <xdr:to>
      <xdr:col>60</xdr:col>
      <xdr:colOff>165100</xdr:colOff>
      <xdr:row>62</xdr:row>
      <xdr:rowOff>2571750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53</xdr:col>
      <xdr:colOff>0</xdr:colOff>
      <xdr:row>64</xdr:row>
      <xdr:rowOff>0</xdr:rowOff>
    </xdr:from>
    <xdr:to>
      <xdr:col>61</xdr:col>
      <xdr:colOff>165100</xdr:colOff>
      <xdr:row>68</xdr:row>
      <xdr:rowOff>590550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53</xdr:col>
      <xdr:colOff>0</xdr:colOff>
      <xdr:row>70</xdr:row>
      <xdr:rowOff>0</xdr:rowOff>
    </xdr:from>
    <xdr:to>
      <xdr:col>61</xdr:col>
      <xdr:colOff>165100</xdr:colOff>
      <xdr:row>76</xdr:row>
      <xdr:rowOff>984250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42</xdr:col>
      <xdr:colOff>25400</xdr:colOff>
      <xdr:row>74</xdr:row>
      <xdr:rowOff>469900</xdr:rowOff>
    </xdr:from>
    <xdr:to>
      <xdr:col>50</xdr:col>
      <xdr:colOff>190500</xdr:colOff>
      <xdr:row>82</xdr:row>
      <xdr:rowOff>374650</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34</xdr:col>
      <xdr:colOff>0</xdr:colOff>
      <xdr:row>2</xdr:row>
      <xdr:rowOff>0</xdr:rowOff>
    </xdr:from>
    <xdr:to>
      <xdr:col>42</xdr:col>
      <xdr:colOff>165100</xdr:colOff>
      <xdr:row>23</xdr:row>
      <xdr:rowOff>133350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53</xdr:col>
      <xdr:colOff>0</xdr:colOff>
      <xdr:row>78</xdr:row>
      <xdr:rowOff>0</xdr:rowOff>
    </xdr:from>
    <xdr:to>
      <xdr:col>61</xdr:col>
      <xdr:colOff>165100</xdr:colOff>
      <xdr:row>87</xdr:row>
      <xdr:rowOff>69850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72</xdr:col>
      <xdr:colOff>0</xdr:colOff>
      <xdr:row>8</xdr:row>
      <xdr:rowOff>0</xdr:rowOff>
    </xdr:from>
    <xdr:to>
      <xdr:col>80</xdr:col>
      <xdr:colOff>165100</xdr:colOff>
      <xdr:row>29</xdr:row>
      <xdr:rowOff>133350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72</xdr:col>
      <xdr:colOff>0</xdr:colOff>
      <xdr:row>33</xdr:row>
      <xdr:rowOff>0</xdr:rowOff>
    </xdr:from>
    <xdr:to>
      <xdr:col>80</xdr:col>
      <xdr:colOff>165100</xdr:colOff>
      <xdr:row>54</xdr:row>
      <xdr:rowOff>120650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72</xdr:col>
      <xdr:colOff>0</xdr:colOff>
      <xdr:row>55</xdr:row>
      <xdr:rowOff>0</xdr:rowOff>
    </xdr:from>
    <xdr:to>
      <xdr:col>80</xdr:col>
      <xdr:colOff>165100</xdr:colOff>
      <xdr:row>59</xdr:row>
      <xdr:rowOff>158750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ColWidth="11" defaultRowHeight="15.75" x14ac:dyDescent="0.25"/>
  <sheetData>
    <row r="1" spans="1:5" x14ac:dyDescent="0.25">
      <c r="B1" t="s">
        <v>293</v>
      </c>
      <c r="C1" t="s">
        <v>294</v>
      </c>
      <c r="D1" t="s">
        <v>295</v>
      </c>
      <c r="E1" t="s">
        <v>296</v>
      </c>
    </row>
    <row r="2" spans="1:5" x14ac:dyDescent="0.25">
      <c r="A2" t="s">
        <v>297</v>
      </c>
      <c r="B2" s="23">
        <f>PRMallall!G1</f>
        <v>3.5358609718150934E-2</v>
      </c>
      <c r="C2" s="23">
        <f>PRMallND!G1</f>
        <v>3.3763266169528371E-2</v>
      </c>
      <c r="D2" s="23">
        <f>PRM70all!G1</f>
        <v>4.3987121195880517E-2</v>
      </c>
      <c r="E2" s="23">
        <f>PRM70ND!G1</f>
        <v>3.9490853575089385E-2</v>
      </c>
    </row>
    <row r="3" spans="1:5" x14ac:dyDescent="0.25">
      <c r="A3" t="s">
        <v>292</v>
      </c>
      <c r="B3">
        <f>PRMallall!B15</f>
        <v>8</v>
      </c>
      <c r="C3">
        <f>PRMallND!B13</f>
        <v>6</v>
      </c>
      <c r="D3">
        <f>PRM70all!B11</f>
        <v>4</v>
      </c>
      <c r="E3">
        <f>PRM70ND!B10</f>
        <v>3</v>
      </c>
    </row>
    <row r="4" spans="1:5" x14ac:dyDescent="0.25">
      <c r="A4" t="s">
        <v>266</v>
      </c>
      <c r="B4" s="9">
        <f>PRMallall!H1</f>
        <v>0.79371394001344298</v>
      </c>
      <c r="C4" s="9">
        <f>PRMallND!H1</f>
        <v>0.96003529229981865</v>
      </c>
      <c r="D4" s="9">
        <f>PRM70all!H1</f>
        <v>0.87466181372597318</v>
      </c>
      <c r="E4" s="9">
        <f>PRM70ND!H1</f>
        <v>0.99902915518415014</v>
      </c>
    </row>
    <row r="5" spans="1:5" x14ac:dyDescent="0.25">
      <c r="A5" t="s">
        <v>298</v>
      </c>
      <c r="B5" s="23">
        <f>PRMallall!H16</f>
        <v>1.7877818976934204E-2</v>
      </c>
      <c r="C5" s="23">
        <f>PRMallND!H16</f>
        <v>9.5551486776654093E-3</v>
      </c>
      <c r="D5" s="23">
        <f>PRM70all!H16</f>
        <v>5.1047349359560942E-2</v>
      </c>
      <c r="E5" s="23">
        <f>PRM70ND!H16</f>
        <v>1.6531018458630413E-2</v>
      </c>
    </row>
    <row r="6" spans="1:5" x14ac:dyDescent="0.25">
      <c r="A6" t="s">
        <v>299</v>
      </c>
      <c r="B6" s="23">
        <f>PRMallall!H26</f>
        <v>7.7470899102875749E-3</v>
      </c>
      <c r="C6" s="23">
        <f>PRMallND!H26</f>
        <v>3.8017446921813098E-3</v>
      </c>
      <c r="D6" s="23">
        <f>PRM70all!H26</f>
        <v>1.4889064299317528E-2</v>
      </c>
      <c r="E6" s="23">
        <f>PRM70ND!H26</f>
        <v>2.1743943604378528E-3</v>
      </c>
    </row>
    <row r="7" spans="1:5" x14ac:dyDescent="0.25">
      <c r="A7" t="s">
        <v>300</v>
      </c>
      <c r="B7" s="23">
        <f>SUM(B5:B6)/3</f>
        <v>8.5416362957405918E-3</v>
      </c>
      <c r="C7" s="23">
        <f>SUM(C5:C6)/3</f>
        <v>4.4522977899489067E-3</v>
      </c>
      <c r="D7" s="23">
        <f>SUM(D5:D6)/3</f>
        <v>2.1978804552959488E-2</v>
      </c>
      <c r="E7" s="23">
        <f>SUM(E5:E6)/3</f>
        <v>6.2351376063560886E-3</v>
      </c>
    </row>
    <row r="8" spans="1:5" x14ac:dyDescent="0.25">
      <c r="A8" t="s">
        <v>301</v>
      </c>
      <c r="B8" s="24">
        <f>B7/B2</f>
        <v>0.24157161053071161</v>
      </c>
      <c r="C8" s="24">
        <f>C7/C2</f>
        <v>0.13186810089976256</v>
      </c>
      <c r="D8" s="24">
        <f>D7/D2</f>
        <v>0.49966453715133891</v>
      </c>
      <c r="E8" s="24">
        <f>E7/E2</f>
        <v>0.15788814477003807</v>
      </c>
    </row>
    <row r="9" spans="1:5" x14ac:dyDescent="0.25">
      <c r="A9" t="s">
        <v>302</v>
      </c>
      <c r="B9" s="23">
        <f>PRMallall!B10</f>
        <v>3.5230704163469184E-2</v>
      </c>
      <c r="C9" s="23">
        <f>PRMallND!B8</f>
        <v>3.357065727522366E-2</v>
      </c>
      <c r="D9" s="23">
        <f>PRM70all!B6</f>
        <v>4.5286697609456347E-2</v>
      </c>
      <c r="E9" s="23">
        <f>PRM70ND!B5</f>
        <v>3.9096813440491714E-2</v>
      </c>
    </row>
    <row r="10" spans="1:5" x14ac:dyDescent="0.25">
      <c r="A10" t="s">
        <v>303</v>
      </c>
      <c r="B10" s="23">
        <f>PRMallall!B11</f>
        <v>2.5408710843595581E-3</v>
      </c>
      <c r="C10" s="23">
        <f>PRMallND!B9</f>
        <v>1.9109857202333172E-3</v>
      </c>
      <c r="D10" s="23">
        <f>PRM70all!B7</f>
        <v>8.8148456600112661E-3</v>
      </c>
      <c r="E10" s="23">
        <f>PRM70ND!B6</f>
        <v>2.2388377633190226E-3</v>
      </c>
    </row>
    <row r="11" spans="1:5" x14ac:dyDescent="0.25">
      <c r="A11" t="s">
        <v>305</v>
      </c>
      <c r="B11" s="23">
        <f>PRMallall!B13</f>
        <v>3.9254185100862447E-2</v>
      </c>
      <c r="C11" s="23">
        <f>PRMallND!B11</f>
        <v>3.6398563822675326E-2</v>
      </c>
      <c r="D11" s="23">
        <f>PRM70all!B9</f>
        <v>5.8337424280773438E-2</v>
      </c>
      <c r="E11" s="23">
        <f>PRM70ND!B8</f>
        <v>4.1190492128008037E-2</v>
      </c>
    </row>
    <row r="12" spans="1:5" x14ac:dyDescent="0.25">
      <c r="A12" t="s">
        <v>304</v>
      </c>
      <c r="B12" s="23">
        <f>PRMallall!B12</f>
        <v>3.1823617925105664E-2</v>
      </c>
      <c r="C12" s="23">
        <f>PRMallND!B10</f>
        <v>3.0457134855378893E-2</v>
      </c>
      <c r="D12" s="23">
        <f>PRM70all!B8</f>
        <v>3.9490853575089385E-2</v>
      </c>
      <c r="E12" s="23">
        <f>PRM70ND!B7</f>
        <v>3.6736666556382372E-2</v>
      </c>
    </row>
    <row r="13" spans="1:5" x14ac:dyDescent="0.25">
      <c r="A13" t="s">
        <v>306</v>
      </c>
      <c r="B13">
        <f>PRMallall!E14</f>
        <v>73</v>
      </c>
      <c r="C13">
        <f>PRMallND!E12</f>
        <v>73</v>
      </c>
      <c r="D13">
        <f>PRM70all!E10</f>
        <v>39</v>
      </c>
      <c r="E13">
        <f>PRM70ND!E9</f>
        <v>39</v>
      </c>
    </row>
    <row r="14" spans="1:5" x14ac:dyDescent="0.25">
      <c r="A14" t="s">
        <v>307</v>
      </c>
    </row>
    <row r="15" spans="1:5" x14ac:dyDescent="0.25">
      <c r="A15" t="s">
        <v>308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F1" sqref="F1"/>
    </sheetView>
  </sheetViews>
  <sheetFormatPr defaultColWidth="11" defaultRowHeight="15.75" x14ac:dyDescent="0.25"/>
  <sheetData>
    <row r="1" spans="1:20" ht="17.25" thickTop="1" thickBot="1" x14ac:dyDescent="0.3">
      <c r="B1" s="2" t="s">
        <v>265</v>
      </c>
      <c r="C1" s="2" t="s">
        <v>266</v>
      </c>
      <c r="D1" s="2" t="s">
        <v>267</v>
      </c>
      <c r="E1" s="2" t="s">
        <v>0</v>
      </c>
      <c r="F1" s="2" t="s">
        <v>2</v>
      </c>
      <c r="G1" s="16">
        <f>LN(G2)</f>
        <v>3.9490853575089385E-2</v>
      </c>
      <c r="H1" s="17">
        <f>G4</f>
        <v>0.99902915518415014</v>
      </c>
      <c r="I1" t="s">
        <v>0</v>
      </c>
      <c r="J1" t="s">
        <v>2</v>
      </c>
      <c r="K1" s="18">
        <f>LN(K2)</f>
        <v>3.6736666556382372E-2</v>
      </c>
      <c r="L1" s="19">
        <f>K4</f>
        <v>1</v>
      </c>
      <c r="M1" t="s">
        <v>0</v>
      </c>
      <c r="N1" t="s">
        <v>2</v>
      </c>
      <c r="O1" s="18">
        <f>LN(O2)</f>
        <v>3.9363281637084739E-2</v>
      </c>
      <c r="P1" s="19">
        <f>O4</f>
        <v>1</v>
      </c>
      <c r="Q1" t="s">
        <v>0</v>
      </c>
      <c r="R1" t="s">
        <v>2</v>
      </c>
      <c r="S1" s="18">
        <f>LN(S2)</f>
        <v>4.1190492128008037E-2</v>
      </c>
      <c r="T1" s="19">
        <f>S4</f>
        <v>1</v>
      </c>
    </row>
    <row r="2" spans="1:20" ht="16.5" thickTop="1" x14ac:dyDescent="0.25">
      <c r="B2">
        <v>3.6736666556382372E-2</v>
      </c>
      <c r="C2" s="20">
        <v>1</v>
      </c>
      <c r="D2" t="e">
        <v>#NUM!</v>
      </c>
      <c r="E2">
        <v>1973</v>
      </c>
      <c r="F2">
        <v>18781.452192667144</v>
      </c>
      <c r="G2">
        <f t="array" ref="G2:H6">LOGEST(F2:F4,E2:E4,TRUE, TRUE)</f>
        <v>1.0402809839895384</v>
      </c>
      <c r="H2">
        <v>2.7568697555017704E-30</v>
      </c>
      <c r="I2">
        <v>1996</v>
      </c>
      <c r="J2">
        <v>48436.376707404743</v>
      </c>
      <c r="K2">
        <f t="array" ref="K2:L6">LOGEST(J2:J3,I2:I3,TRUE, TRUE)</f>
        <v>1.037419797537557</v>
      </c>
      <c r="L2">
        <v>6.9171411286137598E-28</v>
      </c>
      <c r="M2">
        <v>1973</v>
      </c>
      <c r="N2">
        <v>18781.452192667144</v>
      </c>
      <c r="O2">
        <f t="array" ref="O2:P6">LOGEST(N2:N3,M2:M3,TRUE, TRUE)</f>
        <v>1.0401482817930596</v>
      </c>
      <c r="P2">
        <v>3.5058156231860656E-30</v>
      </c>
      <c r="Q2">
        <v>1973</v>
      </c>
      <c r="R2">
        <v>18781.452192667144</v>
      </c>
      <c r="S2">
        <f t="array" ref="S2:T6">LOGEST(R2:R3,Q2:Q3,TRUE, TRUE)</f>
        <v>1.0420505890743093</v>
      </c>
      <c r="T2">
        <v>9.5305943656481699E-32</v>
      </c>
    </row>
    <row r="3" spans="1:20" x14ac:dyDescent="0.25">
      <c r="B3">
        <v>3.9363281637084739E-2</v>
      </c>
      <c r="C3" s="20">
        <v>1</v>
      </c>
      <c r="D3" t="e">
        <v>#NUM!</v>
      </c>
      <c r="E3">
        <v>1996</v>
      </c>
      <c r="F3">
        <v>48436.376707404743</v>
      </c>
      <c r="G3">
        <v>1.2310688645024847E-3</v>
      </c>
      <c r="H3">
        <v>2.4544200655614645</v>
      </c>
      <c r="I3">
        <v>2012</v>
      </c>
      <c r="J3">
        <v>87185.478073328544</v>
      </c>
      <c r="K3">
        <v>0</v>
      </c>
      <c r="L3">
        <v>0</v>
      </c>
      <c r="M3">
        <v>2012</v>
      </c>
      <c r="N3">
        <v>87185.478073328544</v>
      </c>
      <c r="O3">
        <v>0</v>
      </c>
      <c r="P3">
        <v>0</v>
      </c>
      <c r="Q3">
        <v>1996</v>
      </c>
      <c r="R3">
        <v>48436.376707404743</v>
      </c>
      <c r="S3">
        <v>0</v>
      </c>
      <c r="T3">
        <v>0</v>
      </c>
    </row>
    <row r="4" spans="1:20" ht="16.5" thickBot="1" x14ac:dyDescent="0.3">
      <c r="B4">
        <v>4.1190492128008037E-2</v>
      </c>
      <c r="C4" s="20">
        <v>1</v>
      </c>
      <c r="D4" t="e">
        <v>#NUM!</v>
      </c>
      <c r="E4">
        <v>2012</v>
      </c>
      <c r="F4">
        <v>87185.478073328544</v>
      </c>
      <c r="G4">
        <v>0.99902915518415014</v>
      </c>
      <c r="H4">
        <v>3.4131185380010809E-2</v>
      </c>
      <c r="K4">
        <v>1</v>
      </c>
      <c r="L4">
        <v>0</v>
      </c>
      <c r="O4">
        <v>1</v>
      </c>
      <c r="P4">
        <v>0</v>
      </c>
      <c r="S4">
        <v>1</v>
      </c>
      <c r="T4">
        <v>0</v>
      </c>
    </row>
    <row r="5" spans="1:20" ht="17.25" thickTop="1" thickBot="1" x14ac:dyDescent="0.3">
      <c r="A5" t="s">
        <v>287</v>
      </c>
      <c r="B5" s="2">
        <f>AVERAGE(B2:B4)</f>
        <v>3.9096813440491714E-2</v>
      </c>
      <c r="C5" s="2">
        <f>AVERAGE(C2:C4)</f>
        <v>1</v>
      </c>
      <c r="D5" s="2" t="e">
        <f>AVERAGE(D2:D4)</f>
        <v>#NUM!</v>
      </c>
      <c r="E5" s="2">
        <f>AVERAGE(E2:E4)</f>
        <v>1993.6666666666667</v>
      </c>
      <c r="F5" s="2">
        <f>AVERAGE(F2:F4)</f>
        <v>51467.768991133467</v>
      </c>
      <c r="G5">
        <v>1029.0307357819097</v>
      </c>
      <c r="H5">
        <v>1</v>
      </c>
      <c r="K5" s="17" t="e">
        <v>#NUM!</v>
      </c>
      <c r="L5">
        <v>0</v>
      </c>
      <c r="O5" s="17" t="e">
        <v>#NUM!</v>
      </c>
      <c r="P5">
        <v>0</v>
      </c>
      <c r="S5" s="17" t="e">
        <v>#NUM!</v>
      </c>
      <c r="T5">
        <v>0</v>
      </c>
    </row>
    <row r="6" spans="1:20" ht="16.5" thickTop="1" x14ac:dyDescent="0.25">
      <c r="A6" t="s">
        <v>288</v>
      </c>
      <c r="B6" s="2">
        <f>STDEV(B2:B4)</f>
        <v>2.2388377633190226E-3</v>
      </c>
      <c r="C6" s="2">
        <f>STDEV(C2:C4)</f>
        <v>0</v>
      </c>
      <c r="D6" s="2" t="e">
        <f>STDEV(D2:D4)</f>
        <v>#NUM!</v>
      </c>
      <c r="E6" s="2">
        <f>STDEV(E2:E4)</f>
        <v>19.604421270043485</v>
      </c>
      <c r="F6" s="2">
        <f>STDEV(F2:F4)</f>
        <v>34302.619339548066</v>
      </c>
      <c r="G6">
        <v>1.1987568173671928</v>
      </c>
      <c r="H6">
        <v>1.1649378154446636E-3</v>
      </c>
      <c r="K6">
        <v>0.17274658171837773</v>
      </c>
      <c r="L6">
        <v>0</v>
      </c>
      <c r="O6">
        <v>1.1783703693133649</v>
      </c>
      <c r="P6">
        <v>0</v>
      </c>
      <c r="S6">
        <v>0.44876568174221332</v>
      </c>
      <c r="T6">
        <v>0</v>
      </c>
    </row>
    <row r="7" spans="1:20" x14ac:dyDescent="0.25">
      <c r="A7" t="s">
        <v>289</v>
      </c>
      <c r="B7" s="2">
        <f>MIN(B2:B4)</f>
        <v>3.6736666556382372E-2</v>
      </c>
      <c r="C7" s="2">
        <f>MIN(C2:C4)</f>
        <v>1</v>
      </c>
      <c r="D7" s="2" t="e">
        <f>MIN(D2:D4)</f>
        <v>#NUM!</v>
      </c>
      <c r="E7" s="2">
        <f>MIN(E2:E4)</f>
        <v>1973</v>
      </c>
      <c r="F7" s="2">
        <f>MIN(F2:F4)</f>
        <v>18781.452192667144</v>
      </c>
      <c r="G7" t="s">
        <v>268</v>
      </c>
      <c r="H7">
        <f>TINV(0.0455,H5)</f>
        <v>13.96781148750258</v>
      </c>
      <c r="K7" t="s">
        <v>268</v>
      </c>
      <c r="L7" t="e">
        <f>TINV(0.0455,L5)</f>
        <v>#NUM!</v>
      </c>
      <c r="O7" t="s">
        <v>268</v>
      </c>
      <c r="P7" t="e">
        <f>TINV(0.0455,P5)</f>
        <v>#NUM!</v>
      </c>
    </row>
    <row r="8" spans="1:20" x14ac:dyDescent="0.25">
      <c r="A8" t="s">
        <v>290</v>
      </c>
      <c r="B8" s="2">
        <f>MAX(B2:B4)</f>
        <v>4.1190492128008037E-2</v>
      </c>
      <c r="C8" s="2">
        <f>MAX(C2:C4)</f>
        <v>1</v>
      </c>
      <c r="D8" s="2" t="e">
        <f>MAX(D2:D4)</f>
        <v>#NUM!</v>
      </c>
      <c r="E8" s="2">
        <f>MAX(E2:E4)</f>
        <v>2012</v>
      </c>
      <c r="F8" s="2">
        <f>MAX(F2:F4)</f>
        <v>87185.478073328544</v>
      </c>
      <c r="G8" t="s">
        <v>269</v>
      </c>
      <c r="H8">
        <f>H7*G3</f>
        <v>1.7195337827504563E-2</v>
      </c>
      <c r="K8" t="s">
        <v>269</v>
      </c>
      <c r="L8" t="e">
        <f>L7*K3</f>
        <v>#NUM!</v>
      </c>
      <c r="O8" t="s">
        <v>269</v>
      </c>
      <c r="P8" t="e">
        <f>P7*O3</f>
        <v>#NUM!</v>
      </c>
    </row>
    <row r="9" spans="1:20" x14ac:dyDescent="0.25">
      <c r="A9" t="s">
        <v>291</v>
      </c>
      <c r="B9" s="2">
        <f>ABS(B8-B7)</f>
        <v>4.453825571625665E-3</v>
      </c>
      <c r="C9" s="2">
        <f>ABS(C8-C7)</f>
        <v>0</v>
      </c>
      <c r="D9" s="2" t="e">
        <f>ABS(D8-D7)</f>
        <v>#NUM!</v>
      </c>
      <c r="E9" s="2">
        <f>ABS(E8-E7)</f>
        <v>39</v>
      </c>
      <c r="F9" s="2">
        <f>ABS(F8-F7)</f>
        <v>68404.0258806614</v>
      </c>
      <c r="G9" t="s">
        <v>270</v>
      </c>
      <c r="H9">
        <f>G2+H8</f>
        <v>1.0574763218170429</v>
      </c>
      <c r="K9" t="s">
        <v>270</v>
      </c>
      <c r="L9" t="e">
        <f>K2+L8</f>
        <v>#NUM!</v>
      </c>
      <c r="O9" t="s">
        <v>270</v>
      </c>
      <c r="P9" t="e">
        <f>O2+P8</f>
        <v>#NUM!</v>
      </c>
    </row>
    <row r="10" spans="1:20" x14ac:dyDescent="0.25">
      <c r="A10" t="s">
        <v>292</v>
      </c>
      <c r="B10" s="2">
        <f>COUNT(B2:B4)</f>
        <v>3</v>
      </c>
      <c r="G10" t="s">
        <v>271</v>
      </c>
      <c r="H10">
        <f>G2-H8</f>
        <v>1.0230856461620339</v>
      </c>
      <c r="K10" t="s">
        <v>271</v>
      </c>
      <c r="L10" t="e">
        <f>K2-L8</f>
        <v>#NUM!</v>
      </c>
      <c r="O10" t="s">
        <v>271</v>
      </c>
      <c r="P10" t="e">
        <f>O2-P8</f>
        <v>#NUM!</v>
      </c>
    </row>
    <row r="11" spans="1:20" x14ac:dyDescent="0.25">
      <c r="G11" t="s">
        <v>272</v>
      </c>
      <c r="H11" s="21">
        <f>LN(G2)</f>
        <v>3.9490853575089385E-2</v>
      </c>
      <c r="K11" t="s">
        <v>272</v>
      </c>
      <c r="L11" s="21">
        <f>LN(K2)</f>
        <v>3.6736666556382372E-2</v>
      </c>
      <c r="O11" t="s">
        <v>272</v>
      </c>
      <c r="P11" s="21">
        <f>LN(O2)</f>
        <v>3.9363281637084739E-2</v>
      </c>
    </row>
    <row r="12" spans="1:20" x14ac:dyDescent="0.25">
      <c r="G12" t="s">
        <v>273</v>
      </c>
      <c r="H12" s="21">
        <f>LN(H9)</f>
        <v>5.5885240970875813E-2</v>
      </c>
      <c r="K12" t="s">
        <v>273</v>
      </c>
      <c r="L12" s="21" t="e">
        <f>LN(L9)</f>
        <v>#NUM!</v>
      </c>
      <c r="O12" t="s">
        <v>273</v>
      </c>
      <c r="P12" s="21" t="e">
        <f>LN(P9)</f>
        <v>#NUM!</v>
      </c>
    </row>
    <row r="13" spans="1:20" x14ac:dyDescent="0.25">
      <c r="G13" t="s">
        <v>274</v>
      </c>
      <c r="H13" s="21">
        <f>LN(H10)</f>
        <v>2.2823204053614987E-2</v>
      </c>
      <c r="K13" t="s">
        <v>274</v>
      </c>
      <c r="L13" s="21" t="e">
        <f>LN(L10)</f>
        <v>#NUM!</v>
      </c>
      <c r="O13" t="s">
        <v>274</v>
      </c>
      <c r="P13" s="21" t="e">
        <f>LN(P10)</f>
        <v>#NUM!</v>
      </c>
    </row>
    <row r="14" spans="1:20" x14ac:dyDescent="0.25">
      <c r="G14" t="s">
        <v>275</v>
      </c>
      <c r="H14" s="21">
        <f>H12-H11</f>
        <v>1.6394387395786428E-2</v>
      </c>
      <c r="K14" t="s">
        <v>275</v>
      </c>
      <c r="L14" s="21" t="e">
        <f>L12-L11</f>
        <v>#NUM!</v>
      </c>
      <c r="O14" t="s">
        <v>275</v>
      </c>
      <c r="P14" s="21" t="e">
        <f>P12-P11</f>
        <v>#NUM!</v>
      </c>
    </row>
    <row r="15" spans="1:20" x14ac:dyDescent="0.25">
      <c r="G15" t="s">
        <v>276</v>
      </c>
      <c r="H15" s="21">
        <f>H11-H13</f>
        <v>1.6667649521474398E-2</v>
      </c>
      <c r="K15" t="s">
        <v>276</v>
      </c>
      <c r="L15" s="21" t="e">
        <f>L11-L13</f>
        <v>#NUM!</v>
      </c>
      <c r="O15" t="s">
        <v>276</v>
      </c>
      <c r="P15" s="21" t="e">
        <f>P11-P13</f>
        <v>#NUM!</v>
      </c>
    </row>
    <row r="16" spans="1:20" x14ac:dyDescent="0.25">
      <c r="G16" t="s">
        <v>277</v>
      </c>
      <c r="H16" s="22">
        <f>AVERAGE(H14:H15)</f>
        <v>1.6531018458630413E-2</v>
      </c>
      <c r="K16" t="s">
        <v>277</v>
      </c>
      <c r="L16" s="22" t="e">
        <f>AVERAGE(L14:L15)</f>
        <v>#NUM!</v>
      </c>
      <c r="O16" t="s">
        <v>277</v>
      </c>
      <c r="P16" s="22" t="e">
        <f>AVERAGE(P14:P15)</f>
        <v>#NUM!</v>
      </c>
    </row>
    <row r="17" spans="7:16" x14ac:dyDescent="0.25">
      <c r="G17" t="s">
        <v>278</v>
      </c>
      <c r="H17">
        <f>TINV(0.3173,H5)</f>
        <v>1.8374094294905463</v>
      </c>
      <c r="K17" t="s">
        <v>278</v>
      </c>
      <c r="L17" t="e">
        <f>TINV(0.3173,L5)</f>
        <v>#NUM!</v>
      </c>
      <c r="O17" t="s">
        <v>278</v>
      </c>
      <c r="P17" t="e">
        <f>TINV(0.3173,P5)</f>
        <v>#NUM!</v>
      </c>
    </row>
    <row r="18" spans="7:16" x14ac:dyDescent="0.25">
      <c r="G18" t="s">
        <v>279</v>
      </c>
      <c r="H18">
        <f>H17*G3</f>
        <v>2.2619775399890852E-3</v>
      </c>
      <c r="K18" t="s">
        <v>279</v>
      </c>
      <c r="L18" t="e">
        <f>L17*K3</f>
        <v>#NUM!</v>
      </c>
      <c r="O18" t="s">
        <v>279</v>
      </c>
      <c r="P18" t="e">
        <f>P17*O3</f>
        <v>#NUM!</v>
      </c>
    </row>
    <row r="19" spans="7:16" x14ac:dyDescent="0.25">
      <c r="G19" t="s">
        <v>280</v>
      </c>
      <c r="H19">
        <f>G2+H18</f>
        <v>1.0425429615295274</v>
      </c>
      <c r="K19" t="s">
        <v>280</v>
      </c>
      <c r="L19" t="e">
        <f>K2+L18</f>
        <v>#NUM!</v>
      </c>
      <c r="O19" t="s">
        <v>280</v>
      </c>
      <c r="P19" t="e">
        <f>O2+P18</f>
        <v>#NUM!</v>
      </c>
    </row>
    <row r="20" spans="7:16" x14ac:dyDescent="0.25">
      <c r="G20" t="s">
        <v>281</v>
      </c>
      <c r="H20">
        <f>G2-H18</f>
        <v>1.0380190064495494</v>
      </c>
      <c r="K20" t="s">
        <v>281</v>
      </c>
      <c r="L20" t="e">
        <f>K2-L18</f>
        <v>#NUM!</v>
      </c>
      <c r="O20" t="s">
        <v>281</v>
      </c>
      <c r="P20" t="e">
        <f>O2-P18</f>
        <v>#NUM!</v>
      </c>
    </row>
    <row r="21" spans="7:16" x14ac:dyDescent="0.25">
      <c r="G21" t="s">
        <v>272</v>
      </c>
      <c r="H21" s="21">
        <f>LN(G2)</f>
        <v>3.9490853575089385E-2</v>
      </c>
      <c r="K21" t="s">
        <v>272</v>
      </c>
      <c r="L21" s="21">
        <f>LN(K2)</f>
        <v>3.6736666556382372E-2</v>
      </c>
      <c r="O21" t="s">
        <v>272</v>
      </c>
      <c r="P21" s="21">
        <f>LN(O2)</f>
        <v>3.9363281637084739E-2</v>
      </c>
    </row>
    <row r="22" spans="7:16" x14ac:dyDescent="0.25">
      <c r="G22" t="s">
        <v>282</v>
      </c>
      <c r="H22" s="21">
        <f>LN(H19)</f>
        <v>4.1662883941972713E-2</v>
      </c>
      <c r="K22" t="s">
        <v>282</v>
      </c>
      <c r="L22" s="21" t="e">
        <f>LN(L19)</f>
        <v>#NUM!</v>
      </c>
      <c r="O22" t="s">
        <v>282</v>
      </c>
      <c r="P22" s="21" t="e">
        <f>LN(P19)</f>
        <v>#NUM!</v>
      </c>
    </row>
    <row r="23" spans="7:16" x14ac:dyDescent="0.25">
      <c r="G23" t="s">
        <v>283</v>
      </c>
      <c r="H23" s="21">
        <f>LN(H20)</f>
        <v>3.7314095221097007E-2</v>
      </c>
      <c r="K23" t="s">
        <v>283</v>
      </c>
      <c r="L23" s="21" t="e">
        <f>LN(L20)</f>
        <v>#NUM!</v>
      </c>
      <c r="O23" t="s">
        <v>283</v>
      </c>
      <c r="P23" s="21" t="e">
        <f>LN(P20)</f>
        <v>#NUM!</v>
      </c>
    </row>
    <row r="24" spans="7:16" x14ac:dyDescent="0.25">
      <c r="G24" t="s">
        <v>284</v>
      </c>
      <c r="H24" s="21">
        <f>H22-H21</f>
        <v>2.1720303668833277E-3</v>
      </c>
      <c r="K24" t="s">
        <v>284</v>
      </c>
      <c r="L24" s="21" t="e">
        <f>L22-L21</f>
        <v>#NUM!</v>
      </c>
      <c r="O24" t="s">
        <v>284</v>
      </c>
      <c r="P24" s="21" t="e">
        <f>P22-P21</f>
        <v>#NUM!</v>
      </c>
    </row>
    <row r="25" spans="7:16" x14ac:dyDescent="0.25">
      <c r="G25" t="s">
        <v>285</v>
      </c>
      <c r="H25" s="21">
        <f>H21-H23</f>
        <v>2.1767583539923779E-3</v>
      </c>
      <c r="K25" t="s">
        <v>285</v>
      </c>
      <c r="L25" s="21" t="e">
        <f>L21-L23</f>
        <v>#NUM!</v>
      </c>
      <c r="O25" t="s">
        <v>285</v>
      </c>
      <c r="P25" s="21" t="e">
        <f>P21-P23</f>
        <v>#NUM!</v>
      </c>
    </row>
    <row r="26" spans="7:16" x14ac:dyDescent="0.25">
      <c r="G26" t="s">
        <v>286</v>
      </c>
      <c r="H26" s="22">
        <f>AVERAGE(H24:H25)</f>
        <v>2.1743943604378528E-3</v>
      </c>
      <c r="K26" t="s">
        <v>286</v>
      </c>
      <c r="L26" s="22" t="e">
        <f>AVERAGE(L24:L25)</f>
        <v>#NUM!</v>
      </c>
      <c r="O26" t="s">
        <v>286</v>
      </c>
      <c r="P26" s="22" t="e">
        <f>AVERAGE(P24:P25)</f>
        <v>#NUM!</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selection activeCell="F1" sqref="F1"/>
    </sheetView>
  </sheetViews>
  <sheetFormatPr defaultColWidth="11" defaultRowHeight="15.75" x14ac:dyDescent="0.25"/>
  <sheetData>
    <row r="1" spans="1:32" ht="17.25" thickTop="1" thickBot="1" x14ac:dyDescent="0.3">
      <c r="B1" s="2" t="s">
        <v>265</v>
      </c>
      <c r="C1" s="2" t="s">
        <v>266</v>
      </c>
      <c r="D1" s="2" t="s">
        <v>267</v>
      </c>
      <c r="E1" s="2" t="s">
        <v>0</v>
      </c>
      <c r="F1" s="2" t="s">
        <v>2</v>
      </c>
      <c r="G1" s="16">
        <f>LN(G2)</f>
        <v>3.3763266169528371E-2</v>
      </c>
      <c r="H1" s="17">
        <f>G4</f>
        <v>0.96003529229981865</v>
      </c>
      <c r="I1" t="s">
        <v>0</v>
      </c>
      <c r="J1" t="s">
        <v>2</v>
      </c>
      <c r="K1" s="18">
        <f>LN(K2)</f>
        <v>3.0457134855378893E-2</v>
      </c>
      <c r="L1" s="19">
        <f>K4</f>
        <v>0.9534757501246538</v>
      </c>
      <c r="M1" t="s">
        <v>0</v>
      </c>
      <c r="N1" t="s">
        <v>2</v>
      </c>
      <c r="O1" s="18">
        <f>LN(O2)</f>
        <v>3.6398563822675326E-2</v>
      </c>
      <c r="P1" s="19">
        <f>O4</f>
        <v>0.99203657015841329</v>
      </c>
      <c r="Q1" t="s">
        <v>0</v>
      </c>
      <c r="R1" t="s">
        <v>2</v>
      </c>
      <c r="S1" s="18">
        <f>LN(S2)</f>
        <v>3.3871185224094415E-2</v>
      </c>
      <c r="T1" s="19">
        <f>S4</f>
        <v>0.96032374548701871</v>
      </c>
      <c r="U1" t="s">
        <v>0</v>
      </c>
      <c r="V1" t="s">
        <v>2</v>
      </c>
      <c r="W1" s="18">
        <f>LN(W2)</f>
        <v>3.3773316134587991E-2</v>
      </c>
      <c r="X1" s="19">
        <f>W4</f>
        <v>0.96930039571087379</v>
      </c>
      <c r="Y1" t="s">
        <v>0</v>
      </c>
      <c r="Z1" t="s">
        <v>2</v>
      </c>
      <c r="AA1" s="18">
        <f>LN(AA2)</f>
        <v>3.3916403762884101E-2</v>
      </c>
      <c r="AB1" s="19">
        <f>AA4</f>
        <v>0.95263513340292871</v>
      </c>
      <c r="AC1" t="s">
        <v>0</v>
      </c>
      <c r="AD1" t="s">
        <v>2</v>
      </c>
      <c r="AE1" s="18">
        <f>LN(AE2)</f>
        <v>3.3007339851721246E-2</v>
      </c>
      <c r="AF1" s="19">
        <f>AE4</f>
        <v>0.92188271237872199</v>
      </c>
    </row>
    <row r="2" spans="1:32" ht="16.5" thickTop="1" x14ac:dyDescent="0.25">
      <c r="B2">
        <v>3.0457134855378893E-2</v>
      </c>
      <c r="C2" s="20">
        <v>0.9534757501246538</v>
      </c>
      <c r="D2">
        <v>61.482501234044285</v>
      </c>
      <c r="E2">
        <v>1939</v>
      </c>
      <c r="F2">
        <v>5930.9849029475199</v>
      </c>
      <c r="G2">
        <f t="array" ref="G2:H6">LOGEST(F2:F7,E2:E7,TRUE, TRUE)</f>
        <v>1.0343397145394968</v>
      </c>
      <c r="H2">
        <v>2.6596706398543644E-25</v>
      </c>
      <c r="I2">
        <v>1951</v>
      </c>
      <c r="J2">
        <v>14827.462257368799</v>
      </c>
      <c r="K2">
        <f t="array" ref="K2:L6">LOGEST(J2:J6,I2:I6,TRUE, TRUE)</f>
        <v>1.030925698322493</v>
      </c>
      <c r="L2">
        <v>1.922805019273156E-22</v>
      </c>
      <c r="M2">
        <v>1939</v>
      </c>
      <c r="N2">
        <v>5930.9849029475199</v>
      </c>
      <c r="O2">
        <f t="array" ref="O2:P6">LOGEST(N2:N6,M2:M6,TRUE, TRUE)</f>
        <v>1.0370691023568481</v>
      </c>
      <c r="P2">
        <v>1.3622750806982161E-27</v>
      </c>
      <c r="Q2">
        <v>1939</v>
      </c>
      <c r="R2">
        <v>5930.9849029475199</v>
      </c>
      <c r="S2">
        <f t="array" ref="S2:T6">LOGEST(R2:R6,Q2:Q6,TRUE, TRUE)</f>
        <v>1.034451345527037</v>
      </c>
      <c r="T2">
        <v>2.1285792422122841E-25</v>
      </c>
      <c r="U2">
        <v>1939</v>
      </c>
      <c r="V2">
        <v>5930.9849029475199</v>
      </c>
      <c r="W2">
        <f t="array" ref="W2:X6">LOGEST(V2:V6,U2:U6,TRUE, TRUE)</f>
        <v>1.034350109669723</v>
      </c>
      <c r="X2">
        <v>2.7072964955034463E-25</v>
      </c>
      <c r="Y2">
        <v>1939</v>
      </c>
      <c r="Z2">
        <v>5930.9849029475199</v>
      </c>
      <c r="AA2">
        <f t="array" ref="AA2:AB6">LOGEST(Z2:Z6,Y2:Y6,TRUE, TRUE)</f>
        <v>1.0344981229629264</v>
      </c>
      <c r="AB2">
        <v>1.9742852897215013E-25</v>
      </c>
      <c r="AC2">
        <v>1939</v>
      </c>
      <c r="AD2">
        <v>5930.9849029475199</v>
      </c>
      <c r="AE2">
        <f t="array" ref="AE2:AF6">LOGEST(AD2:AD6,AC2:AC6,TRUE, TRUE)</f>
        <v>1.0335581253768504</v>
      </c>
      <c r="AF2">
        <v>1.1675494974195179E-24</v>
      </c>
    </row>
    <row r="3" spans="1:32" x14ac:dyDescent="0.25">
      <c r="B3">
        <v>3.6398563822675326E-2</v>
      </c>
      <c r="C3" s="20">
        <v>0.99203657015841329</v>
      </c>
      <c r="D3">
        <v>373.72209835181695</v>
      </c>
      <c r="E3">
        <v>1951</v>
      </c>
      <c r="F3">
        <v>14827.462257368799</v>
      </c>
      <c r="G3">
        <v>3.4443650831053056E-3</v>
      </c>
      <c r="H3">
        <v>6.7957021947096319</v>
      </c>
      <c r="I3">
        <v>1966</v>
      </c>
      <c r="J3">
        <v>18781.452192667144</v>
      </c>
      <c r="K3">
        <v>3.8843046313951899E-3</v>
      </c>
      <c r="L3">
        <v>7.6898335259056774</v>
      </c>
      <c r="M3">
        <v>1966</v>
      </c>
      <c r="N3">
        <v>18781.452192667144</v>
      </c>
      <c r="O3">
        <v>1.8828245774012849E-3</v>
      </c>
      <c r="P3">
        <v>3.723022306500825</v>
      </c>
      <c r="Q3">
        <v>1951</v>
      </c>
      <c r="R3">
        <v>14827.462257368799</v>
      </c>
      <c r="S3">
        <v>3.9749005415146907E-3</v>
      </c>
      <c r="T3">
        <v>7.8479901176103919</v>
      </c>
      <c r="U3">
        <v>1951</v>
      </c>
      <c r="V3">
        <v>14827.462257368799</v>
      </c>
      <c r="W3">
        <v>3.4701661701799151E-3</v>
      </c>
      <c r="X3">
        <v>6.8466014459440343</v>
      </c>
      <c r="Y3">
        <v>1951</v>
      </c>
      <c r="Z3">
        <v>14827.462257368799</v>
      </c>
      <c r="AA3">
        <v>4.3663046198074602E-3</v>
      </c>
      <c r="AB3">
        <v>8.5944472835356489</v>
      </c>
      <c r="AC3">
        <v>1951</v>
      </c>
      <c r="AD3">
        <v>14827.462257368799</v>
      </c>
      <c r="AE3">
        <v>5.54735091827543E-3</v>
      </c>
      <c r="AF3">
        <v>10.901080361702835</v>
      </c>
    </row>
    <row r="4" spans="1:32" ht="16.5" thickBot="1" x14ac:dyDescent="0.3">
      <c r="B4">
        <v>3.3871185224094415E-2</v>
      </c>
      <c r="C4" s="20">
        <v>0.96032374548701871</v>
      </c>
      <c r="D4">
        <v>72.611975899047209</v>
      </c>
      <c r="E4">
        <v>1966</v>
      </c>
      <c r="F4">
        <v>18781.452192667144</v>
      </c>
      <c r="G4">
        <v>0.96003529229981865</v>
      </c>
      <c r="H4">
        <v>0.21060914785975188</v>
      </c>
      <c r="I4">
        <v>1973</v>
      </c>
      <c r="J4">
        <v>18781.452192667144</v>
      </c>
      <c r="K4">
        <v>0.9534757501246538</v>
      </c>
      <c r="L4">
        <v>0.18890663753507883</v>
      </c>
      <c r="M4">
        <v>1973</v>
      </c>
      <c r="N4">
        <v>18781.452192667144</v>
      </c>
      <c r="O4">
        <v>0.99203657015841329</v>
      </c>
      <c r="P4">
        <v>0.10595468797145599</v>
      </c>
      <c r="Q4">
        <v>1973</v>
      </c>
      <c r="R4">
        <v>18781.452192667144</v>
      </c>
      <c r="S4">
        <v>0.96032374548701871</v>
      </c>
      <c r="T4">
        <v>0.24122112224064898</v>
      </c>
      <c r="U4">
        <v>1966</v>
      </c>
      <c r="V4">
        <v>18781.452192667144</v>
      </c>
      <c r="W4">
        <v>0.96930039571087379</v>
      </c>
      <c r="X4">
        <v>0.21218583526261658</v>
      </c>
      <c r="Y4">
        <v>1966</v>
      </c>
      <c r="Z4">
        <v>18781.452192667144</v>
      </c>
      <c r="AA4">
        <v>0.95263513340292871</v>
      </c>
      <c r="AB4">
        <v>0.24290157203851065</v>
      </c>
      <c r="AC4">
        <v>1966</v>
      </c>
      <c r="AD4">
        <v>18781.452192667144</v>
      </c>
      <c r="AE4">
        <v>0.92188271237872199</v>
      </c>
      <c r="AF4">
        <v>0.24167612210458939</v>
      </c>
    </row>
    <row r="5" spans="1:32" ht="17.25" thickTop="1" thickBot="1" x14ac:dyDescent="0.3">
      <c r="B5">
        <v>3.3773316134587991E-2</v>
      </c>
      <c r="C5" s="20">
        <v>0.96930039571087379</v>
      </c>
      <c r="D5">
        <v>94.721129293598295</v>
      </c>
      <c r="E5">
        <v>1973</v>
      </c>
      <c r="F5">
        <v>18781.452192667144</v>
      </c>
      <c r="G5">
        <v>96.088308664943668</v>
      </c>
      <c r="H5">
        <v>4</v>
      </c>
      <c r="I5">
        <v>1996</v>
      </c>
      <c r="J5">
        <v>48436.376707404743</v>
      </c>
      <c r="K5" s="17">
        <v>61.482501234044285</v>
      </c>
      <c r="L5">
        <v>3</v>
      </c>
      <c r="M5">
        <v>1996</v>
      </c>
      <c r="N5">
        <v>48436.376707404743</v>
      </c>
      <c r="O5" s="17">
        <v>373.72209835181695</v>
      </c>
      <c r="P5">
        <v>3</v>
      </c>
      <c r="Q5">
        <v>1996</v>
      </c>
      <c r="R5">
        <v>48436.376707404743</v>
      </c>
      <c r="S5" s="17">
        <v>72.611975899047209</v>
      </c>
      <c r="T5">
        <v>3</v>
      </c>
      <c r="U5">
        <v>1996</v>
      </c>
      <c r="V5">
        <v>48436.376707404743</v>
      </c>
      <c r="W5" s="17">
        <v>94.721129293598295</v>
      </c>
      <c r="X5">
        <v>3</v>
      </c>
      <c r="Y5">
        <v>1973</v>
      </c>
      <c r="Z5">
        <v>18781.452192667144</v>
      </c>
      <c r="AA5" s="17">
        <v>60.338086128706713</v>
      </c>
      <c r="AB5">
        <v>3</v>
      </c>
      <c r="AC5">
        <v>1973</v>
      </c>
      <c r="AD5">
        <v>18781.452192667144</v>
      </c>
      <c r="AE5" s="17">
        <v>35.403791162647131</v>
      </c>
      <c r="AF5">
        <v>3</v>
      </c>
    </row>
    <row r="6" spans="1:32" ht="16.5" thickTop="1" x14ac:dyDescent="0.25">
      <c r="B6">
        <v>3.3916403762884101E-2</v>
      </c>
      <c r="C6" s="20">
        <v>0.95263513340292871</v>
      </c>
      <c r="D6">
        <v>60.338086128706713</v>
      </c>
      <c r="E6">
        <v>1996</v>
      </c>
      <c r="F6">
        <v>48436.376707404743</v>
      </c>
      <c r="G6">
        <v>4.2621135015385514</v>
      </c>
      <c r="H6">
        <v>0.17742485264884333</v>
      </c>
      <c r="I6">
        <v>2012</v>
      </c>
      <c r="J6">
        <v>87185.478073328544</v>
      </c>
      <c r="K6">
        <v>2.1940471828237156</v>
      </c>
      <c r="L6">
        <v>0.10705715311442895</v>
      </c>
      <c r="M6">
        <v>2012</v>
      </c>
      <c r="N6">
        <v>87185.478073328544</v>
      </c>
      <c r="O6">
        <v>4.1955522338454623</v>
      </c>
      <c r="P6">
        <v>3.3679187709385806E-2</v>
      </c>
      <c r="Q6">
        <v>2012</v>
      </c>
      <c r="R6">
        <v>87185.478073328544</v>
      </c>
      <c r="S6">
        <v>4.2251187737522287</v>
      </c>
      <c r="T6">
        <v>0.17456288944511436</v>
      </c>
      <c r="U6">
        <v>2012</v>
      </c>
      <c r="V6">
        <v>87185.478073328544</v>
      </c>
      <c r="W6">
        <v>4.2646131771390605</v>
      </c>
      <c r="X6">
        <v>0.13506848605828278</v>
      </c>
      <c r="Y6">
        <v>2012</v>
      </c>
      <c r="Z6">
        <v>87185.478073328544</v>
      </c>
      <c r="AA6">
        <v>3.5600179003317591</v>
      </c>
      <c r="AB6">
        <v>0.17700352109633932</v>
      </c>
      <c r="AC6">
        <v>1996</v>
      </c>
      <c r="AD6">
        <v>48436.376707404743</v>
      </c>
      <c r="AE6">
        <v>2.0678415507971777</v>
      </c>
      <c r="AF6">
        <v>0.17522204398653721</v>
      </c>
    </row>
    <row r="7" spans="1:32" x14ac:dyDescent="0.25">
      <c r="B7">
        <v>3.3007339851721246E-2</v>
      </c>
      <c r="C7" s="20">
        <v>0.92188271237872199</v>
      </c>
      <c r="D7">
        <v>35.403791162647131</v>
      </c>
      <c r="E7">
        <v>2012</v>
      </c>
      <c r="F7">
        <v>87185.478073328544</v>
      </c>
      <c r="G7" t="s">
        <v>268</v>
      </c>
      <c r="H7">
        <f>TINV(0.0455,H5)</f>
        <v>2.8693151696963848</v>
      </c>
      <c r="K7" t="s">
        <v>268</v>
      </c>
      <c r="L7">
        <f>TINV(0.0455,L5)</f>
        <v>3.3068299207201113</v>
      </c>
      <c r="O7" t="s">
        <v>268</v>
      </c>
      <c r="P7">
        <f>TINV(0.0455,P5)</f>
        <v>3.3068299207201113</v>
      </c>
      <c r="S7" t="s">
        <v>268</v>
      </c>
      <c r="T7">
        <f>TINV(0.0455,T5)</f>
        <v>3.3068299207201113</v>
      </c>
      <c r="W7" t="s">
        <v>268</v>
      </c>
      <c r="X7">
        <f>TINV(0.0455,X5)</f>
        <v>3.3068299207201113</v>
      </c>
      <c r="AA7" t="s">
        <v>268</v>
      </c>
      <c r="AB7">
        <f>TINV(0.0455,AB5)</f>
        <v>3.3068299207201113</v>
      </c>
    </row>
    <row r="8" spans="1:32" x14ac:dyDescent="0.25">
      <c r="A8" t="s">
        <v>287</v>
      </c>
      <c r="B8" s="2">
        <f>AVERAGE(B2:B7)</f>
        <v>3.357065727522366E-2</v>
      </c>
      <c r="C8" s="2">
        <f>AVERAGE(C2:C7)</f>
        <v>0.95827571787710175</v>
      </c>
      <c r="D8" s="2">
        <f>AVERAGE(D2:D7)</f>
        <v>116.37993034497676</v>
      </c>
      <c r="E8" s="2">
        <f>AVERAGE(E2:E7)</f>
        <v>1972.8333333333333</v>
      </c>
      <c r="F8" s="2">
        <f>AVERAGE(F2:F7)</f>
        <v>32323.867721063983</v>
      </c>
      <c r="G8" t="s">
        <v>269</v>
      </c>
      <c r="H8">
        <f>H7*G3</f>
        <v>9.8829689829266019E-3</v>
      </c>
      <c r="K8" t="s">
        <v>269</v>
      </c>
      <c r="L8">
        <f>L7*K3</f>
        <v>1.2844734776289318E-2</v>
      </c>
      <c r="O8" t="s">
        <v>269</v>
      </c>
      <c r="P8">
        <f>P7*O3</f>
        <v>6.2261806480177683E-3</v>
      </c>
      <c r="S8" t="s">
        <v>269</v>
      </c>
      <c r="T8">
        <f>T7*S3</f>
        <v>1.3144320042567352E-2</v>
      </c>
      <c r="W8" t="s">
        <v>269</v>
      </c>
      <c r="X8">
        <f>X7*W3</f>
        <v>1.147524932142166E-2</v>
      </c>
      <c r="AA8" t="s">
        <v>269</v>
      </c>
      <c r="AB8">
        <f>AB7*AA3</f>
        <v>1.443862675975776E-2</v>
      </c>
    </row>
    <row r="9" spans="1:32" x14ac:dyDescent="0.25">
      <c r="A9" t="s">
        <v>288</v>
      </c>
      <c r="B9" s="2">
        <f>STDEV(B2:B7)</f>
        <v>1.9109857202333172E-3</v>
      </c>
      <c r="C9" s="2">
        <f>STDEV(C2:C7)</f>
        <v>2.2999303546107245E-2</v>
      </c>
      <c r="D9" s="2">
        <f>STDEV(D2:D7)</f>
        <v>127.5313922740997</v>
      </c>
      <c r="E9" s="2">
        <f>STDEV(E2:E7)</f>
        <v>27.345322573827257</v>
      </c>
      <c r="F9" s="2">
        <f>STDEV(F2:F7)</f>
        <v>30459.519827361011</v>
      </c>
      <c r="G9" t="s">
        <v>270</v>
      </c>
      <c r="H9">
        <f>G2+H8</f>
        <v>1.0442226835224233</v>
      </c>
      <c r="K9" t="s">
        <v>270</v>
      </c>
      <c r="L9">
        <f>K2+L8</f>
        <v>1.0437704330987823</v>
      </c>
      <c r="O9" t="s">
        <v>270</v>
      </c>
      <c r="P9">
        <f>O2+P8</f>
        <v>1.0432952830048658</v>
      </c>
      <c r="S9" t="s">
        <v>270</v>
      </c>
      <c r="T9">
        <f>S2+T8</f>
        <v>1.0475956655696044</v>
      </c>
      <c r="W9" t="s">
        <v>270</v>
      </c>
      <c r="X9">
        <f>W2+X8</f>
        <v>1.0458253589911446</v>
      </c>
      <c r="AA9" t="s">
        <v>270</v>
      </c>
      <c r="AB9">
        <f>AA2+AB8</f>
        <v>1.0489367497226842</v>
      </c>
    </row>
    <row r="10" spans="1:32" x14ac:dyDescent="0.25">
      <c r="A10" t="s">
        <v>289</v>
      </c>
      <c r="B10" s="2">
        <f>MIN(B2:B7)</f>
        <v>3.0457134855378893E-2</v>
      </c>
      <c r="C10" s="2">
        <f>MIN(C2:C7)</f>
        <v>0.92188271237872199</v>
      </c>
      <c r="D10" s="2">
        <f>MIN(D2:D7)</f>
        <v>35.403791162647131</v>
      </c>
      <c r="E10" s="2">
        <f>MIN(E2:E7)</f>
        <v>1939</v>
      </c>
      <c r="F10" s="2">
        <f>MIN(F2:F7)</f>
        <v>5930.9849029475199</v>
      </c>
      <c r="G10" t="s">
        <v>271</v>
      </c>
      <c r="H10">
        <f>G2-H8</f>
        <v>1.0244567455565703</v>
      </c>
      <c r="K10" t="s">
        <v>271</v>
      </c>
      <c r="L10">
        <f>K2-L8</f>
        <v>1.0180809635462038</v>
      </c>
      <c r="O10" t="s">
        <v>271</v>
      </c>
      <c r="P10">
        <f>O2-P8</f>
        <v>1.0308429217088304</v>
      </c>
      <c r="S10" t="s">
        <v>271</v>
      </c>
      <c r="T10">
        <f>S2-T8</f>
        <v>1.0213070254844696</v>
      </c>
      <c r="W10" t="s">
        <v>271</v>
      </c>
      <c r="X10">
        <f>W2-X8</f>
        <v>1.0228748603483013</v>
      </c>
      <c r="AA10" t="s">
        <v>271</v>
      </c>
      <c r="AB10">
        <f>AA2-AB8</f>
        <v>1.0200594962031686</v>
      </c>
    </row>
    <row r="11" spans="1:32" x14ac:dyDescent="0.25">
      <c r="A11" t="s">
        <v>290</v>
      </c>
      <c r="B11" s="2">
        <f>MAX(B2:B7)</f>
        <v>3.6398563822675326E-2</v>
      </c>
      <c r="C11" s="2">
        <f>MAX(C2:C7)</f>
        <v>0.99203657015841329</v>
      </c>
      <c r="D11" s="2">
        <f>MAX(D2:D7)</f>
        <v>373.72209835181695</v>
      </c>
      <c r="E11" s="2">
        <f>MAX(E2:E7)</f>
        <v>2012</v>
      </c>
      <c r="F11" s="2">
        <f>MAX(F2:F7)</f>
        <v>87185.478073328544</v>
      </c>
      <c r="G11" t="s">
        <v>272</v>
      </c>
      <c r="H11" s="21">
        <f>LN(G2)</f>
        <v>3.3763266169528371E-2</v>
      </c>
      <c r="K11" t="s">
        <v>272</v>
      </c>
      <c r="L11" s="21">
        <f>LN(K2)</f>
        <v>3.0457134855378893E-2</v>
      </c>
      <c r="O11" t="s">
        <v>272</v>
      </c>
      <c r="P11" s="21">
        <f>LN(O2)</f>
        <v>3.6398563822675326E-2</v>
      </c>
      <c r="S11" t="s">
        <v>272</v>
      </c>
      <c r="T11" s="21">
        <f>LN(S2)</f>
        <v>3.3871185224094415E-2</v>
      </c>
      <c r="W11" t="s">
        <v>272</v>
      </c>
      <c r="X11" s="21">
        <f>LN(W2)</f>
        <v>3.3773316134587991E-2</v>
      </c>
      <c r="AA11" t="s">
        <v>272</v>
      </c>
      <c r="AB11" s="21">
        <f>LN(AA2)</f>
        <v>3.3916403762884101E-2</v>
      </c>
    </row>
    <row r="12" spans="1:32" x14ac:dyDescent="0.25">
      <c r="A12" t="s">
        <v>291</v>
      </c>
      <c r="B12" s="2">
        <f>ABS(B11-B10)</f>
        <v>5.9414289672964325E-3</v>
      </c>
      <c r="C12" s="2">
        <f>ABS(C11-C10)</f>
        <v>7.0153857779691298E-2</v>
      </c>
      <c r="D12" s="2">
        <f>ABS(D11-D10)</f>
        <v>338.31830718916984</v>
      </c>
      <c r="E12" s="2">
        <f>ABS(E11-E10)</f>
        <v>73</v>
      </c>
      <c r="F12" s="2">
        <f>ABS(F11-F10)</f>
        <v>81254.493170381029</v>
      </c>
      <c r="G12" t="s">
        <v>273</v>
      </c>
      <c r="H12" s="21">
        <f>LN(H9)</f>
        <v>4.3272765108704737E-2</v>
      </c>
      <c r="K12" t="s">
        <v>273</v>
      </c>
      <c r="L12" s="21">
        <f>LN(L9)</f>
        <v>4.283957361289642E-2</v>
      </c>
      <c r="O12" t="s">
        <v>273</v>
      </c>
      <c r="P12" s="21">
        <f>LN(P9)</f>
        <v>4.2384245255519509E-2</v>
      </c>
      <c r="S12" t="s">
        <v>273</v>
      </c>
      <c r="T12" s="21">
        <f>LN(T9)</f>
        <v>4.6497696156801153E-2</v>
      </c>
      <c r="W12" t="s">
        <v>273</v>
      </c>
      <c r="X12" s="21">
        <f>LN(X9)</f>
        <v>4.4806390891698029E-2</v>
      </c>
      <c r="AA12" t="s">
        <v>273</v>
      </c>
      <c r="AB12" s="21">
        <f>LN(AB9)</f>
        <v>4.7777031812391839E-2</v>
      </c>
    </row>
    <row r="13" spans="1:32" x14ac:dyDescent="0.25">
      <c r="A13" t="s">
        <v>292</v>
      </c>
      <c r="B13" s="2">
        <f>COUNT(B2:B7)</f>
        <v>6</v>
      </c>
      <c r="G13" t="s">
        <v>274</v>
      </c>
      <c r="H13" s="21">
        <f>LN(H10)</f>
        <v>2.4162467753373919E-2</v>
      </c>
      <c r="K13" t="s">
        <v>274</v>
      </c>
      <c r="L13" s="21">
        <f>LN(L10)</f>
        <v>1.7919446936562153E-2</v>
      </c>
      <c r="O13" t="s">
        <v>274</v>
      </c>
      <c r="P13" s="21">
        <f>LN(P10)</f>
        <v>3.0376838150013533E-2</v>
      </c>
      <c r="S13" t="s">
        <v>274</v>
      </c>
      <c r="T13" s="21">
        <f>LN(T10)</f>
        <v>2.1083204540823196E-2</v>
      </c>
      <c r="W13" t="s">
        <v>274</v>
      </c>
      <c r="X13" s="21">
        <f>LN(X10)</f>
        <v>2.2617153336792626E-2</v>
      </c>
      <c r="AA13" t="s">
        <v>274</v>
      </c>
      <c r="AB13" s="21">
        <f>LN(AB10)</f>
        <v>1.9860955206023715E-2</v>
      </c>
    </row>
    <row r="14" spans="1:32" x14ac:dyDescent="0.25">
      <c r="G14" t="s">
        <v>275</v>
      </c>
      <c r="H14" s="21">
        <f>H12-H11</f>
        <v>9.5094989391763668E-3</v>
      </c>
      <c r="K14" t="s">
        <v>275</v>
      </c>
      <c r="L14" s="21">
        <f>L12-L11</f>
        <v>1.2382438757517527E-2</v>
      </c>
      <c r="O14" t="s">
        <v>275</v>
      </c>
      <c r="P14" s="21">
        <f>P12-P11</f>
        <v>5.9856814328441837E-3</v>
      </c>
      <c r="S14" t="s">
        <v>275</v>
      </c>
      <c r="T14" s="21">
        <f>T12-T11</f>
        <v>1.2626510932706739E-2</v>
      </c>
      <c r="W14" t="s">
        <v>275</v>
      </c>
      <c r="X14" s="21">
        <f>X12-X11</f>
        <v>1.1033074757110038E-2</v>
      </c>
      <c r="AA14" t="s">
        <v>275</v>
      </c>
      <c r="AB14" s="21">
        <f>AB12-AB11</f>
        <v>1.3860628049507738E-2</v>
      </c>
    </row>
    <row r="15" spans="1:32" x14ac:dyDescent="0.25">
      <c r="G15" t="s">
        <v>276</v>
      </c>
      <c r="H15" s="21">
        <f>H11-H13</f>
        <v>9.6007984161544518E-3</v>
      </c>
      <c r="K15" t="s">
        <v>276</v>
      </c>
      <c r="L15" s="21">
        <f>L11-L13</f>
        <v>1.253768791881674E-2</v>
      </c>
      <c r="O15" t="s">
        <v>276</v>
      </c>
      <c r="P15" s="21">
        <f>P11-P13</f>
        <v>6.0217256726617929E-3</v>
      </c>
      <c r="S15" t="s">
        <v>276</v>
      </c>
      <c r="T15" s="21">
        <f>T11-T13</f>
        <v>1.2787980683271218E-2</v>
      </c>
      <c r="W15" t="s">
        <v>276</v>
      </c>
      <c r="X15" s="21">
        <f>X11-X13</f>
        <v>1.1156162797795365E-2</v>
      </c>
      <c r="AA15" t="s">
        <v>276</v>
      </c>
      <c r="AB15" s="21">
        <f>AB11-AB13</f>
        <v>1.4055448556860386E-2</v>
      </c>
    </row>
    <row r="16" spans="1:32" x14ac:dyDescent="0.25">
      <c r="G16" t="s">
        <v>277</v>
      </c>
      <c r="H16" s="22">
        <f>AVERAGE(H14:H15)</f>
        <v>9.5551486776654093E-3</v>
      </c>
      <c r="K16" t="s">
        <v>277</v>
      </c>
      <c r="L16" s="22">
        <f>AVERAGE(L14:L15)</f>
        <v>1.2460063338167134E-2</v>
      </c>
      <c r="O16" t="s">
        <v>277</v>
      </c>
      <c r="P16" s="22">
        <f>AVERAGE(P14:P15)</f>
        <v>6.0037035527529883E-3</v>
      </c>
      <c r="S16" t="s">
        <v>277</v>
      </c>
      <c r="T16" s="22">
        <f>AVERAGE(T14:T15)</f>
        <v>1.2707245807988979E-2</v>
      </c>
      <c r="W16" t="s">
        <v>277</v>
      </c>
      <c r="X16" s="22">
        <f>AVERAGE(X14:X15)</f>
        <v>1.1094618777452702E-2</v>
      </c>
      <c r="AA16" t="s">
        <v>277</v>
      </c>
      <c r="AB16" s="22">
        <f>AVERAGE(AB14:AB15)</f>
        <v>1.3958038303184062E-2</v>
      </c>
    </row>
    <row r="17" spans="7:28" x14ac:dyDescent="0.25">
      <c r="G17" t="s">
        <v>278</v>
      </c>
      <c r="H17">
        <f>TINV(0.3173,H5)</f>
        <v>1.1416549872215624</v>
      </c>
      <c r="K17" t="s">
        <v>278</v>
      </c>
      <c r="L17">
        <f>TINV(0.3173,L5)</f>
        <v>1.1969125599716923</v>
      </c>
      <c r="O17" t="s">
        <v>278</v>
      </c>
      <c r="P17">
        <f>TINV(0.3173,P5)</f>
        <v>1.1969125599716923</v>
      </c>
      <c r="S17" t="s">
        <v>278</v>
      </c>
      <c r="T17">
        <f>TINV(0.3173,T5)</f>
        <v>1.1969125599716923</v>
      </c>
      <c r="W17" t="s">
        <v>278</v>
      </c>
      <c r="X17">
        <f>TINV(0.3173,X5)</f>
        <v>1.1969125599716923</v>
      </c>
      <c r="AA17" t="s">
        <v>278</v>
      </c>
      <c r="AB17">
        <f>TINV(0.3173,AB5)</f>
        <v>1.1969125599716923</v>
      </c>
    </row>
    <row r="18" spans="7:28" x14ac:dyDescent="0.25">
      <c r="G18" t="s">
        <v>279</v>
      </c>
      <c r="H18">
        <f>H17*G3</f>
        <v>3.9322765749389837E-3</v>
      </c>
      <c r="K18" t="s">
        <v>279</v>
      </c>
      <c r="L18">
        <f>L17*K3</f>
        <v>4.6491730000731172E-3</v>
      </c>
      <c r="O18" t="s">
        <v>279</v>
      </c>
      <c r="P18">
        <f>P17*O3</f>
        <v>2.2535763849149916E-3</v>
      </c>
      <c r="S18" t="s">
        <v>279</v>
      </c>
      <c r="T18">
        <f>T17*S3</f>
        <v>4.7576083827772144E-3</v>
      </c>
      <c r="W18" t="s">
        <v>279</v>
      </c>
      <c r="X18">
        <f>X17*W3</f>
        <v>4.1534854742772053E-3</v>
      </c>
      <c r="AA18" t="s">
        <v>279</v>
      </c>
      <c r="AB18">
        <f>AB17*AA3</f>
        <v>5.2260848401099744E-3</v>
      </c>
    </row>
    <row r="19" spans="7:28" x14ac:dyDescent="0.25">
      <c r="G19" t="s">
        <v>280</v>
      </c>
      <c r="H19">
        <f>G2+H18</f>
        <v>1.0382719911144358</v>
      </c>
      <c r="K19" t="s">
        <v>280</v>
      </c>
      <c r="L19">
        <f>K2+L18</f>
        <v>1.0355748713225661</v>
      </c>
      <c r="O19" t="s">
        <v>280</v>
      </c>
      <c r="P19">
        <f>O2+P18</f>
        <v>1.0393226787417631</v>
      </c>
      <c r="S19" t="s">
        <v>280</v>
      </c>
      <c r="T19">
        <f>S2+T18</f>
        <v>1.0392089539098142</v>
      </c>
      <c r="W19" t="s">
        <v>280</v>
      </c>
      <c r="X19">
        <f>W2+X18</f>
        <v>1.0385035951440003</v>
      </c>
      <c r="AA19" t="s">
        <v>280</v>
      </c>
      <c r="AB19">
        <f>AA2+AB18</f>
        <v>1.0397242078030364</v>
      </c>
    </row>
    <row r="20" spans="7:28" x14ac:dyDescent="0.25">
      <c r="G20" t="s">
        <v>281</v>
      </c>
      <c r="H20">
        <f>G2-H18</f>
        <v>1.0304074379645578</v>
      </c>
      <c r="K20" t="s">
        <v>281</v>
      </c>
      <c r="L20">
        <f>K2-L18</f>
        <v>1.02627652532242</v>
      </c>
      <c r="O20" t="s">
        <v>281</v>
      </c>
      <c r="P20">
        <f>O2-P18</f>
        <v>1.0348155259719332</v>
      </c>
      <c r="S20" t="s">
        <v>281</v>
      </c>
      <c r="T20">
        <f>S2-T18</f>
        <v>1.0296937371442598</v>
      </c>
      <c r="W20" t="s">
        <v>281</v>
      </c>
      <c r="X20">
        <f>W2-X18</f>
        <v>1.0301966241954457</v>
      </c>
      <c r="AA20" t="s">
        <v>281</v>
      </c>
      <c r="AB20">
        <f>AA2-AB18</f>
        <v>1.0292720381228164</v>
      </c>
    </row>
    <row r="21" spans="7:28" x14ac:dyDescent="0.25">
      <c r="G21" t="s">
        <v>272</v>
      </c>
      <c r="H21" s="21">
        <f>LN(G2)</f>
        <v>3.3763266169528371E-2</v>
      </c>
      <c r="K21" t="s">
        <v>272</v>
      </c>
      <c r="L21" s="21">
        <f>LN(K2)</f>
        <v>3.0457134855378893E-2</v>
      </c>
      <c r="O21" t="s">
        <v>272</v>
      </c>
      <c r="P21" s="21">
        <f>LN(O2)</f>
        <v>3.6398563822675326E-2</v>
      </c>
      <c r="S21" t="s">
        <v>272</v>
      </c>
      <c r="T21" s="21">
        <f>LN(S2)</f>
        <v>3.3871185224094415E-2</v>
      </c>
      <c r="W21" t="s">
        <v>272</v>
      </c>
      <c r="X21" s="21">
        <f>LN(W2)</f>
        <v>3.3773316134587991E-2</v>
      </c>
      <c r="AA21" t="s">
        <v>272</v>
      </c>
      <c r="AB21" s="21">
        <f>LN(AA2)</f>
        <v>3.3916403762884101E-2</v>
      </c>
    </row>
    <row r="22" spans="7:28" x14ac:dyDescent="0.25">
      <c r="G22" t="s">
        <v>282</v>
      </c>
      <c r="H22" s="21">
        <f>LN(H19)</f>
        <v>3.7557784247765416E-2</v>
      </c>
      <c r="K22" t="s">
        <v>282</v>
      </c>
      <c r="L22" s="21">
        <f>LN(L19)</f>
        <v>3.4956703752033261E-2</v>
      </c>
      <c r="O22" t="s">
        <v>282</v>
      </c>
      <c r="P22" s="21">
        <f>LN(P19)</f>
        <v>3.8569230543951005E-2</v>
      </c>
      <c r="S22" t="s">
        <v>282</v>
      </c>
      <c r="T22" s="21">
        <f>LN(T19)</f>
        <v>3.8459802493614005E-2</v>
      </c>
      <c r="W22" t="s">
        <v>282</v>
      </c>
      <c r="X22" s="21">
        <f>LN(X19)</f>
        <v>3.7780826190339359E-2</v>
      </c>
      <c r="AA22" t="s">
        <v>282</v>
      </c>
      <c r="AB22" s="21">
        <f>LN(AB19)</f>
        <v>3.8955493180800854E-2</v>
      </c>
    </row>
    <row r="23" spans="7:28" x14ac:dyDescent="0.25">
      <c r="G23" t="s">
        <v>283</v>
      </c>
      <c r="H23" s="21">
        <f>LN(H20)</f>
        <v>2.9954294863402797E-2</v>
      </c>
      <c r="K23" t="s">
        <v>283</v>
      </c>
      <c r="L23" s="21">
        <f>LN(L20)</f>
        <v>2.5937228293273603E-2</v>
      </c>
      <c r="O23" t="s">
        <v>283</v>
      </c>
      <c r="P23" s="21">
        <f>LN(P20)</f>
        <v>3.4223175055538846E-2</v>
      </c>
      <c r="S23" t="s">
        <v>283</v>
      </c>
      <c r="T23" s="21">
        <f>LN(T20)</f>
        <v>2.9261415448086522E-2</v>
      </c>
      <c r="W23" t="s">
        <v>283</v>
      </c>
      <c r="X23" s="21">
        <f>LN(X20)</f>
        <v>2.9749681300109455E-2</v>
      </c>
      <c r="AA23" t="s">
        <v>283</v>
      </c>
      <c r="AB23" s="21">
        <f>LN(AB20)</f>
        <v>2.8851793265527302E-2</v>
      </c>
    </row>
    <row r="24" spans="7:28" x14ac:dyDescent="0.25">
      <c r="G24" t="s">
        <v>284</v>
      </c>
      <c r="H24" s="21">
        <f>H22-H21</f>
        <v>3.7945180782370455E-3</v>
      </c>
      <c r="K24" t="s">
        <v>284</v>
      </c>
      <c r="L24" s="21">
        <f>L22-L21</f>
        <v>4.4995688966543677E-3</v>
      </c>
      <c r="O24" t="s">
        <v>284</v>
      </c>
      <c r="P24" s="21">
        <f>P22-P21</f>
        <v>2.1706667212756797E-3</v>
      </c>
      <c r="S24" t="s">
        <v>284</v>
      </c>
      <c r="T24" s="21">
        <f>T22-T21</f>
        <v>4.5886172695195904E-3</v>
      </c>
      <c r="W24" t="s">
        <v>284</v>
      </c>
      <c r="X24" s="21">
        <f>X22-X21</f>
        <v>4.0075100557513677E-3</v>
      </c>
      <c r="AA24" t="s">
        <v>284</v>
      </c>
      <c r="AB24" s="21">
        <f>AB22-AB21</f>
        <v>5.0390894179167534E-3</v>
      </c>
    </row>
    <row r="25" spans="7:28" x14ac:dyDescent="0.25">
      <c r="G25" t="s">
        <v>285</v>
      </c>
      <c r="H25" s="21">
        <f>H21-H23</f>
        <v>3.8089713061255741E-3</v>
      </c>
      <c r="K25" t="s">
        <v>285</v>
      </c>
      <c r="L25" s="21">
        <f>L21-L23</f>
        <v>4.51990656210529E-3</v>
      </c>
      <c r="O25" t="s">
        <v>285</v>
      </c>
      <c r="P25" s="21">
        <f>P21-P23</f>
        <v>2.1753887671364797E-3</v>
      </c>
      <c r="S25" t="s">
        <v>285</v>
      </c>
      <c r="T25" s="21">
        <f>T21-T23</f>
        <v>4.609769776007893E-3</v>
      </c>
      <c r="W25" t="s">
        <v>285</v>
      </c>
      <c r="X25" s="21">
        <f>X21-X23</f>
        <v>4.0236348344785365E-3</v>
      </c>
      <c r="AA25" t="s">
        <v>285</v>
      </c>
      <c r="AB25" s="21">
        <f>AB21-AB23</f>
        <v>5.0646104973567987E-3</v>
      </c>
    </row>
    <row r="26" spans="7:28" x14ac:dyDescent="0.25">
      <c r="G26" t="s">
        <v>286</v>
      </c>
      <c r="H26" s="22">
        <f>AVERAGE(H24:H25)</f>
        <v>3.8017446921813098E-3</v>
      </c>
      <c r="K26" t="s">
        <v>286</v>
      </c>
      <c r="L26" s="22">
        <f>AVERAGE(L24:L25)</f>
        <v>4.5097377293798289E-3</v>
      </c>
      <c r="O26" t="s">
        <v>286</v>
      </c>
      <c r="P26" s="22">
        <f>AVERAGE(P24:P25)</f>
        <v>2.1730277442060797E-3</v>
      </c>
      <c r="S26" t="s">
        <v>286</v>
      </c>
      <c r="T26" s="22">
        <f>AVERAGE(T24:T25)</f>
        <v>4.5991935227637417E-3</v>
      </c>
      <c r="W26" t="s">
        <v>286</v>
      </c>
      <c r="X26" s="22">
        <f>AVERAGE(X24:X25)</f>
        <v>4.0155724451149521E-3</v>
      </c>
      <c r="AA26" t="s">
        <v>286</v>
      </c>
      <c r="AB26" s="22">
        <f>AVERAGE(AB24:AB25)</f>
        <v>5.0518499576367761E-3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election activeCell="F1" sqref="F1"/>
    </sheetView>
  </sheetViews>
  <sheetFormatPr defaultColWidth="11" defaultRowHeight="15.75" x14ac:dyDescent="0.25"/>
  <sheetData>
    <row r="1" spans="1:24" ht="17.25" thickTop="1" thickBot="1" x14ac:dyDescent="0.3">
      <c r="B1" s="2" t="s">
        <v>265</v>
      </c>
      <c r="C1" s="2" t="s">
        <v>266</v>
      </c>
      <c r="D1" s="2" t="s">
        <v>267</v>
      </c>
      <c r="E1" s="2" t="s">
        <v>0</v>
      </c>
      <c r="F1" s="2" t="s">
        <v>2</v>
      </c>
      <c r="G1" s="16">
        <f>LN(G2)</f>
        <v>4.3987121195880517E-2</v>
      </c>
      <c r="H1" s="17">
        <f>G4</f>
        <v>0.87466181372597318</v>
      </c>
      <c r="I1" t="s">
        <v>0</v>
      </c>
      <c r="J1" t="s">
        <v>2</v>
      </c>
      <c r="K1" s="18">
        <f>LN(K2)</f>
        <v>5.8337424280773438E-2</v>
      </c>
      <c r="L1" s="19">
        <f>K4</f>
        <v>0.93203727561647554</v>
      </c>
      <c r="M1" t="s">
        <v>0</v>
      </c>
      <c r="N1" t="s">
        <v>2</v>
      </c>
      <c r="O1" s="18">
        <f>LN(O2)</f>
        <v>3.9490853575089385E-2</v>
      </c>
      <c r="P1" s="19">
        <f>O4</f>
        <v>0.99902915518415014</v>
      </c>
      <c r="Q1" t="s">
        <v>0</v>
      </c>
      <c r="R1" t="s">
        <v>2</v>
      </c>
      <c r="S1" s="18">
        <f>LN(S2)</f>
        <v>4.2858125815025627E-2</v>
      </c>
      <c r="T1" s="19">
        <f>S4</f>
        <v>0.88117220861149204</v>
      </c>
      <c r="U1" t="s">
        <v>0</v>
      </c>
      <c r="V1" t="s">
        <v>2</v>
      </c>
      <c r="W1" s="18">
        <f>LN(W2)</f>
        <v>4.0460386766936932E-2</v>
      </c>
      <c r="X1" s="19">
        <f>W4</f>
        <v>0.65930057726718483</v>
      </c>
    </row>
    <row r="2" spans="1:24" ht="16.5" thickTop="1" x14ac:dyDescent="0.25">
      <c r="B2">
        <v>5.8337424280773438E-2</v>
      </c>
      <c r="C2" s="20">
        <v>0.93203727561647554</v>
      </c>
      <c r="D2">
        <v>13.713948110096965</v>
      </c>
      <c r="E2">
        <v>1973</v>
      </c>
      <c r="F2">
        <v>18781.452192667144</v>
      </c>
      <c r="G2">
        <f t="array" ref="G2:H6">LOGEST(F2:F5,E2:E5,TRUE, TRUE)</f>
        <v>1.0449688968520487</v>
      </c>
      <c r="H2">
        <v>3.0877703610008741E-34</v>
      </c>
      <c r="I2">
        <v>1985</v>
      </c>
      <c r="J2">
        <v>17243.789440051121</v>
      </c>
      <c r="K2">
        <f t="array" ref="K2:L6">LOGEST(J2:J4,I2:I4,TRUE, TRUE)</f>
        <v>1.0600726296143281</v>
      </c>
      <c r="L2">
        <v>1.0200537272723326E-46</v>
      </c>
      <c r="M2">
        <v>1973</v>
      </c>
      <c r="N2">
        <v>18781.452192667144</v>
      </c>
      <c r="O2">
        <f t="array" ref="O2:P6">LOGEST(N2:N4,M2:M4,TRUE, TRUE)</f>
        <v>1.0402809839895384</v>
      </c>
      <c r="P2">
        <v>2.7568697555017704E-30</v>
      </c>
      <c r="Q2">
        <v>1973</v>
      </c>
      <c r="R2">
        <v>18781.452192667144</v>
      </c>
      <c r="S2">
        <f t="array" ref="S2:T6">LOGEST(R2:R4,Q2:Q4,TRUE, TRUE)</f>
        <v>1.0437897975184594</v>
      </c>
      <c r="T2">
        <v>2.7773933689906739E-33</v>
      </c>
      <c r="U2">
        <v>1973</v>
      </c>
      <c r="V2">
        <v>18781.452192667144</v>
      </c>
      <c r="W2">
        <f t="array" ref="W2:X6">LOGEST(V2:V4,U2:U4,TRUE, TRUE)</f>
        <v>1.0412900600196724</v>
      </c>
      <c r="X2">
        <v>3.3457912464232321E-31</v>
      </c>
    </row>
    <row r="3" spans="1:24" x14ac:dyDescent="0.25">
      <c r="B3">
        <v>3.9490853575089385E-2</v>
      </c>
      <c r="C3" s="20">
        <v>0.99902915518415014</v>
      </c>
      <c r="D3">
        <v>1029.0307357819097</v>
      </c>
      <c r="E3">
        <v>1985</v>
      </c>
      <c r="F3">
        <v>17243.789440051121</v>
      </c>
      <c r="G3">
        <v>1.1774220419478393E-2</v>
      </c>
      <c r="H3">
        <v>23.448969656927879</v>
      </c>
      <c r="I3">
        <v>1996</v>
      </c>
      <c r="J3">
        <v>48436.376707404743</v>
      </c>
      <c r="K3">
        <v>1.575309888868685E-2</v>
      </c>
      <c r="L3">
        <v>31.469925078399445</v>
      </c>
      <c r="M3">
        <v>1996</v>
      </c>
      <c r="N3">
        <v>48436.376707404743</v>
      </c>
      <c r="O3">
        <v>1.2310688645024847E-3</v>
      </c>
      <c r="P3">
        <v>2.4544200655614645</v>
      </c>
      <c r="Q3">
        <v>1985</v>
      </c>
      <c r="R3">
        <v>17243.789440051121</v>
      </c>
      <c r="S3">
        <v>1.5738443969897813E-2</v>
      </c>
      <c r="T3">
        <v>31.320555348287037</v>
      </c>
      <c r="U3">
        <v>1985</v>
      </c>
      <c r="V3">
        <v>17243.789440051121</v>
      </c>
      <c r="W3">
        <v>2.9085330345831741E-2</v>
      </c>
      <c r="X3">
        <v>57.725332071971089</v>
      </c>
    </row>
    <row r="4" spans="1:24" ht="16.5" thickBot="1" x14ac:dyDescent="0.3">
      <c r="B4">
        <v>4.2858125815025627E-2</v>
      </c>
      <c r="C4" s="20">
        <v>0.88117220861149204</v>
      </c>
      <c r="D4">
        <v>7.415539734560042</v>
      </c>
      <c r="E4">
        <v>1996</v>
      </c>
      <c r="F4">
        <v>48436.376707404743</v>
      </c>
      <c r="G4">
        <v>0.87466181372597318</v>
      </c>
      <c r="H4">
        <v>0.33818873406920447</v>
      </c>
      <c r="I4">
        <v>2012</v>
      </c>
      <c r="J4">
        <v>87185.478073328544</v>
      </c>
      <c r="K4">
        <v>0.93203727561647554</v>
      </c>
      <c r="L4">
        <v>0.30247043811696273</v>
      </c>
      <c r="M4">
        <v>2012</v>
      </c>
      <c r="N4">
        <v>87185.478073328544</v>
      </c>
      <c r="O4">
        <v>0.99902915518415014</v>
      </c>
      <c r="P4">
        <v>3.4131185380010809E-2</v>
      </c>
      <c r="Q4">
        <v>2012</v>
      </c>
      <c r="R4">
        <v>87185.478073328544</v>
      </c>
      <c r="S4">
        <v>0.88117220861149204</v>
      </c>
      <c r="T4">
        <v>0.44459363202558688</v>
      </c>
      <c r="U4">
        <v>1996</v>
      </c>
      <c r="V4">
        <v>48436.376707404743</v>
      </c>
      <c r="W4">
        <v>0.65930057726718483</v>
      </c>
      <c r="X4">
        <v>0.47317699803666557</v>
      </c>
    </row>
    <row r="5" spans="1:24" ht="17.25" thickTop="1" thickBot="1" x14ac:dyDescent="0.3">
      <c r="B5">
        <v>4.0460386766936932E-2</v>
      </c>
      <c r="C5" s="20">
        <v>0.65930057726718483</v>
      </c>
      <c r="D5">
        <v>1.9351385217468493</v>
      </c>
      <c r="E5">
        <v>2012</v>
      </c>
      <c r="F5">
        <v>87185.478073328544</v>
      </c>
      <c r="G5">
        <v>13.956828955761349</v>
      </c>
      <c r="H5">
        <v>2</v>
      </c>
      <c r="K5" s="17">
        <v>13.713948110096965</v>
      </c>
      <c r="L5">
        <v>1</v>
      </c>
      <c r="O5" s="17">
        <v>1029.0307357819097</v>
      </c>
      <c r="P5">
        <v>1</v>
      </c>
      <c r="S5" s="17">
        <v>7.415539734560042</v>
      </c>
      <c r="T5">
        <v>1</v>
      </c>
      <c r="W5" s="17">
        <v>1.9351385217468493</v>
      </c>
      <c r="X5">
        <v>1</v>
      </c>
    </row>
    <row r="6" spans="1:24" ht="16.5" thickTop="1" x14ac:dyDescent="0.25">
      <c r="A6" t="s">
        <v>287</v>
      </c>
      <c r="B6" s="2">
        <f>AVERAGE(B2:B5)</f>
        <v>4.5286697609456347E-2</v>
      </c>
      <c r="C6" s="2">
        <f>AVERAGE(C2:C5)</f>
        <v>0.86788480416982561</v>
      </c>
      <c r="D6" s="2">
        <f>AVERAGE(D2:D5)</f>
        <v>263.0238405370784</v>
      </c>
      <c r="E6" s="2">
        <f>AVERAGE(E2:E5)</f>
        <v>1991.5</v>
      </c>
      <c r="F6" s="2">
        <f>AVERAGE(F2:F5)</f>
        <v>42911.774103362884</v>
      </c>
      <c r="G6">
        <v>1.5962651356583875</v>
      </c>
      <c r="H6">
        <v>0.22874323970266219</v>
      </c>
      <c r="K6">
        <v>1.2546667031055911</v>
      </c>
      <c r="L6">
        <v>9.1488365934667373E-2</v>
      </c>
      <c r="O6">
        <v>1.1987568173671928</v>
      </c>
      <c r="P6">
        <v>1.1649378154446636E-3</v>
      </c>
      <c r="S6">
        <v>1.4657815208045013</v>
      </c>
      <c r="T6">
        <v>0.19766349763770297</v>
      </c>
      <c r="W6">
        <v>0.43327068682670838</v>
      </c>
      <c r="X6">
        <v>0.22389647147099062</v>
      </c>
    </row>
    <row r="7" spans="1:24" x14ac:dyDescent="0.25">
      <c r="A7" t="s">
        <v>288</v>
      </c>
      <c r="B7" s="2">
        <f>STDEV(B2:B5)</f>
        <v>8.8148456600112661E-3</v>
      </c>
      <c r="C7" s="2">
        <f>STDEV(C2:C5)</f>
        <v>0.14719410679445363</v>
      </c>
      <c r="D7" s="2">
        <f>STDEV(D2:D5)</f>
        <v>510.69393958409842</v>
      </c>
      <c r="E7" s="2">
        <f>STDEV(E2:E5)</f>
        <v>16.583123951777001</v>
      </c>
      <c r="F7" s="2">
        <f>STDEV(F2:F5)</f>
        <v>32821.740606608866</v>
      </c>
      <c r="G7" t="s">
        <v>268</v>
      </c>
      <c r="H7">
        <f>TINV(0.0455,H5)</f>
        <v>4.5265507600819905</v>
      </c>
      <c r="K7" t="s">
        <v>268</v>
      </c>
      <c r="L7">
        <f>TINV(0.0455,L5)</f>
        <v>13.96781148750258</v>
      </c>
      <c r="O7" t="s">
        <v>268</v>
      </c>
      <c r="P7">
        <f>TINV(0.0455,P5)</f>
        <v>13.96781148750258</v>
      </c>
      <c r="S7" t="s">
        <v>268</v>
      </c>
      <c r="T7">
        <f>TINV(0.0455,T5)</f>
        <v>13.96781148750258</v>
      </c>
    </row>
    <row r="8" spans="1:24" x14ac:dyDescent="0.25">
      <c r="A8" t="s">
        <v>289</v>
      </c>
      <c r="B8" s="2">
        <f>MIN(B2:B5)</f>
        <v>3.9490853575089385E-2</v>
      </c>
      <c r="C8" s="2">
        <f>MIN(C2:C5)</f>
        <v>0.65930057726718483</v>
      </c>
      <c r="D8" s="2">
        <f>MIN(D2:D5)</f>
        <v>1.9351385217468493</v>
      </c>
      <c r="E8" s="2">
        <f>MIN(E2:E5)</f>
        <v>1973</v>
      </c>
      <c r="F8" s="2">
        <f>MIN(F2:F5)</f>
        <v>17243.789440051121</v>
      </c>
      <c r="G8" t="s">
        <v>269</v>
      </c>
      <c r="H8">
        <f>H7*G3</f>
        <v>5.3296606389162816E-2</v>
      </c>
      <c r="K8" t="s">
        <v>269</v>
      </c>
      <c r="L8">
        <f>L7*K3</f>
        <v>0.2200363156211643</v>
      </c>
      <c r="O8" t="s">
        <v>269</v>
      </c>
      <c r="P8">
        <f>P7*O3</f>
        <v>1.7195337827504563E-2</v>
      </c>
      <c r="S8" t="s">
        <v>269</v>
      </c>
      <c r="T8">
        <f>T7*S3</f>
        <v>0.21983161847815438</v>
      </c>
    </row>
    <row r="9" spans="1:24" x14ac:dyDescent="0.25">
      <c r="A9" t="s">
        <v>290</v>
      </c>
      <c r="B9" s="2">
        <f>MAX(B2:B5)</f>
        <v>5.8337424280773438E-2</v>
      </c>
      <c r="C9" s="2">
        <f>MAX(C2:C5)</f>
        <v>0.99902915518415014</v>
      </c>
      <c r="D9" s="2">
        <f>MAX(D2:D5)</f>
        <v>1029.0307357819097</v>
      </c>
      <c r="E9" s="2">
        <f>MAX(E2:E5)</f>
        <v>2012</v>
      </c>
      <c r="F9" s="2">
        <f>MAX(F2:F5)</f>
        <v>87185.478073328544</v>
      </c>
      <c r="G9" t="s">
        <v>270</v>
      </c>
      <c r="H9">
        <f>G2+H8</f>
        <v>1.0982655032412116</v>
      </c>
      <c r="K9" t="s">
        <v>270</v>
      </c>
      <c r="L9">
        <f>K2+L8</f>
        <v>1.2801089452354923</v>
      </c>
      <c r="O9" t="s">
        <v>270</v>
      </c>
      <c r="P9">
        <f>O2+P8</f>
        <v>1.0574763218170429</v>
      </c>
      <c r="S9" t="s">
        <v>270</v>
      </c>
      <c r="T9">
        <f>S2+T8</f>
        <v>1.2636214159966137</v>
      </c>
    </row>
    <row r="10" spans="1:24" x14ac:dyDescent="0.25">
      <c r="A10" t="s">
        <v>291</v>
      </c>
      <c r="B10" s="2">
        <f>ABS(B9-B8)</f>
        <v>1.8846570705684053E-2</v>
      </c>
      <c r="C10" s="2">
        <f>ABS(C9-C8)</f>
        <v>0.33972857791696531</v>
      </c>
      <c r="D10" s="2">
        <f>ABS(D9-D8)</f>
        <v>1027.0955972601628</v>
      </c>
      <c r="E10" s="2">
        <f>ABS(E9-E8)</f>
        <v>39</v>
      </c>
      <c r="F10" s="2">
        <f>ABS(F9-F8)</f>
        <v>69941.68863327743</v>
      </c>
      <c r="G10" t="s">
        <v>271</v>
      </c>
      <c r="H10">
        <f>G2-H8</f>
        <v>0.99167229046288596</v>
      </c>
      <c r="K10" t="s">
        <v>271</v>
      </c>
      <c r="L10">
        <f>K2-L8</f>
        <v>0.84003631399316381</v>
      </c>
      <c r="O10" t="s">
        <v>271</v>
      </c>
      <c r="P10">
        <f>O2-P8</f>
        <v>1.0230856461620339</v>
      </c>
      <c r="S10" t="s">
        <v>271</v>
      </c>
      <c r="T10">
        <f>S2-T8</f>
        <v>0.82395817904030499</v>
      </c>
    </row>
    <row r="11" spans="1:24" x14ac:dyDescent="0.25">
      <c r="A11" t="s">
        <v>292</v>
      </c>
      <c r="B11" s="2">
        <f>COUNT(B2:B5)</f>
        <v>4</v>
      </c>
      <c r="G11" t="s">
        <v>272</v>
      </c>
      <c r="H11" s="21">
        <f>LN(G2)</f>
        <v>4.3987121195880517E-2</v>
      </c>
      <c r="K11" t="s">
        <v>272</v>
      </c>
      <c r="L11" s="21">
        <f>LN(K2)</f>
        <v>5.8337424280773438E-2</v>
      </c>
      <c r="O11" t="s">
        <v>272</v>
      </c>
      <c r="P11" s="21">
        <f>LN(O2)</f>
        <v>3.9490853575089385E-2</v>
      </c>
      <c r="S11" t="s">
        <v>272</v>
      </c>
      <c r="T11" s="21">
        <f>LN(S2)</f>
        <v>4.2858125815025627E-2</v>
      </c>
    </row>
    <row r="12" spans="1:24" x14ac:dyDescent="0.25">
      <c r="G12" t="s">
        <v>273</v>
      </c>
      <c r="H12" s="21">
        <f>LN(H9)</f>
        <v>9.3732120087535967E-2</v>
      </c>
      <c r="K12" t="s">
        <v>273</v>
      </c>
      <c r="L12" s="21">
        <f>LN(L9)</f>
        <v>0.24694518777480873</v>
      </c>
      <c r="O12" t="s">
        <v>273</v>
      </c>
      <c r="P12" s="21">
        <f>LN(P9)</f>
        <v>5.5885240970875813E-2</v>
      </c>
      <c r="S12" t="s">
        <v>273</v>
      </c>
      <c r="T12" s="21">
        <f>LN(T9)</f>
        <v>0.23398173820088355</v>
      </c>
    </row>
    <row r="13" spans="1:24" x14ac:dyDescent="0.25">
      <c r="G13" t="s">
        <v>274</v>
      </c>
      <c r="H13" s="21">
        <f>LN(H10)</f>
        <v>-8.3625786315859249E-3</v>
      </c>
      <c r="K13" t="s">
        <v>274</v>
      </c>
      <c r="L13" s="21">
        <f>LN(L10)</f>
        <v>-0.17431015713496548</v>
      </c>
      <c r="O13" t="s">
        <v>274</v>
      </c>
      <c r="P13" s="21">
        <f>LN(P10)</f>
        <v>2.2823204053614987E-2</v>
      </c>
      <c r="S13" t="s">
        <v>274</v>
      </c>
      <c r="T13" s="21">
        <f>LN(T10)</f>
        <v>-0.19363550395253534</v>
      </c>
    </row>
    <row r="14" spans="1:24" x14ac:dyDescent="0.25">
      <c r="G14" t="s">
        <v>275</v>
      </c>
      <c r="H14" s="21">
        <f>H12-H11</f>
        <v>4.9744998891655449E-2</v>
      </c>
      <c r="K14" t="s">
        <v>275</v>
      </c>
      <c r="L14" s="21">
        <f>L12-L11</f>
        <v>0.1886077634940353</v>
      </c>
      <c r="O14" t="s">
        <v>275</v>
      </c>
      <c r="P14" s="21">
        <f>P12-P11</f>
        <v>1.6394387395786428E-2</v>
      </c>
      <c r="S14" t="s">
        <v>275</v>
      </c>
      <c r="T14" s="21">
        <f>T12-T11</f>
        <v>0.19112361238585793</v>
      </c>
    </row>
    <row r="15" spans="1:24" x14ac:dyDescent="0.25">
      <c r="G15" t="s">
        <v>276</v>
      </c>
      <c r="H15" s="21">
        <f>H11-H13</f>
        <v>5.2349699827466442E-2</v>
      </c>
      <c r="K15" t="s">
        <v>276</v>
      </c>
      <c r="L15" s="21">
        <f>L11-L13</f>
        <v>0.23264758141573891</v>
      </c>
      <c r="O15" t="s">
        <v>276</v>
      </c>
      <c r="P15" s="21">
        <f>P11-P13</f>
        <v>1.6667649521474398E-2</v>
      </c>
      <c r="S15" t="s">
        <v>276</v>
      </c>
      <c r="T15" s="21">
        <f>T11-T13</f>
        <v>0.23649362976756097</v>
      </c>
    </row>
    <row r="16" spans="1:24" x14ac:dyDescent="0.25">
      <c r="G16" t="s">
        <v>277</v>
      </c>
      <c r="H16" s="22">
        <f>AVERAGE(H14:H15)</f>
        <v>5.1047349359560942E-2</v>
      </c>
      <c r="K16" t="s">
        <v>277</v>
      </c>
      <c r="L16" s="22">
        <f>AVERAGE(L14:L15)</f>
        <v>0.21062767245488712</v>
      </c>
      <c r="O16" t="s">
        <v>277</v>
      </c>
      <c r="P16" s="22">
        <f>AVERAGE(P14:P15)</f>
        <v>1.6531018458630413E-2</v>
      </c>
      <c r="S16" t="s">
        <v>277</v>
      </c>
      <c r="T16" s="22">
        <f>AVERAGE(T14:T15)</f>
        <v>0.21380862107670945</v>
      </c>
    </row>
    <row r="17" spans="7:20" x14ac:dyDescent="0.25">
      <c r="G17" t="s">
        <v>278</v>
      </c>
      <c r="H17">
        <f>TINV(0.3173,H5)</f>
        <v>1.3213154624456929</v>
      </c>
      <c r="K17" t="s">
        <v>278</v>
      </c>
      <c r="L17">
        <f>TINV(0.3173,L5)</f>
        <v>1.8374094294905463</v>
      </c>
      <c r="O17" t="s">
        <v>278</v>
      </c>
      <c r="P17">
        <f>TINV(0.3173,P5)</f>
        <v>1.8374094294905463</v>
      </c>
      <c r="S17" t="s">
        <v>278</v>
      </c>
      <c r="T17">
        <f>TINV(0.3173,T5)</f>
        <v>1.8374094294905463</v>
      </c>
    </row>
    <row r="18" spans="7:20" x14ac:dyDescent="0.25">
      <c r="G18" t="s">
        <v>279</v>
      </c>
      <c r="H18">
        <f>H17*G3</f>
        <v>1.5557459498500613E-2</v>
      </c>
      <c r="K18" t="s">
        <v>279</v>
      </c>
      <c r="L18">
        <f>L17*K3</f>
        <v>2.8944892441770263E-2</v>
      </c>
      <c r="O18" t="s">
        <v>279</v>
      </c>
      <c r="P18">
        <f>P17*O3</f>
        <v>2.2619775399890852E-3</v>
      </c>
      <c r="S18" t="s">
        <v>279</v>
      </c>
      <c r="T18">
        <f>T17*S3</f>
        <v>2.891796535579887E-2</v>
      </c>
    </row>
    <row r="19" spans="7:20" x14ac:dyDescent="0.25">
      <c r="G19" t="s">
        <v>280</v>
      </c>
      <c r="H19">
        <f>G2+H18</f>
        <v>1.0605263563505494</v>
      </c>
      <c r="K19" t="s">
        <v>280</v>
      </c>
      <c r="L19">
        <f>K2+L18</f>
        <v>1.0890175220560985</v>
      </c>
      <c r="O19" t="s">
        <v>280</v>
      </c>
      <c r="P19">
        <f>O2+P18</f>
        <v>1.0425429615295274</v>
      </c>
      <c r="S19" t="s">
        <v>280</v>
      </c>
      <c r="T19">
        <f>S2+T18</f>
        <v>1.0727077628742583</v>
      </c>
    </row>
    <row r="20" spans="7:20" x14ac:dyDescent="0.25">
      <c r="G20" t="s">
        <v>281</v>
      </c>
      <c r="H20">
        <f>G2-H18</f>
        <v>1.0294114373535481</v>
      </c>
      <c r="K20" t="s">
        <v>281</v>
      </c>
      <c r="L20">
        <f>K2-L18</f>
        <v>1.0311277371725578</v>
      </c>
      <c r="O20" t="s">
        <v>281</v>
      </c>
      <c r="P20">
        <f>O2-P18</f>
        <v>1.0380190064495494</v>
      </c>
      <c r="S20" t="s">
        <v>281</v>
      </c>
      <c r="T20">
        <f>S2-T18</f>
        <v>1.0148718321626604</v>
      </c>
    </row>
    <row r="21" spans="7:20" x14ac:dyDescent="0.25">
      <c r="G21" t="s">
        <v>272</v>
      </c>
      <c r="H21" s="21">
        <f>LN(G2)</f>
        <v>4.3987121195880517E-2</v>
      </c>
      <c r="K21" t="s">
        <v>272</v>
      </c>
      <c r="L21" s="21">
        <f>LN(K2)</f>
        <v>5.8337424280773438E-2</v>
      </c>
      <c r="O21" t="s">
        <v>272</v>
      </c>
      <c r="P21" s="21">
        <f>LN(O2)</f>
        <v>3.9490853575089385E-2</v>
      </c>
      <c r="S21" t="s">
        <v>272</v>
      </c>
      <c r="T21" s="21">
        <f>LN(S2)</f>
        <v>4.2858125815025627E-2</v>
      </c>
    </row>
    <row r="22" spans="7:20" x14ac:dyDescent="0.25">
      <c r="G22" t="s">
        <v>282</v>
      </c>
      <c r="H22" s="21">
        <f>LN(H19)</f>
        <v>5.8765347472426385E-2</v>
      </c>
      <c r="K22" t="s">
        <v>282</v>
      </c>
      <c r="L22" s="21">
        <f>LN(L19)</f>
        <v>8.5275933863711087E-2</v>
      </c>
      <c r="O22" t="s">
        <v>282</v>
      </c>
      <c r="P22" s="21">
        <f>LN(P19)</f>
        <v>4.1662883941972713E-2</v>
      </c>
      <c r="S22" t="s">
        <v>282</v>
      </c>
      <c r="T22" s="21">
        <f>LN(T19)</f>
        <v>7.0186071356745136E-2</v>
      </c>
    </row>
    <row r="23" spans="7:20" x14ac:dyDescent="0.25">
      <c r="G23" t="s">
        <v>283</v>
      </c>
      <c r="H23" s="21">
        <f>LN(H20)</f>
        <v>2.898721887379133E-2</v>
      </c>
      <c r="K23" t="s">
        <v>283</v>
      </c>
      <c r="L23" s="21">
        <f>LN(L20)</f>
        <v>3.0653093744933833E-2</v>
      </c>
      <c r="O23" t="s">
        <v>283</v>
      </c>
      <c r="P23" s="21">
        <f>LN(P20)</f>
        <v>3.7314095221097007E-2</v>
      </c>
      <c r="S23" t="s">
        <v>283</v>
      </c>
      <c r="T23" s="21">
        <f>LN(T20)</f>
        <v>1.4762330789182777E-2</v>
      </c>
    </row>
    <row r="24" spans="7:20" x14ac:dyDescent="0.25">
      <c r="G24" t="s">
        <v>284</v>
      </c>
      <c r="H24" s="21">
        <f>H22-H21</f>
        <v>1.4778226276545868E-2</v>
      </c>
      <c r="K24" t="s">
        <v>284</v>
      </c>
      <c r="L24" s="21">
        <f>L22-L21</f>
        <v>2.6938509582937649E-2</v>
      </c>
      <c r="O24" t="s">
        <v>284</v>
      </c>
      <c r="P24" s="21">
        <f>P22-P21</f>
        <v>2.1720303668833277E-3</v>
      </c>
      <c r="S24" t="s">
        <v>284</v>
      </c>
      <c r="T24" s="21">
        <f>T22-T21</f>
        <v>2.7327945541719509E-2</v>
      </c>
    </row>
    <row r="25" spans="7:20" x14ac:dyDescent="0.25">
      <c r="G25" t="s">
        <v>285</v>
      </c>
      <c r="H25" s="21">
        <f>H21-H23</f>
        <v>1.4999902322089188E-2</v>
      </c>
      <c r="K25" t="s">
        <v>285</v>
      </c>
      <c r="L25" s="21">
        <f>L21-L23</f>
        <v>2.7684330535839605E-2</v>
      </c>
      <c r="O25" t="s">
        <v>285</v>
      </c>
      <c r="P25" s="21">
        <f>P21-P23</f>
        <v>2.1767583539923779E-3</v>
      </c>
      <c r="S25" t="s">
        <v>285</v>
      </c>
      <c r="T25" s="21">
        <f>T21-T23</f>
        <v>2.8095795025842848E-2</v>
      </c>
    </row>
    <row r="26" spans="7:20" x14ac:dyDescent="0.25">
      <c r="G26" t="s">
        <v>286</v>
      </c>
      <c r="H26" s="22">
        <f>AVERAGE(H24:H25)</f>
        <v>1.4889064299317528E-2</v>
      </c>
      <c r="K26" t="s">
        <v>286</v>
      </c>
      <c r="L26" s="22">
        <f>AVERAGE(L24:L25)</f>
        <v>2.7311420059388629E-2</v>
      </c>
      <c r="O26" t="s">
        <v>286</v>
      </c>
      <c r="P26" s="22">
        <f>AVERAGE(P24:P25)</f>
        <v>2.1743943604378528E-3</v>
      </c>
      <c r="S26" t="s">
        <v>286</v>
      </c>
      <c r="T26" s="22">
        <f>AVERAGE(T24:T25)</f>
        <v>2.7711870283781179E-2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workbookViewId="0">
      <selection activeCell="F1" sqref="F1"/>
    </sheetView>
  </sheetViews>
  <sheetFormatPr defaultColWidth="11" defaultRowHeight="15.75" x14ac:dyDescent="0.25"/>
  <sheetData>
    <row r="1" spans="1:40" ht="17.25" thickTop="1" thickBot="1" x14ac:dyDescent="0.3">
      <c r="B1" s="2" t="s">
        <v>265</v>
      </c>
      <c r="C1" s="2" t="s">
        <v>266</v>
      </c>
      <c r="D1" s="2" t="s">
        <v>267</v>
      </c>
      <c r="E1" s="2" t="s">
        <v>0</v>
      </c>
      <c r="F1" s="2" t="s">
        <v>2</v>
      </c>
      <c r="G1" s="18">
        <f>LN(G2)</f>
        <v>3.5358609718150934E-2</v>
      </c>
      <c r="H1" s="19">
        <f>G4</f>
        <v>0.79371394001344298</v>
      </c>
      <c r="I1" t="s">
        <v>0</v>
      </c>
      <c r="J1" t="s">
        <v>2</v>
      </c>
      <c r="K1" s="18">
        <f>LN(K2)</f>
        <v>3.6378681388107292E-2</v>
      </c>
      <c r="L1" s="19">
        <f>K4</f>
        <v>0.73825497584245958</v>
      </c>
      <c r="M1" t="s">
        <v>0</v>
      </c>
      <c r="N1" t="s">
        <v>2</v>
      </c>
      <c r="O1" s="18">
        <f>LN(O2)</f>
        <v>3.9254185100862447E-2</v>
      </c>
      <c r="P1" s="19">
        <f>O4</f>
        <v>0.85802545824068277</v>
      </c>
      <c r="Q1" t="s">
        <v>0</v>
      </c>
      <c r="R1" t="s">
        <v>2</v>
      </c>
      <c r="S1" s="18">
        <f>LN(S2)</f>
        <v>3.1933002961210176E-2</v>
      </c>
      <c r="T1" s="19">
        <f>S4</f>
        <v>0.87580072507444739</v>
      </c>
      <c r="U1" t="s">
        <v>0</v>
      </c>
      <c r="V1" t="s">
        <v>2</v>
      </c>
      <c r="W1" s="18">
        <f>LN(W2)</f>
        <v>3.585880769739469E-2</v>
      </c>
      <c r="X1" s="19">
        <f>W4</f>
        <v>0.80699785116251732</v>
      </c>
      <c r="Y1" t="s">
        <v>0</v>
      </c>
      <c r="Z1" t="s">
        <v>2</v>
      </c>
      <c r="AA1" s="18">
        <f>LN(AA2)</f>
        <v>3.5355030976474924E-2</v>
      </c>
      <c r="AB1" s="19">
        <f>AA4</f>
        <v>0.79376216070214833</v>
      </c>
      <c r="AC1" t="s">
        <v>0</v>
      </c>
      <c r="AD1" t="s">
        <v>2</v>
      </c>
      <c r="AE1" s="18">
        <f>LN(AE2)</f>
        <v>3.7119150271145256E-2</v>
      </c>
      <c r="AF1" s="19">
        <f>AE4</f>
        <v>0.83694053952398162</v>
      </c>
      <c r="AG1" t="s">
        <v>0</v>
      </c>
      <c r="AH1" t="s">
        <v>2</v>
      </c>
      <c r="AI1" s="18">
        <f>LN(AI2)</f>
        <v>3.4123156987452982E-2</v>
      </c>
      <c r="AJ1" s="19">
        <f>AI4</f>
        <v>0.75687722124946188</v>
      </c>
      <c r="AK1" t="s">
        <v>0</v>
      </c>
      <c r="AL1" t="s">
        <v>2</v>
      </c>
      <c r="AM1" s="18">
        <f>LN(AM2)</f>
        <v>3.1823617925105664E-2</v>
      </c>
      <c r="AN1" s="19">
        <f>AM4</f>
        <v>0.64988586266806803</v>
      </c>
    </row>
    <row r="2" spans="1:40" ht="16.5" thickTop="1" x14ac:dyDescent="0.25">
      <c r="B2">
        <v>3.6378681388107292E-2</v>
      </c>
      <c r="C2" s="20">
        <v>0.73825497584245958</v>
      </c>
      <c r="D2">
        <v>14.102559890462611</v>
      </c>
      <c r="E2">
        <v>1939</v>
      </c>
      <c r="F2">
        <v>5930.9849029475199</v>
      </c>
      <c r="G2">
        <f t="array" ref="G2:H6">LOGEST(F2:F9,E2:E9,TRUE, TRUE)</f>
        <v>1.035991158690297</v>
      </c>
      <c r="H2">
        <v>9.2273541917794093E-27</v>
      </c>
      <c r="I2">
        <v>1951</v>
      </c>
      <c r="J2">
        <v>14827.462257368799</v>
      </c>
      <c r="K2">
        <f t="array" ref="K2:L6">LOGEST(J2:J8,I2:I8,TRUE, TRUE)</f>
        <v>1.0370484831032591</v>
      </c>
      <c r="L2">
        <v>1.2146458755298685E-27</v>
      </c>
      <c r="M2">
        <v>1939</v>
      </c>
      <c r="N2">
        <v>5930.9849029475199</v>
      </c>
      <c r="O2">
        <f t="array" ref="O2:P6">LOGEST(N2:N8,M2:M8,TRUE, TRUE)</f>
        <v>1.040034811408084</v>
      </c>
      <c r="P2">
        <v>3.8686656448687768E-30</v>
      </c>
      <c r="Q2">
        <v>1939</v>
      </c>
      <c r="R2">
        <v>5930.9849029475199</v>
      </c>
      <c r="S2">
        <f t="array" ref="S2:T6">LOGEST(R2:R8,Q2:Q8,TRUE, TRUE)</f>
        <v>1.0324483320069933</v>
      </c>
      <c r="T2">
        <v>8.9592011903730974E-24</v>
      </c>
      <c r="U2">
        <v>1939</v>
      </c>
      <c r="V2">
        <v>5930.9849029475199</v>
      </c>
      <c r="W2">
        <f t="array" ref="W2:X6">LOGEST(V2:V8,U2:U8,TRUE, TRUE)</f>
        <v>1.0365094889974673</v>
      </c>
      <c r="X2">
        <v>3.3069801721992465E-27</v>
      </c>
      <c r="Y2">
        <v>1939</v>
      </c>
      <c r="Z2">
        <v>5930.9849029475199</v>
      </c>
      <c r="AA2">
        <f t="array" ref="AA2:AB6">LOGEST(Z2:Z8,Y2:Y8,TRUE, TRUE)</f>
        <v>1.0359874511521956</v>
      </c>
      <c r="AB2">
        <v>9.2586462432372841E-27</v>
      </c>
      <c r="AC2">
        <v>1939</v>
      </c>
      <c r="AD2">
        <v>5930.9849029475199</v>
      </c>
      <c r="AE2">
        <f t="array" ref="AE2:AF6">LOGEST(AD2:AD8,AC2:AC8,TRUE, TRUE)</f>
        <v>1.0378166696092015</v>
      </c>
      <c r="AF2">
        <v>3.0783046330753732E-28</v>
      </c>
      <c r="AG2">
        <v>1939</v>
      </c>
      <c r="AH2">
        <v>5930.9849029475199</v>
      </c>
      <c r="AI2">
        <f t="array" ref="AI2:AJ6">LOGEST(AH2:AH8,AG2:AG8,TRUE, TRUE)</f>
        <v>1.0347120308979751</v>
      </c>
      <c r="AJ2">
        <v>1.0273162982653671E-25</v>
      </c>
      <c r="AK2">
        <v>1939</v>
      </c>
      <c r="AL2">
        <v>5930.9849029475199</v>
      </c>
      <c r="AM2">
        <f t="array" ref="AM2:AN6">LOGEST(AL2:AL8,AK2:AK8,TRUE, TRUE)</f>
        <v>1.032335403785362</v>
      </c>
      <c r="AN2">
        <v>9.4051354744823612E-24</v>
      </c>
    </row>
    <row r="3" spans="1:40" x14ac:dyDescent="0.25">
      <c r="B3">
        <v>3.9254185100862447E-2</v>
      </c>
      <c r="C3" s="20">
        <v>0.85802545824068277</v>
      </c>
      <c r="D3">
        <v>30.217581532865704</v>
      </c>
      <c r="E3">
        <v>1951</v>
      </c>
      <c r="F3">
        <v>14827.462257368799</v>
      </c>
      <c r="G3">
        <v>7.3590625075574982E-3</v>
      </c>
      <c r="H3">
        <v>14.516708188876553</v>
      </c>
      <c r="I3">
        <v>1958</v>
      </c>
      <c r="J3">
        <v>4843.6376707404752</v>
      </c>
      <c r="K3">
        <v>9.6871935458880936E-3</v>
      </c>
      <c r="L3">
        <v>19.155337430672272</v>
      </c>
      <c r="M3">
        <v>1958</v>
      </c>
      <c r="N3">
        <v>4843.6376707404752</v>
      </c>
      <c r="O3">
        <v>7.14095201461744E-3</v>
      </c>
      <c r="P3">
        <v>14.108384464022203</v>
      </c>
      <c r="Q3">
        <v>1951</v>
      </c>
      <c r="R3">
        <v>14827.462257368799</v>
      </c>
      <c r="S3">
        <v>5.377886585294765E-3</v>
      </c>
      <c r="T3">
        <v>10.619773210041789</v>
      </c>
      <c r="U3">
        <v>1951</v>
      </c>
      <c r="V3">
        <v>14827.462257368799</v>
      </c>
      <c r="W3">
        <v>7.8425216461561215E-3</v>
      </c>
      <c r="X3">
        <v>15.477808074007585</v>
      </c>
      <c r="Y3">
        <v>1951</v>
      </c>
      <c r="Z3">
        <v>14827.462257368799</v>
      </c>
      <c r="AA3">
        <v>8.059446171246357E-3</v>
      </c>
      <c r="AB3">
        <v>15.897880150255611</v>
      </c>
      <c r="AC3">
        <v>1951</v>
      </c>
      <c r="AD3">
        <v>14827.462257368799</v>
      </c>
      <c r="AE3">
        <v>7.3272114024997082E-3</v>
      </c>
      <c r="AF3">
        <v>14.440883174124792</v>
      </c>
      <c r="AG3">
        <v>1951</v>
      </c>
      <c r="AH3">
        <v>14827.462257368799</v>
      </c>
      <c r="AI3">
        <v>8.6489683907412067E-3</v>
      </c>
      <c r="AJ3">
        <v>17.032144467855879</v>
      </c>
      <c r="AK3">
        <v>1951</v>
      </c>
      <c r="AL3">
        <v>14827.462257368799</v>
      </c>
      <c r="AM3">
        <v>1.0446019410151289E-2</v>
      </c>
      <c r="AN3">
        <v>20.546709068302416</v>
      </c>
    </row>
    <row r="4" spans="1:40" ht="16.5" thickBot="1" x14ac:dyDescent="0.3">
      <c r="B4">
        <v>3.1933002961210176E-2</v>
      </c>
      <c r="C4" s="20">
        <v>0.87580072507444739</v>
      </c>
      <c r="D4">
        <v>35.25788397715764</v>
      </c>
      <c r="E4">
        <v>1958</v>
      </c>
      <c r="F4">
        <v>4843.6376707404752</v>
      </c>
      <c r="G4">
        <v>0.79371394001344298</v>
      </c>
      <c r="H4">
        <v>0.47155457676233886</v>
      </c>
      <c r="I4">
        <v>1966</v>
      </c>
      <c r="J4">
        <v>18781.452192667144</v>
      </c>
      <c r="K4">
        <v>0.73825497584245958</v>
      </c>
      <c r="L4">
        <v>0.51473817620142459</v>
      </c>
      <c r="M4">
        <v>1966</v>
      </c>
      <c r="N4">
        <v>18781.452192667144</v>
      </c>
      <c r="O4">
        <v>0.85802545824068277</v>
      </c>
      <c r="P4">
        <v>0.42712888528044768</v>
      </c>
      <c r="Q4">
        <v>1966</v>
      </c>
      <c r="R4">
        <v>18781.452192667144</v>
      </c>
      <c r="S4">
        <v>0.87580072507444739</v>
      </c>
      <c r="T4">
        <v>0.33436939179881781</v>
      </c>
      <c r="U4">
        <v>1958</v>
      </c>
      <c r="V4">
        <v>4843.6376707404752</v>
      </c>
      <c r="W4">
        <v>0.80699785116251732</v>
      </c>
      <c r="X4">
        <v>0.49957012384409311</v>
      </c>
      <c r="Y4">
        <v>1958</v>
      </c>
      <c r="Z4">
        <v>4843.6376707404752</v>
      </c>
      <c r="AA4">
        <v>0.79376216070214833</v>
      </c>
      <c r="AB4">
        <v>0.5164158471282938</v>
      </c>
      <c r="AC4">
        <v>1958</v>
      </c>
      <c r="AD4">
        <v>4843.6376707404752</v>
      </c>
      <c r="AE4">
        <v>0.83694053952398162</v>
      </c>
      <c r="AF4">
        <v>0.45919047348098729</v>
      </c>
      <c r="AG4">
        <v>1958</v>
      </c>
      <c r="AH4">
        <v>4843.6376707404752</v>
      </c>
      <c r="AI4">
        <v>0.75687722124946188</v>
      </c>
      <c r="AJ4">
        <v>0.50983868728193427</v>
      </c>
      <c r="AK4">
        <v>1958</v>
      </c>
      <c r="AL4">
        <v>4843.6376707404752</v>
      </c>
      <c r="AM4">
        <v>0.64988586266806803</v>
      </c>
      <c r="AN4">
        <v>0.50345664700159309</v>
      </c>
    </row>
    <row r="5" spans="1:40" ht="17.25" thickTop="1" thickBot="1" x14ac:dyDescent="0.3">
      <c r="B5">
        <v>3.585880769739469E-2</v>
      </c>
      <c r="C5" s="20">
        <v>0.80699785116251732</v>
      </c>
      <c r="D5">
        <v>20.906447312201923</v>
      </c>
      <c r="E5">
        <v>1966</v>
      </c>
      <c r="F5">
        <v>18781.452192667144</v>
      </c>
      <c r="G5">
        <v>23.085823833132494</v>
      </c>
      <c r="H5">
        <v>6</v>
      </c>
      <c r="I5">
        <v>1973</v>
      </c>
      <c r="J5">
        <v>18781.452192667144</v>
      </c>
      <c r="K5" s="17">
        <v>14.102559890462611</v>
      </c>
      <c r="L5">
        <v>5</v>
      </c>
      <c r="M5">
        <v>1973</v>
      </c>
      <c r="N5">
        <v>18781.452192667144</v>
      </c>
      <c r="O5" s="17">
        <v>30.217581532865704</v>
      </c>
      <c r="P5">
        <v>5</v>
      </c>
      <c r="Q5">
        <v>1973</v>
      </c>
      <c r="R5">
        <v>18781.452192667144</v>
      </c>
      <c r="S5" s="17">
        <v>35.25788397715764</v>
      </c>
      <c r="T5">
        <v>5</v>
      </c>
      <c r="U5">
        <v>1973</v>
      </c>
      <c r="V5">
        <v>18781.452192667144</v>
      </c>
      <c r="W5" s="17">
        <v>20.906447312201923</v>
      </c>
      <c r="X5">
        <v>5</v>
      </c>
      <c r="Y5">
        <v>1966</v>
      </c>
      <c r="Z5">
        <v>18781.452192667144</v>
      </c>
      <c r="AA5" s="17">
        <v>19.243853683799149</v>
      </c>
      <c r="AB5">
        <v>5</v>
      </c>
      <c r="AC5">
        <v>1966</v>
      </c>
      <c r="AD5">
        <v>18781.452192667144</v>
      </c>
      <c r="AE5" s="17">
        <v>25.66366088421692</v>
      </c>
      <c r="AF5">
        <v>5</v>
      </c>
      <c r="AG5">
        <v>1966</v>
      </c>
      <c r="AH5">
        <v>18781.452192667144</v>
      </c>
      <c r="AI5" s="17">
        <v>15.565740592864685</v>
      </c>
      <c r="AJ5">
        <v>5</v>
      </c>
      <c r="AK5">
        <v>1966</v>
      </c>
      <c r="AL5">
        <v>18781.452192667144</v>
      </c>
      <c r="AM5" s="17">
        <v>9.2810571378317714</v>
      </c>
      <c r="AN5">
        <v>5</v>
      </c>
    </row>
    <row r="6" spans="1:40" ht="16.5" thickTop="1" x14ac:dyDescent="0.25">
      <c r="B6">
        <v>3.5355030976474924E-2</v>
      </c>
      <c r="C6" s="20">
        <v>0.79376216070214833</v>
      </c>
      <c r="D6">
        <v>19.243853683799149</v>
      </c>
      <c r="E6">
        <v>1973</v>
      </c>
      <c r="F6">
        <v>18781.452192667144</v>
      </c>
      <c r="G6">
        <v>5.1334496406093306</v>
      </c>
      <c r="H6">
        <v>1.3341823131930513</v>
      </c>
      <c r="I6">
        <v>1985</v>
      </c>
      <c r="J6">
        <v>17243.789440051121</v>
      </c>
      <c r="K6">
        <v>3.7365492563282596</v>
      </c>
      <c r="L6">
        <v>1.3247769501958442</v>
      </c>
      <c r="M6">
        <v>1985</v>
      </c>
      <c r="N6">
        <v>17243.789440051121</v>
      </c>
      <c r="O6">
        <v>5.5128679149183215</v>
      </c>
      <c r="P6">
        <v>0.91219542320458913</v>
      </c>
      <c r="Q6">
        <v>1985</v>
      </c>
      <c r="R6">
        <v>17243.789440051121</v>
      </c>
      <c r="S6">
        <v>3.9419333299921475</v>
      </c>
      <c r="T6">
        <v>0.55901445085955659</v>
      </c>
      <c r="U6">
        <v>1985</v>
      </c>
      <c r="V6">
        <v>17243.789440051121</v>
      </c>
      <c r="W6">
        <v>5.2176285082220097</v>
      </c>
      <c r="X6">
        <v>1.2478515431880126</v>
      </c>
      <c r="Y6">
        <v>1985</v>
      </c>
      <c r="Z6">
        <v>17243.789440051121</v>
      </c>
      <c r="AA6">
        <v>5.1320534155838562</v>
      </c>
      <c r="AB6">
        <v>1.3334266358261664</v>
      </c>
      <c r="AC6">
        <v>1973</v>
      </c>
      <c r="AD6">
        <v>18781.452192667144</v>
      </c>
      <c r="AE6">
        <v>5.4113340804130612</v>
      </c>
      <c r="AF6">
        <v>1.0542794546784664</v>
      </c>
      <c r="AG6">
        <v>1973</v>
      </c>
      <c r="AH6">
        <v>18781.452192667144</v>
      </c>
      <c r="AI6">
        <v>4.0460883622903676</v>
      </c>
      <c r="AJ6">
        <v>1.2996774352468297</v>
      </c>
      <c r="AK6">
        <v>1973</v>
      </c>
      <c r="AL6">
        <v>18781.452192667144</v>
      </c>
      <c r="AM6">
        <v>2.3524565166469786</v>
      </c>
      <c r="AN6">
        <v>1.2673429770504336</v>
      </c>
    </row>
    <row r="7" spans="1:40" x14ac:dyDescent="0.25">
      <c r="B7">
        <v>3.7119150271145256E-2</v>
      </c>
      <c r="C7" s="20">
        <v>0.83694053952398162</v>
      </c>
      <c r="D7">
        <v>25.66366088421692</v>
      </c>
      <c r="E7">
        <v>1985</v>
      </c>
      <c r="F7">
        <v>17243.789440051121</v>
      </c>
      <c r="G7" t="s">
        <v>268</v>
      </c>
      <c r="H7">
        <f>TINV(0.0455,H5)</f>
        <v>2.5165283481216276</v>
      </c>
      <c r="I7">
        <v>1996</v>
      </c>
      <c r="J7">
        <v>48436.376707404743</v>
      </c>
      <c r="K7" t="s">
        <v>268</v>
      </c>
      <c r="L7">
        <f>TINV(0.0455,L5)</f>
        <v>2.6486542542831191</v>
      </c>
      <c r="M7">
        <v>1996</v>
      </c>
      <c r="N7">
        <v>48436.376707404743</v>
      </c>
      <c r="O7" t="s">
        <v>268</v>
      </c>
      <c r="P7">
        <f>TINV(0.0455,P5)</f>
        <v>2.6486542542831191</v>
      </c>
      <c r="Q7">
        <v>1996</v>
      </c>
      <c r="R7">
        <v>48436.376707404743</v>
      </c>
      <c r="S7" t="s">
        <v>268</v>
      </c>
      <c r="T7">
        <f>TINV(0.0455,T5)</f>
        <v>2.6486542542831191</v>
      </c>
      <c r="U7">
        <v>1996</v>
      </c>
      <c r="V7">
        <v>48436.376707404743</v>
      </c>
      <c r="W7" t="s">
        <v>268</v>
      </c>
      <c r="X7">
        <f>TINV(0.0455,X5)</f>
        <v>2.6486542542831191</v>
      </c>
      <c r="Y7">
        <v>1996</v>
      </c>
      <c r="Z7">
        <v>48436.376707404743</v>
      </c>
      <c r="AA7" t="s">
        <v>268</v>
      </c>
      <c r="AB7">
        <f>TINV(0.0455,AB5)</f>
        <v>2.6486542542831191</v>
      </c>
      <c r="AC7">
        <v>1996</v>
      </c>
      <c r="AD7">
        <v>48436.376707404743</v>
      </c>
      <c r="AE7" t="s">
        <v>268</v>
      </c>
      <c r="AF7">
        <f>TINV(0.0455,AF5)</f>
        <v>2.6486542542831191</v>
      </c>
      <c r="AG7">
        <v>1985</v>
      </c>
      <c r="AH7">
        <v>17243.789440051121</v>
      </c>
      <c r="AI7" t="s">
        <v>268</v>
      </c>
      <c r="AJ7">
        <f>TINV(0.0455,AJ5)</f>
        <v>2.6486542542831191</v>
      </c>
      <c r="AK7">
        <v>1985</v>
      </c>
      <c r="AL7">
        <v>17243.789440051121</v>
      </c>
    </row>
    <row r="8" spans="1:40" x14ac:dyDescent="0.25">
      <c r="B8">
        <v>3.4123156987452982E-2</v>
      </c>
      <c r="C8" s="20">
        <v>0.75687722124946188</v>
      </c>
      <c r="D8">
        <v>15.565740592864685</v>
      </c>
      <c r="E8">
        <v>1996</v>
      </c>
      <c r="F8">
        <v>48436.376707404743</v>
      </c>
      <c r="G8" t="s">
        <v>269</v>
      </c>
      <c r="H8">
        <f>H7*G3</f>
        <v>1.8519289415867474E-2</v>
      </c>
      <c r="I8">
        <v>2012</v>
      </c>
      <c r="J8">
        <v>87185.478073328544</v>
      </c>
      <c r="K8" t="s">
        <v>269</v>
      </c>
      <c r="L8">
        <f>L7*K3</f>
        <v>2.5658026397380473E-2</v>
      </c>
      <c r="M8">
        <v>2012</v>
      </c>
      <c r="N8">
        <v>87185.478073328544</v>
      </c>
      <c r="O8" t="s">
        <v>269</v>
      </c>
      <c r="P8">
        <f>P7*O3</f>
        <v>1.8913912933148092E-2</v>
      </c>
      <c r="Q8">
        <v>2012</v>
      </c>
      <c r="R8">
        <v>87185.478073328544</v>
      </c>
      <c r="S8" t="s">
        <v>269</v>
      </c>
      <c r="T8">
        <f>T7*S3</f>
        <v>1.4244162183193096E-2</v>
      </c>
      <c r="U8">
        <v>2012</v>
      </c>
      <c r="V8">
        <v>87185.478073328544</v>
      </c>
      <c r="W8" t="s">
        <v>269</v>
      </c>
      <c r="X8">
        <f>X7*W3</f>
        <v>2.0772128322398862E-2</v>
      </c>
      <c r="Y8">
        <v>2012</v>
      </c>
      <c r="Z8">
        <v>87185.478073328544</v>
      </c>
      <c r="AA8" t="s">
        <v>269</v>
      </c>
      <c r="AB8">
        <f>AB7*AA3</f>
        <v>2.1346686388637459E-2</v>
      </c>
      <c r="AC8">
        <v>2012</v>
      </c>
      <c r="AD8">
        <v>87185.478073328544</v>
      </c>
      <c r="AE8" t="s">
        <v>269</v>
      </c>
      <c r="AF8">
        <f>AF7*AE3</f>
        <v>1.9407249653262633E-2</v>
      </c>
      <c r="AG8">
        <v>2012</v>
      </c>
      <c r="AH8">
        <v>87185.478073328544</v>
      </c>
      <c r="AI8" t="s">
        <v>269</v>
      </c>
      <c r="AJ8">
        <f>AJ7*AI3</f>
        <v>2.2908126923296919E-2</v>
      </c>
      <c r="AK8">
        <v>1996</v>
      </c>
      <c r="AL8">
        <v>48436.376707404743</v>
      </c>
    </row>
    <row r="9" spans="1:40" x14ac:dyDescent="0.25">
      <c r="B9">
        <v>3.1823617925105664E-2</v>
      </c>
      <c r="C9" s="20">
        <v>0.64988586266806803</v>
      </c>
      <c r="D9">
        <v>9.2810571378317714</v>
      </c>
      <c r="E9">
        <v>2012</v>
      </c>
      <c r="F9">
        <v>87185.478073328544</v>
      </c>
      <c r="G9" t="s">
        <v>270</v>
      </c>
      <c r="H9">
        <f>G2+H8</f>
        <v>1.0545104481061645</v>
      </c>
      <c r="K9" t="s">
        <v>270</v>
      </c>
      <c r="L9">
        <f>K2+L8</f>
        <v>1.0627065095006396</v>
      </c>
      <c r="O9" t="s">
        <v>270</v>
      </c>
      <c r="P9">
        <f>O2+P8</f>
        <v>1.0589487243412321</v>
      </c>
      <c r="S9" t="s">
        <v>270</v>
      </c>
      <c r="T9">
        <f>S2+T8</f>
        <v>1.0466924941901863</v>
      </c>
      <c r="W9" t="s">
        <v>270</v>
      </c>
      <c r="X9">
        <f>W2+X8</f>
        <v>1.0572816173198663</v>
      </c>
      <c r="AA9" t="s">
        <v>270</v>
      </c>
      <c r="AB9">
        <f>AA2+AB8</f>
        <v>1.0573341375408329</v>
      </c>
      <c r="AE9" t="s">
        <v>270</v>
      </c>
      <c r="AF9">
        <f>AE2+AF8</f>
        <v>1.0572239192624642</v>
      </c>
      <c r="AI9" t="s">
        <v>270</v>
      </c>
      <c r="AJ9">
        <f>AI2+AJ8</f>
        <v>1.0576201578212721</v>
      </c>
    </row>
    <row r="10" spans="1:40" x14ac:dyDescent="0.25">
      <c r="A10" t="s">
        <v>287</v>
      </c>
      <c r="B10" s="2">
        <f>AVERAGE(B2:B9)</f>
        <v>3.5230704163469184E-2</v>
      </c>
      <c r="C10" s="2">
        <f>AVERAGE(C2:C9)</f>
        <v>0.78956809930797078</v>
      </c>
      <c r="D10" s="2">
        <f>AVERAGE(D2:D9)</f>
        <v>21.279848126425048</v>
      </c>
      <c r="E10" s="2">
        <f>AVERAGE(E2:E9)</f>
        <v>1972.5</v>
      </c>
      <c r="F10" s="2">
        <f>AVERAGE(F2:F9)</f>
        <v>27003.829179646935</v>
      </c>
      <c r="G10" t="s">
        <v>271</v>
      </c>
      <c r="H10">
        <f>G2-H8</f>
        <v>1.0174718692744296</v>
      </c>
      <c r="K10" t="s">
        <v>271</v>
      </c>
      <c r="L10">
        <f>K2-L8</f>
        <v>1.0113904567058787</v>
      </c>
      <c r="O10" t="s">
        <v>271</v>
      </c>
      <c r="P10">
        <f>O2-P8</f>
        <v>1.0211208984749358</v>
      </c>
      <c r="S10" t="s">
        <v>271</v>
      </c>
      <c r="T10">
        <f>S2-T8</f>
        <v>1.0182041698238002</v>
      </c>
      <c r="W10" t="s">
        <v>271</v>
      </c>
      <c r="X10">
        <f>W2-X8</f>
        <v>1.0157373606750684</v>
      </c>
      <c r="AA10" t="s">
        <v>271</v>
      </c>
      <c r="AB10">
        <f>AA2-AB8</f>
        <v>1.0146407647635582</v>
      </c>
      <c r="AE10" t="s">
        <v>271</v>
      </c>
      <c r="AF10">
        <f>AE2-AF8</f>
        <v>1.0184094199559388</v>
      </c>
      <c r="AI10" t="s">
        <v>271</v>
      </c>
      <c r="AJ10">
        <f>AI2-AJ8</f>
        <v>1.0118039039746782</v>
      </c>
    </row>
    <row r="11" spans="1:40" x14ac:dyDescent="0.25">
      <c r="A11" t="s">
        <v>288</v>
      </c>
      <c r="B11" s="2">
        <f>STDEV(B2:B9)</f>
        <v>2.5408710843595581E-3</v>
      </c>
      <c r="C11" s="2">
        <f>STDEV(C2:C9)</f>
        <v>7.3582672273224153E-2</v>
      </c>
      <c r="D11" s="2">
        <f>STDEV(D2:D9)</f>
        <v>8.6759648046274549</v>
      </c>
      <c r="E11" s="2">
        <f>STDEV(E2:E9)</f>
        <v>24.219236746260783</v>
      </c>
      <c r="F11" s="2">
        <f>STDEV(F2:F9)</f>
        <v>27761.898516002795</v>
      </c>
      <c r="G11" t="s">
        <v>272</v>
      </c>
      <c r="H11" s="21">
        <f>LN(G2)</f>
        <v>3.5358609718150934E-2</v>
      </c>
      <c r="K11" t="s">
        <v>272</v>
      </c>
      <c r="L11" s="21">
        <f>LN(K2)</f>
        <v>3.6378681388107292E-2</v>
      </c>
      <c r="O11" t="s">
        <v>272</v>
      </c>
      <c r="P11" s="21">
        <f>LN(O2)</f>
        <v>3.9254185100862447E-2</v>
      </c>
      <c r="S11" t="s">
        <v>272</v>
      </c>
      <c r="T11" s="21">
        <f>LN(S2)</f>
        <v>3.1933002961210176E-2</v>
      </c>
      <c r="W11" t="s">
        <v>272</v>
      </c>
      <c r="X11" s="21">
        <f>LN(W2)</f>
        <v>3.585880769739469E-2</v>
      </c>
      <c r="AA11" t="s">
        <v>272</v>
      </c>
      <c r="AB11" s="21">
        <f>LN(AA2)</f>
        <v>3.5355030976474924E-2</v>
      </c>
      <c r="AE11" t="s">
        <v>272</v>
      </c>
      <c r="AF11" s="21">
        <f>LN(AE2)</f>
        <v>3.7119150271145256E-2</v>
      </c>
      <c r="AI11" t="s">
        <v>272</v>
      </c>
      <c r="AJ11" s="21">
        <f>LN(AI2)</f>
        <v>3.4123156987452982E-2</v>
      </c>
    </row>
    <row r="12" spans="1:40" x14ac:dyDescent="0.25">
      <c r="A12" t="s">
        <v>289</v>
      </c>
      <c r="B12" s="2">
        <f>MIN(B2:B9)</f>
        <v>3.1823617925105664E-2</v>
      </c>
      <c r="C12" s="2">
        <f>MIN(C2:C9)</f>
        <v>0.64988586266806803</v>
      </c>
      <c r="D12" s="2">
        <f>MIN(D2:D9)</f>
        <v>9.2810571378317714</v>
      </c>
      <c r="E12" s="2">
        <f>MIN(E2:E9)</f>
        <v>1939</v>
      </c>
      <c r="F12" s="2">
        <f>MIN(F2:F9)</f>
        <v>4843.6376707404752</v>
      </c>
      <c r="G12" t="s">
        <v>273</v>
      </c>
      <c r="H12" s="21">
        <f>LN(H9)</f>
        <v>5.3076629001561161E-2</v>
      </c>
      <c r="K12" t="s">
        <v>273</v>
      </c>
      <c r="L12" s="21">
        <f>LN(L9)</f>
        <v>6.0818964813566079E-2</v>
      </c>
      <c r="O12" t="s">
        <v>273</v>
      </c>
      <c r="P12" s="21">
        <f>LN(P9)</f>
        <v>5.7276646505799604E-2</v>
      </c>
      <c r="S12" t="s">
        <v>273</v>
      </c>
      <c r="T12" s="21">
        <f>LN(T9)</f>
        <v>4.5635186925490359E-2</v>
      </c>
      <c r="W12" t="s">
        <v>273</v>
      </c>
      <c r="X12" s="21">
        <f>LN(X9)</f>
        <v>5.5701102167920201E-2</v>
      </c>
      <c r="AA12" t="s">
        <v>273</v>
      </c>
      <c r="AB12" s="21">
        <f>LN(AB9)</f>
        <v>5.5750775703981549E-2</v>
      </c>
      <c r="AE12" t="s">
        <v>273</v>
      </c>
      <c r="AF12" s="21">
        <f>LN(AF9)</f>
        <v>5.5646528598432506E-2</v>
      </c>
      <c r="AI12" t="s">
        <v>273</v>
      </c>
      <c r="AJ12" s="21">
        <f>LN(AJ9)</f>
        <v>5.602124990080936E-2</v>
      </c>
    </row>
    <row r="13" spans="1:40" x14ac:dyDescent="0.25">
      <c r="A13" t="s">
        <v>290</v>
      </c>
      <c r="B13" s="2">
        <f>MAX(B2:B9)</f>
        <v>3.9254185100862447E-2</v>
      </c>
      <c r="C13" s="2">
        <f>MAX(C2:C9)</f>
        <v>0.87580072507444739</v>
      </c>
      <c r="D13" s="2">
        <f>MAX(D2:D9)</f>
        <v>35.25788397715764</v>
      </c>
      <c r="E13" s="2">
        <f>MAX(E2:E9)</f>
        <v>2012</v>
      </c>
      <c r="F13" s="2">
        <f>MAX(F2:F9)</f>
        <v>87185.478073328544</v>
      </c>
      <c r="G13" t="s">
        <v>274</v>
      </c>
      <c r="H13" s="21">
        <f>LN(H10)</f>
        <v>1.7320991047692757E-2</v>
      </c>
      <c r="K13" t="s">
        <v>274</v>
      </c>
      <c r="L13" s="21">
        <f>LN(L10)</f>
        <v>1.1326073892393457E-2</v>
      </c>
      <c r="O13" t="s">
        <v>274</v>
      </c>
      <c r="P13" s="21">
        <f>LN(P10)</f>
        <v>2.0900943998979231E-2</v>
      </c>
      <c r="S13" t="s">
        <v>274</v>
      </c>
      <c r="T13" s="21">
        <f>LN(T10)</f>
        <v>1.8040457767243688E-2</v>
      </c>
      <c r="W13" t="s">
        <v>274</v>
      </c>
      <c r="X13" s="21">
        <f>LN(X10)</f>
        <v>1.5614812465989494E-2</v>
      </c>
      <c r="AA13" t="s">
        <v>274</v>
      </c>
      <c r="AB13" s="21">
        <f>LN(AB10)</f>
        <v>1.4534623505719204E-2</v>
      </c>
      <c r="AE13" t="s">
        <v>274</v>
      </c>
      <c r="AF13" s="21">
        <f>LN(AF10)</f>
        <v>1.8242017978629343E-2</v>
      </c>
      <c r="AI13" t="s">
        <v>274</v>
      </c>
      <c r="AJ13" s="21">
        <f>LN(AJ10)</f>
        <v>1.1734781313281801E-2</v>
      </c>
    </row>
    <row r="14" spans="1:40" x14ac:dyDescent="0.25">
      <c r="A14" t="s">
        <v>291</v>
      </c>
      <c r="B14" s="2">
        <f>ABS(B13-B12)</f>
        <v>7.4305671757567832E-3</v>
      </c>
      <c r="C14" s="2">
        <f>ABS(C13-C12)</f>
        <v>0.22591486240637937</v>
      </c>
      <c r="D14" s="2">
        <f>ABS(D13-D12)</f>
        <v>25.976826839325867</v>
      </c>
      <c r="E14" s="2">
        <f>ABS(E13-E12)</f>
        <v>73</v>
      </c>
      <c r="F14" s="2">
        <f>ABS(F13-F12)</f>
        <v>82341.840402588074</v>
      </c>
      <c r="G14" t="s">
        <v>275</v>
      </c>
      <c r="H14" s="21">
        <f>H12-H11</f>
        <v>1.7718019283410227E-2</v>
      </c>
      <c r="K14" t="s">
        <v>275</v>
      </c>
      <c r="L14" s="21">
        <f>L12-L11</f>
        <v>2.4440283425458786E-2</v>
      </c>
      <c r="O14" t="s">
        <v>275</v>
      </c>
      <c r="P14" s="21">
        <f>P12-P11</f>
        <v>1.8022461404937157E-2</v>
      </c>
      <c r="S14" t="s">
        <v>275</v>
      </c>
      <c r="T14" s="21">
        <f>T12-T11</f>
        <v>1.3702183964280183E-2</v>
      </c>
      <c r="W14" t="s">
        <v>275</v>
      </c>
      <c r="X14" s="21">
        <f>X12-X11</f>
        <v>1.9842294470525511E-2</v>
      </c>
      <c r="AA14" t="s">
        <v>275</v>
      </c>
      <c r="AB14" s="21">
        <f>AB12-AB11</f>
        <v>2.0395744727506625E-2</v>
      </c>
      <c r="AE14" t="s">
        <v>275</v>
      </c>
      <c r="AF14" s="21">
        <f>AF12-AF11</f>
        <v>1.852737832728725E-2</v>
      </c>
      <c r="AI14" t="s">
        <v>275</v>
      </c>
      <c r="AJ14" s="21">
        <f>AJ12-AJ11</f>
        <v>2.1898092913356378E-2</v>
      </c>
    </row>
    <row r="15" spans="1:40" x14ac:dyDescent="0.25">
      <c r="A15" t="s">
        <v>292</v>
      </c>
      <c r="B15" s="2">
        <f>COUNT(B2:B9)</f>
        <v>8</v>
      </c>
      <c r="G15" t="s">
        <v>276</v>
      </c>
      <c r="H15" s="21">
        <f>H11-H13</f>
        <v>1.8037618670458177E-2</v>
      </c>
      <c r="K15" t="s">
        <v>276</v>
      </c>
      <c r="L15" s="21">
        <f>L11-L13</f>
        <v>2.5052607495713836E-2</v>
      </c>
      <c r="O15" t="s">
        <v>276</v>
      </c>
      <c r="P15" s="21">
        <f>P11-P13</f>
        <v>1.8353241101883216E-2</v>
      </c>
      <c r="S15" t="s">
        <v>276</v>
      </c>
      <c r="T15" s="21">
        <f>T11-T13</f>
        <v>1.3892545193966488E-2</v>
      </c>
      <c r="W15" t="s">
        <v>276</v>
      </c>
      <c r="X15" s="21">
        <f>X11-X13</f>
        <v>2.0243995231405194E-2</v>
      </c>
      <c r="AA15" t="s">
        <v>276</v>
      </c>
      <c r="AB15" s="21">
        <f>AB11-AB13</f>
        <v>2.0820407470755718E-2</v>
      </c>
      <c r="AE15" t="s">
        <v>276</v>
      </c>
      <c r="AF15" s="21">
        <f>AF11-AF13</f>
        <v>1.8877132292515912E-2</v>
      </c>
      <c r="AI15" t="s">
        <v>276</v>
      </c>
      <c r="AJ15" s="21">
        <f>AJ11-AJ13</f>
        <v>2.2388375674171179E-2</v>
      </c>
    </row>
    <row r="16" spans="1:40" x14ac:dyDescent="0.25">
      <c r="G16" t="s">
        <v>277</v>
      </c>
      <c r="H16" s="22">
        <f>AVERAGE(H14:H15)</f>
        <v>1.7877818976934204E-2</v>
      </c>
      <c r="K16" t="s">
        <v>277</v>
      </c>
      <c r="L16" s="22">
        <f>AVERAGE(L14:L15)</f>
        <v>2.4746445460586311E-2</v>
      </c>
      <c r="O16" t="s">
        <v>277</v>
      </c>
      <c r="P16" s="22">
        <f>AVERAGE(P14:P15)</f>
        <v>1.8187851253410187E-2</v>
      </c>
      <c r="S16" t="s">
        <v>277</v>
      </c>
      <c r="T16" s="22">
        <f>AVERAGE(T14:T15)</f>
        <v>1.3797364579123336E-2</v>
      </c>
      <c r="W16" t="s">
        <v>277</v>
      </c>
      <c r="X16" s="22">
        <f>AVERAGE(X14:X15)</f>
        <v>2.0043144850965353E-2</v>
      </c>
      <c r="AA16" t="s">
        <v>277</v>
      </c>
      <c r="AB16" s="22">
        <f>AVERAGE(AB14:AB15)</f>
        <v>2.0608076099131171E-2</v>
      </c>
      <c r="AE16" t="s">
        <v>277</v>
      </c>
      <c r="AF16" s="22">
        <f>AVERAGE(AF14:AF15)</f>
        <v>1.8702255309901581E-2</v>
      </c>
      <c r="AI16" t="s">
        <v>277</v>
      </c>
      <c r="AJ16" s="22">
        <f>AVERAGE(AJ14:AJ15)</f>
        <v>2.2143234293763778E-2</v>
      </c>
    </row>
    <row r="17" spans="7:36" x14ac:dyDescent="0.25">
      <c r="G17" t="s">
        <v>278</v>
      </c>
      <c r="H17">
        <f>TINV(0.3173,H5)</f>
        <v>1.0905949070768337</v>
      </c>
      <c r="K17" t="s">
        <v>278</v>
      </c>
      <c r="L17">
        <f>TINV(0.3173,L5)</f>
        <v>1.1105333938140243</v>
      </c>
      <c r="O17" t="s">
        <v>278</v>
      </c>
      <c r="P17">
        <f>TINV(0.3173,P5)</f>
        <v>1.1105333938140243</v>
      </c>
      <c r="S17" t="s">
        <v>278</v>
      </c>
      <c r="T17">
        <f>TINV(0.3173,T5)</f>
        <v>1.1105333938140243</v>
      </c>
      <c r="W17" t="s">
        <v>278</v>
      </c>
      <c r="X17">
        <f>TINV(0.3173,X5)</f>
        <v>1.1105333938140243</v>
      </c>
      <c r="AA17" t="s">
        <v>278</v>
      </c>
      <c r="AB17">
        <f>TINV(0.3173,AB5)</f>
        <v>1.1105333938140243</v>
      </c>
      <c r="AE17" t="s">
        <v>278</v>
      </c>
      <c r="AF17">
        <f>TINV(0.3173,AF5)</f>
        <v>1.1105333938140243</v>
      </c>
      <c r="AI17" t="s">
        <v>278</v>
      </c>
      <c r="AJ17">
        <f>TINV(0.3173,AJ5)</f>
        <v>1.1105333938140243</v>
      </c>
    </row>
    <row r="18" spans="7:36" x14ac:dyDescent="0.25">
      <c r="G18" t="s">
        <v>279</v>
      </c>
      <c r="H18">
        <f>H17*G3</f>
        <v>8.0257560916022798E-3</v>
      </c>
      <c r="K18" t="s">
        <v>279</v>
      </c>
      <c r="L18">
        <f>L17*K3</f>
        <v>1.0757951925048416E-2</v>
      </c>
      <c r="O18" t="s">
        <v>279</v>
      </c>
      <c r="P18">
        <f>P17*O3</f>
        <v>7.9302656758561997E-3</v>
      </c>
      <c r="S18" t="s">
        <v>279</v>
      </c>
      <c r="T18">
        <f>T17*S3</f>
        <v>5.9723226411143096E-3</v>
      </c>
      <c r="W18" t="s">
        <v>279</v>
      </c>
      <c r="X18">
        <f>X17*W3</f>
        <v>8.7093821797657057E-3</v>
      </c>
      <c r="AA18" t="s">
        <v>279</v>
      </c>
      <c r="AB18">
        <f>AB17*AA3</f>
        <v>8.9502841088156607E-3</v>
      </c>
      <c r="AE18" t="s">
        <v>279</v>
      </c>
      <c r="AF18">
        <f>AF17*AE3</f>
        <v>8.1371129460108167E-3</v>
      </c>
      <c r="AI18" t="s">
        <v>279</v>
      </c>
      <c r="AJ18">
        <f>AJ17*AI3</f>
        <v>9.6049682199600521E-3</v>
      </c>
    </row>
    <row r="19" spans="7:36" x14ac:dyDescent="0.25">
      <c r="G19" t="s">
        <v>280</v>
      </c>
      <c r="H19">
        <f>G2+H18</f>
        <v>1.0440169147818994</v>
      </c>
      <c r="K19" t="s">
        <v>280</v>
      </c>
      <c r="L19">
        <f>K2+L18</f>
        <v>1.0478064350283076</v>
      </c>
      <c r="O19" t="s">
        <v>280</v>
      </c>
      <c r="P19">
        <f>O2+P18</f>
        <v>1.0479650770839402</v>
      </c>
      <c r="S19" t="s">
        <v>280</v>
      </c>
      <c r="T19">
        <f>S2+T18</f>
        <v>1.0384206546481076</v>
      </c>
      <c r="W19" t="s">
        <v>280</v>
      </c>
      <c r="X19">
        <f>W2+X18</f>
        <v>1.045218871177233</v>
      </c>
      <c r="AA19" t="s">
        <v>280</v>
      </c>
      <c r="AB19">
        <f>AA2+AB18</f>
        <v>1.0449377352610112</v>
      </c>
      <c r="AE19" t="s">
        <v>280</v>
      </c>
      <c r="AF19">
        <f>AE2+AF18</f>
        <v>1.0459537825552123</v>
      </c>
      <c r="AI19" t="s">
        <v>280</v>
      </c>
      <c r="AJ19">
        <f>AI2+AJ18</f>
        <v>1.0443169991179353</v>
      </c>
    </row>
    <row r="20" spans="7:36" x14ac:dyDescent="0.25">
      <c r="G20" t="s">
        <v>281</v>
      </c>
      <c r="H20">
        <f>G2-H18</f>
        <v>1.0279654025986946</v>
      </c>
      <c r="K20" t="s">
        <v>281</v>
      </c>
      <c r="L20">
        <f>K2-L18</f>
        <v>1.0262905311782107</v>
      </c>
      <c r="O20" t="s">
        <v>281</v>
      </c>
      <c r="P20">
        <f>O2-P18</f>
        <v>1.0321045457322278</v>
      </c>
      <c r="S20" t="s">
        <v>281</v>
      </c>
      <c r="T20">
        <f>S2-T18</f>
        <v>1.0264760093658789</v>
      </c>
      <c r="W20" t="s">
        <v>281</v>
      </c>
      <c r="X20">
        <f>W2-X18</f>
        <v>1.0278001068177016</v>
      </c>
      <c r="AA20" t="s">
        <v>281</v>
      </c>
      <c r="AB20">
        <f>AA2-AB18</f>
        <v>1.02703716704338</v>
      </c>
      <c r="AE20" t="s">
        <v>281</v>
      </c>
      <c r="AF20">
        <f>AE2-AF18</f>
        <v>1.0296795566631907</v>
      </c>
      <c r="AI20" t="s">
        <v>281</v>
      </c>
      <c r="AJ20">
        <f>AI2-AJ18</f>
        <v>1.025107062678015</v>
      </c>
    </row>
    <row r="21" spans="7:36" x14ac:dyDescent="0.25">
      <c r="G21" t="s">
        <v>272</v>
      </c>
      <c r="H21" s="21">
        <f>LN(G2)</f>
        <v>3.5358609718150934E-2</v>
      </c>
      <c r="K21" t="s">
        <v>272</v>
      </c>
      <c r="L21" s="21">
        <f>LN(K2)</f>
        <v>3.6378681388107292E-2</v>
      </c>
      <c r="O21" t="s">
        <v>272</v>
      </c>
      <c r="P21" s="21">
        <f>LN(O2)</f>
        <v>3.9254185100862447E-2</v>
      </c>
      <c r="S21" t="s">
        <v>272</v>
      </c>
      <c r="T21" s="21">
        <f>LN(S2)</f>
        <v>3.1933002961210176E-2</v>
      </c>
      <c r="W21" t="s">
        <v>272</v>
      </c>
      <c r="X21" s="21">
        <f>LN(W2)</f>
        <v>3.585880769739469E-2</v>
      </c>
      <c r="AA21" t="s">
        <v>272</v>
      </c>
      <c r="AB21" s="21">
        <f>LN(AA2)</f>
        <v>3.5355030976474924E-2</v>
      </c>
      <c r="AE21" t="s">
        <v>272</v>
      </c>
      <c r="AF21" s="21">
        <f>LN(AE2)</f>
        <v>3.7119150271145256E-2</v>
      </c>
      <c r="AI21" t="s">
        <v>272</v>
      </c>
      <c r="AJ21" s="21">
        <f>LN(AI2)</f>
        <v>3.4123156987452982E-2</v>
      </c>
    </row>
    <row r="22" spans="7:36" x14ac:dyDescent="0.25">
      <c r="G22" t="s">
        <v>282</v>
      </c>
      <c r="H22" s="21">
        <f>LN(H19)</f>
        <v>4.3075691227568706E-2</v>
      </c>
      <c r="K22" t="s">
        <v>282</v>
      </c>
      <c r="L22" s="21">
        <f>LN(L19)</f>
        <v>4.6698869439345758E-2</v>
      </c>
      <c r="O22" t="s">
        <v>282</v>
      </c>
      <c r="P22" s="21">
        <f>LN(P19)</f>
        <v>4.6850261950426943E-2</v>
      </c>
      <c r="S22" t="s">
        <v>282</v>
      </c>
      <c r="T22" s="21">
        <f>LN(T19)</f>
        <v>3.7700957609725472E-2</v>
      </c>
      <c r="W22" t="s">
        <v>282</v>
      </c>
      <c r="X22" s="21">
        <f>LN(X19)</f>
        <v>4.4226309588616841E-2</v>
      </c>
      <c r="AA22" t="s">
        <v>282</v>
      </c>
      <c r="AB22" s="21">
        <f>LN(AB19)</f>
        <v>4.3957300159322192E-2</v>
      </c>
      <c r="AE22" t="s">
        <v>282</v>
      </c>
      <c r="AF22" s="21">
        <f>LN(AF19)</f>
        <v>4.4929179728892515E-2</v>
      </c>
      <c r="AI22" t="s">
        <v>282</v>
      </c>
      <c r="AJ22" s="21">
        <f>LN(AJ19)</f>
        <v>4.3363082373308361E-2</v>
      </c>
    </row>
    <row r="23" spans="7:36" x14ac:dyDescent="0.25">
      <c r="G23" t="s">
        <v>283</v>
      </c>
      <c r="H23" s="21">
        <f>LN(H20)</f>
        <v>2.7581511406993556E-2</v>
      </c>
      <c r="K23" t="s">
        <v>283</v>
      </c>
      <c r="L23" s="21">
        <f>LN(L20)</f>
        <v>2.595087545354207E-2</v>
      </c>
      <c r="O23" t="s">
        <v>283</v>
      </c>
      <c r="P23" s="21">
        <f>LN(P20)</f>
        <v>3.1599965932563555E-2</v>
      </c>
      <c r="S23" t="s">
        <v>283</v>
      </c>
      <c r="T23" s="21">
        <f>LN(T20)</f>
        <v>2.613158590892958E-2</v>
      </c>
      <c r="W23" t="s">
        <v>283</v>
      </c>
      <c r="X23" s="21">
        <f>LN(X20)</f>
        <v>2.7420699504476381E-2</v>
      </c>
      <c r="AA23" t="s">
        <v>283</v>
      </c>
      <c r="AB23" s="21">
        <f>LN(AB20)</f>
        <v>2.6678120207239229E-2</v>
      </c>
      <c r="AE23" t="s">
        <v>283</v>
      </c>
      <c r="AF23" s="21">
        <f>LN(AF20)</f>
        <v>2.9247643801040283E-2</v>
      </c>
      <c r="AI23" t="s">
        <v>283</v>
      </c>
      <c r="AJ23" s="21">
        <f>LN(AJ20)</f>
        <v>2.4797058528889918E-2</v>
      </c>
    </row>
    <row r="24" spans="7:36" x14ac:dyDescent="0.25">
      <c r="G24" t="s">
        <v>284</v>
      </c>
      <c r="H24" s="21">
        <f>H22-H21</f>
        <v>7.7170815094177725E-3</v>
      </c>
      <c r="K24" t="s">
        <v>284</v>
      </c>
      <c r="L24" s="21">
        <f>L22-L21</f>
        <v>1.0320188051238466E-2</v>
      </c>
      <c r="O24" t="s">
        <v>284</v>
      </c>
      <c r="P24" s="21">
        <f>P22-P21</f>
        <v>7.5960768495644954E-3</v>
      </c>
      <c r="S24" t="s">
        <v>284</v>
      </c>
      <c r="T24" s="21">
        <f>T22-T21</f>
        <v>5.7679546485152958E-3</v>
      </c>
      <c r="W24" t="s">
        <v>284</v>
      </c>
      <c r="X24" s="21">
        <f>X22-X21</f>
        <v>8.367501891222151E-3</v>
      </c>
      <c r="AA24" t="s">
        <v>284</v>
      </c>
      <c r="AB24" s="21">
        <f>AB22-AB21</f>
        <v>8.6022691828472678E-3</v>
      </c>
      <c r="AE24" t="s">
        <v>284</v>
      </c>
      <c r="AF24" s="21">
        <f>AF22-AF21</f>
        <v>7.8100294577472598E-3</v>
      </c>
      <c r="AI24" t="s">
        <v>284</v>
      </c>
      <c r="AJ24" s="21">
        <f>AJ22-AJ21</f>
        <v>9.2399253858553784E-3</v>
      </c>
    </row>
    <row r="25" spans="7:36" x14ac:dyDescent="0.25">
      <c r="G25" t="s">
        <v>285</v>
      </c>
      <c r="H25" s="21">
        <f>H21-H23</f>
        <v>7.7770983111573773E-3</v>
      </c>
      <c r="K25" t="s">
        <v>285</v>
      </c>
      <c r="L25" s="21">
        <f>L21-L23</f>
        <v>1.0427805934565222E-2</v>
      </c>
      <c r="O25" t="s">
        <v>285</v>
      </c>
      <c r="P25" s="21">
        <f>P21-P23</f>
        <v>7.6542191682988925E-3</v>
      </c>
      <c r="S25" t="s">
        <v>285</v>
      </c>
      <c r="T25" s="21">
        <f>T21-T23</f>
        <v>5.8014170522805962E-3</v>
      </c>
      <c r="W25" t="s">
        <v>285</v>
      </c>
      <c r="X25" s="21">
        <f>X21-X23</f>
        <v>8.4381081929183095E-3</v>
      </c>
      <c r="AA25" t="s">
        <v>285</v>
      </c>
      <c r="AB25" s="21">
        <f>AB21-AB23</f>
        <v>8.6769107692356955E-3</v>
      </c>
      <c r="AE25" t="s">
        <v>285</v>
      </c>
      <c r="AF25" s="21">
        <f>AF21-AF23</f>
        <v>7.8715064701049726E-3</v>
      </c>
      <c r="AI25" t="s">
        <v>285</v>
      </c>
      <c r="AJ25" s="21">
        <f>AJ21-AJ23</f>
        <v>9.3260984585630639E-3</v>
      </c>
    </row>
    <row r="26" spans="7:36" x14ac:dyDescent="0.25">
      <c r="G26" t="s">
        <v>286</v>
      </c>
      <c r="H26" s="22">
        <f>AVERAGE(H24:H25)</f>
        <v>7.7470899102875749E-3</v>
      </c>
      <c r="K26" t="s">
        <v>286</v>
      </c>
      <c r="L26" s="22">
        <f>AVERAGE(L24:L25)</f>
        <v>1.0373996992901844E-2</v>
      </c>
      <c r="O26" t="s">
        <v>286</v>
      </c>
      <c r="P26" s="22">
        <f>AVERAGE(P24:P25)</f>
        <v>7.6251480089316939E-3</v>
      </c>
      <c r="S26" t="s">
        <v>286</v>
      </c>
      <c r="T26" s="22">
        <f>AVERAGE(T24:T25)</f>
        <v>5.784685850397946E-3</v>
      </c>
      <c r="W26" t="s">
        <v>286</v>
      </c>
      <c r="X26" s="22">
        <f>AVERAGE(X24:X25)</f>
        <v>8.4028050420702303E-3</v>
      </c>
      <c r="AA26" t="s">
        <v>286</v>
      </c>
      <c r="AB26" s="22">
        <f>AVERAGE(AB24:AB25)</f>
        <v>8.6395899760414816E-3</v>
      </c>
      <c r="AE26" t="s">
        <v>286</v>
      </c>
      <c r="AF26" s="22">
        <f>AVERAGE(AF24:AF25)</f>
        <v>7.8407679639261162E-3</v>
      </c>
      <c r="AI26" t="s">
        <v>286</v>
      </c>
      <c r="AJ26" s="22">
        <f>AVERAGE(AJ24:AJ25)</f>
        <v>9.2830119222092212E-3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F10" sqref="F10"/>
    </sheetView>
  </sheetViews>
  <sheetFormatPr defaultColWidth="11" defaultRowHeight="15.75" x14ac:dyDescent="0.25"/>
  <sheetData>
    <row r="1" spans="1:2" x14ac:dyDescent="0.25">
      <c r="A1" t="s">
        <v>0</v>
      </c>
      <c r="B1" t="s">
        <v>2</v>
      </c>
    </row>
    <row r="2" spans="1:2" x14ac:dyDescent="0.25">
      <c r="A2">
        <v>1939</v>
      </c>
      <c r="B2" s="25">
        <v>5930.9849029475199</v>
      </c>
    </row>
    <row r="3" spans="1:2" x14ac:dyDescent="0.25">
      <c r="A3">
        <v>1951</v>
      </c>
      <c r="B3" s="25">
        <v>14827.462257368799</v>
      </c>
    </row>
    <row r="4" spans="1:2" x14ac:dyDescent="0.25">
      <c r="A4">
        <v>1958</v>
      </c>
      <c r="B4" s="25">
        <v>4843.6376707404752</v>
      </c>
    </row>
    <row r="5" spans="1:2" x14ac:dyDescent="0.25">
      <c r="A5">
        <v>1966</v>
      </c>
      <c r="B5" s="25">
        <v>18781.452192667144</v>
      </c>
    </row>
    <row r="6" spans="1:2" x14ac:dyDescent="0.25">
      <c r="A6">
        <v>1973</v>
      </c>
      <c r="B6" s="25">
        <v>18781.452192667144</v>
      </c>
    </row>
    <row r="7" spans="1:2" x14ac:dyDescent="0.25">
      <c r="A7">
        <v>1985</v>
      </c>
      <c r="B7" s="25">
        <v>17243.789440051121</v>
      </c>
    </row>
    <row r="8" spans="1:2" x14ac:dyDescent="0.25">
      <c r="A8">
        <v>1996</v>
      </c>
      <c r="B8" s="25">
        <v>48436.376707404743</v>
      </c>
    </row>
    <row r="9" spans="1:2" x14ac:dyDescent="0.25">
      <c r="A9">
        <v>2012</v>
      </c>
      <c r="B9" s="25">
        <v>87185.478073328544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5"/>
  <sheetViews>
    <sheetView topLeftCell="F1" workbookViewId="0">
      <pane ySplit="555" topLeftCell="A66" activePane="bottomLeft"/>
      <selection activeCell="W1" sqref="W1"/>
      <selection pane="bottomLeft" activeCell="I71" sqref="I71"/>
    </sheetView>
  </sheetViews>
  <sheetFormatPr defaultColWidth="11" defaultRowHeight="15.75" x14ac:dyDescent="0.25"/>
  <cols>
    <col min="4" max="4" width="27.125" customWidth="1"/>
    <col min="5" max="5" width="213.5" customWidth="1"/>
    <col min="8" max="8" width="12" bestFit="1" customWidth="1"/>
    <col min="9" max="9" width="21.375" bestFit="1" customWidth="1"/>
    <col min="10" max="10" width="13.375" bestFit="1" customWidth="1"/>
    <col min="11" max="11" width="21.375" bestFit="1" customWidth="1"/>
    <col min="12" max="12" width="18.125" bestFit="1" customWidth="1"/>
    <col min="25" max="25" width="13.125" bestFit="1" customWidth="1"/>
  </cols>
  <sheetData>
    <row r="1" spans="1:62" x14ac:dyDescent="0.25">
      <c r="A1" s="2" t="s">
        <v>3</v>
      </c>
      <c r="B1" s="2" t="s">
        <v>4</v>
      </c>
      <c r="C1" s="2" t="s">
        <v>5</v>
      </c>
      <c r="D1" s="1" t="s">
        <v>6</v>
      </c>
      <c r="E1" s="3" t="s">
        <v>7</v>
      </c>
      <c r="F1" s="2" t="s">
        <v>3</v>
      </c>
      <c r="G1" s="2" t="s">
        <v>0</v>
      </c>
      <c r="H1" s="4" t="s">
        <v>8</v>
      </c>
      <c r="I1" s="1" t="s">
        <v>9</v>
      </c>
      <c r="J1" s="1" t="s">
        <v>10</v>
      </c>
      <c r="K1" s="1" t="s">
        <v>11</v>
      </c>
      <c r="L1" s="1" t="s">
        <v>12</v>
      </c>
      <c r="M1" s="1" t="s">
        <v>13</v>
      </c>
      <c r="N1" s="1" t="s">
        <v>14</v>
      </c>
      <c r="O1" s="1" t="s">
        <v>15</v>
      </c>
      <c r="P1" s="1" t="s">
        <v>16</v>
      </c>
      <c r="Q1" s="1" t="s">
        <v>17</v>
      </c>
      <c r="R1" s="1" t="s">
        <v>18</v>
      </c>
      <c r="S1" s="1" t="s">
        <v>2</v>
      </c>
      <c r="T1" s="1" t="s">
        <v>19</v>
      </c>
      <c r="U1" s="1" t="s">
        <v>20</v>
      </c>
      <c r="V1" s="1" t="s">
        <v>21</v>
      </c>
      <c r="W1" s="1" t="s">
        <v>22</v>
      </c>
      <c r="X1" s="1" t="s">
        <v>23</v>
      </c>
      <c r="Y1" s="1" t="s">
        <v>24</v>
      </c>
      <c r="Z1" s="1" t="s">
        <v>1</v>
      </c>
      <c r="AA1" s="1" t="s">
        <v>25</v>
      </c>
      <c r="AB1" s="1" t="s">
        <v>26</v>
      </c>
      <c r="AC1" s="1" t="s">
        <v>27</v>
      </c>
      <c r="AD1" s="1" t="s">
        <v>28</v>
      </c>
      <c r="AE1" s="1" t="s">
        <v>29</v>
      </c>
      <c r="AF1" s="1" t="s">
        <v>30</v>
      </c>
      <c r="AG1" s="1" t="s">
        <v>31</v>
      </c>
      <c r="AH1" s="1" t="s">
        <v>32</v>
      </c>
      <c r="BI1" s="1" t="s">
        <v>0</v>
      </c>
      <c r="BJ1" s="1" t="s">
        <v>33</v>
      </c>
    </row>
    <row r="2" spans="1:62" x14ac:dyDescent="0.25">
      <c r="A2" s="5">
        <v>10410</v>
      </c>
      <c r="B2" s="6"/>
      <c r="C2" s="6" t="s">
        <v>34</v>
      </c>
      <c r="D2" s="6" t="s">
        <v>35</v>
      </c>
      <c r="E2" s="7" t="s">
        <v>36</v>
      </c>
      <c r="F2" s="5">
        <v>10410</v>
      </c>
      <c r="G2" s="8">
        <f>YEAR(F2)</f>
        <v>1928</v>
      </c>
      <c r="H2" s="9"/>
      <c r="I2" s="9"/>
      <c r="K2">
        <v>14</v>
      </c>
      <c r="O2">
        <f>AVERAGE(K2)</f>
        <v>14</v>
      </c>
      <c r="U2" t="str">
        <f>IFERROR(O2/T2,"")</f>
        <v/>
      </c>
      <c r="W2">
        <v>5.0581818181818182E-4</v>
      </c>
      <c r="X2">
        <f>O2/W2</f>
        <v>27677.929547088424</v>
      </c>
      <c r="AF2" t="str">
        <f t="shared" ref="AF2:AF65" si="0">IFERROR(H2*L2/(M2*N2),"")</f>
        <v/>
      </c>
      <c r="AH2">
        <v>27677.929547088424</v>
      </c>
      <c r="BI2">
        <v>1928</v>
      </c>
      <c r="BJ2">
        <f>COUNTIF($G$2:$G$101,BI2)</f>
        <v>1</v>
      </c>
    </row>
    <row r="3" spans="1:62" x14ac:dyDescent="0.25">
      <c r="A3" s="5">
        <v>14366</v>
      </c>
      <c r="B3" s="6"/>
      <c r="C3" s="6" t="s">
        <v>34</v>
      </c>
      <c r="D3" s="6" t="s">
        <v>37</v>
      </c>
      <c r="E3" s="7" t="s">
        <v>38</v>
      </c>
      <c r="F3" s="5">
        <v>14366</v>
      </c>
      <c r="G3" s="8">
        <f>YEAR(F3)</f>
        <v>1939</v>
      </c>
      <c r="H3" s="9">
        <v>3</v>
      </c>
      <c r="I3" s="9"/>
      <c r="J3">
        <v>1500</v>
      </c>
      <c r="K3">
        <v>30</v>
      </c>
      <c r="O3">
        <f>AVERAGE(K3:K6)</f>
        <v>94.800000000000011</v>
      </c>
      <c r="P3">
        <f>AVERAGE(H3:H6)</f>
        <v>3</v>
      </c>
      <c r="S3">
        <f>P3/W3</f>
        <v>5930.9849029475199</v>
      </c>
      <c r="U3" t="str">
        <f>IFERROR(O3/T3,"")</f>
        <v/>
      </c>
      <c r="W3">
        <v>5.0581818181818182E-4</v>
      </c>
      <c r="X3">
        <f>O3/W3</f>
        <v>187419.12293314165</v>
      </c>
      <c r="AA3">
        <v>5930.9849029475199</v>
      </c>
      <c r="AD3">
        <f>IFERROR(J3*K3,"")</f>
        <v>45000</v>
      </c>
      <c r="AF3" t="str">
        <f t="shared" si="0"/>
        <v/>
      </c>
      <c r="AH3">
        <v>187419.12293314165</v>
      </c>
      <c r="BI3">
        <v>1929</v>
      </c>
    </row>
    <row r="4" spans="1:62" x14ac:dyDescent="0.25">
      <c r="A4" s="5">
        <v>14366</v>
      </c>
      <c r="B4" s="6"/>
      <c r="C4" s="6" t="s">
        <v>34</v>
      </c>
      <c r="D4" s="6"/>
      <c r="E4" s="7" t="s">
        <v>39</v>
      </c>
      <c r="F4" s="5">
        <v>14366</v>
      </c>
      <c r="G4" s="8">
        <f t="shared" ref="G4:G67" si="1">YEAR(F4)</f>
        <v>1939</v>
      </c>
      <c r="H4" s="9"/>
      <c r="I4" s="9">
        <v>3</v>
      </c>
      <c r="J4">
        <v>17</v>
      </c>
      <c r="K4">
        <f>13.3*12</f>
        <v>159.60000000000002</v>
      </c>
      <c r="AD4">
        <f>IFERROR(J4*K4,"")</f>
        <v>2713.2000000000003</v>
      </c>
      <c r="AF4" t="str">
        <f t="shared" si="0"/>
        <v/>
      </c>
      <c r="BI4">
        <v>1930</v>
      </c>
    </row>
    <row r="5" spans="1:62" x14ac:dyDescent="0.25">
      <c r="A5" s="5">
        <v>14366</v>
      </c>
      <c r="B5" s="6"/>
      <c r="C5" s="6" t="s">
        <v>34</v>
      </c>
      <c r="D5" s="6" t="s">
        <v>40</v>
      </c>
      <c r="E5" s="7" t="s">
        <v>41</v>
      </c>
      <c r="F5" s="5">
        <v>14366</v>
      </c>
      <c r="G5" s="8">
        <f t="shared" si="1"/>
        <v>1939</v>
      </c>
      <c r="H5" s="9"/>
      <c r="I5" s="9"/>
      <c r="AF5" t="str">
        <f t="shared" si="0"/>
        <v/>
      </c>
      <c r="BI5">
        <v>1931</v>
      </c>
    </row>
    <row r="6" spans="1:62" x14ac:dyDescent="0.25">
      <c r="A6" s="10">
        <v>14366</v>
      </c>
      <c r="C6" t="s">
        <v>42</v>
      </c>
      <c r="D6" t="s">
        <v>43</v>
      </c>
      <c r="E6" s="7" t="s">
        <v>44</v>
      </c>
      <c r="F6" s="10">
        <v>14366</v>
      </c>
      <c r="G6" s="8">
        <f t="shared" si="1"/>
        <v>1939</v>
      </c>
      <c r="H6" s="9"/>
      <c r="I6" s="9">
        <f>1+5/8</f>
        <v>1.625</v>
      </c>
      <c r="J6">
        <v>4800</v>
      </c>
      <c r="AF6" t="str">
        <f t="shared" si="0"/>
        <v/>
      </c>
      <c r="BI6">
        <v>1932</v>
      </c>
    </row>
    <row r="7" spans="1:62" x14ac:dyDescent="0.25">
      <c r="A7" s="5">
        <v>16589</v>
      </c>
      <c r="B7" s="6"/>
      <c r="C7" s="6" t="s">
        <v>34</v>
      </c>
      <c r="D7" s="6" t="s">
        <v>45</v>
      </c>
      <c r="E7" s="7" t="s">
        <v>46</v>
      </c>
      <c r="F7" s="5">
        <v>16589</v>
      </c>
      <c r="G7" s="8">
        <f t="shared" si="1"/>
        <v>1945</v>
      </c>
      <c r="H7" s="9"/>
      <c r="I7" s="9">
        <v>1.25</v>
      </c>
      <c r="J7">
        <v>380</v>
      </c>
      <c r="K7" s="9"/>
      <c r="O7" s="9"/>
      <c r="P7" s="9"/>
      <c r="Q7" s="9"/>
      <c r="R7" s="9"/>
      <c r="S7" s="9"/>
      <c r="T7" s="9"/>
      <c r="U7" t="str">
        <f>IFERROR(O7/T7,"")</f>
        <v/>
      </c>
      <c r="W7">
        <v>5.0581818181818182E-4</v>
      </c>
      <c r="AF7" t="str">
        <f t="shared" si="0"/>
        <v/>
      </c>
      <c r="BI7">
        <v>1933</v>
      </c>
    </row>
    <row r="8" spans="1:62" x14ac:dyDescent="0.25">
      <c r="A8" s="5">
        <v>16589</v>
      </c>
      <c r="B8" s="6"/>
      <c r="C8" s="6" t="s">
        <v>34</v>
      </c>
      <c r="D8" s="6" t="s">
        <v>47</v>
      </c>
      <c r="E8" s="7" t="s">
        <v>48</v>
      </c>
      <c r="F8" s="5">
        <v>16589</v>
      </c>
      <c r="G8" s="8">
        <f t="shared" si="1"/>
        <v>1945</v>
      </c>
      <c r="H8" s="9"/>
      <c r="I8" s="9"/>
      <c r="AF8" t="str">
        <f t="shared" si="0"/>
        <v/>
      </c>
      <c r="BI8">
        <v>1934</v>
      </c>
    </row>
    <row r="9" spans="1:62" x14ac:dyDescent="0.25">
      <c r="A9" s="5">
        <v>18780</v>
      </c>
      <c r="B9" s="6"/>
      <c r="C9" s="6" t="s">
        <v>34</v>
      </c>
      <c r="D9" s="6" t="s">
        <v>49</v>
      </c>
      <c r="E9" s="7" t="s">
        <v>50</v>
      </c>
      <c r="F9" s="5">
        <v>18780</v>
      </c>
      <c r="G9" s="8">
        <f t="shared" si="1"/>
        <v>1951</v>
      </c>
      <c r="H9" s="9"/>
      <c r="I9" s="9"/>
      <c r="J9">
        <v>2000</v>
      </c>
      <c r="O9">
        <f>AVERAGE(K9:K12)</f>
        <v>20</v>
      </c>
      <c r="P9">
        <f>AVERAGE(H9:H12)</f>
        <v>7.5</v>
      </c>
      <c r="S9">
        <f>P9/W9</f>
        <v>14827.462257368799</v>
      </c>
      <c r="U9" t="str">
        <f>IFERROR(O9/T9,"")</f>
        <v/>
      </c>
      <c r="W9">
        <v>5.0581818181818182E-4</v>
      </c>
      <c r="X9">
        <f>O9/W9</f>
        <v>39539.899352983462</v>
      </c>
      <c r="AA9">
        <v>14827.462257368799</v>
      </c>
      <c r="AF9" t="str">
        <f t="shared" si="0"/>
        <v/>
      </c>
      <c r="AH9">
        <v>39539.899352983462</v>
      </c>
      <c r="BI9">
        <v>1935</v>
      </c>
    </row>
    <row r="10" spans="1:62" x14ac:dyDescent="0.25">
      <c r="A10" s="5">
        <v>18780</v>
      </c>
      <c r="B10" s="6"/>
      <c r="C10" s="6" t="s">
        <v>34</v>
      </c>
      <c r="D10" s="6" t="s">
        <v>51</v>
      </c>
      <c r="E10" s="7" t="s">
        <v>52</v>
      </c>
      <c r="F10" s="5">
        <v>18780</v>
      </c>
      <c r="G10" s="8">
        <f t="shared" si="1"/>
        <v>1951</v>
      </c>
      <c r="H10" s="9"/>
      <c r="I10" s="9"/>
      <c r="L10">
        <f>PI()*((33*12)/2)^2</f>
        <v>123162.99839133424</v>
      </c>
      <c r="AF10" t="str">
        <f t="shared" si="0"/>
        <v/>
      </c>
      <c r="BI10">
        <v>1936</v>
      </c>
    </row>
    <row r="11" spans="1:62" x14ac:dyDescent="0.25">
      <c r="A11" s="5">
        <v>18780</v>
      </c>
      <c r="B11" s="6"/>
      <c r="C11" s="6" t="s">
        <v>34</v>
      </c>
      <c r="D11" s="6" t="s">
        <v>53</v>
      </c>
      <c r="E11" s="7" t="s">
        <v>54</v>
      </c>
      <c r="F11" s="5">
        <v>18780</v>
      </c>
      <c r="G11" s="8">
        <f t="shared" si="1"/>
        <v>1951</v>
      </c>
      <c r="H11" s="9"/>
      <c r="I11" s="9"/>
      <c r="J11">
        <v>5000</v>
      </c>
      <c r="L11">
        <f>21*30</f>
        <v>630</v>
      </c>
      <c r="AF11" t="str">
        <f t="shared" si="0"/>
        <v/>
      </c>
      <c r="BI11">
        <v>1937</v>
      </c>
    </row>
    <row r="12" spans="1:62" x14ac:dyDescent="0.25">
      <c r="A12" s="10">
        <v>18780</v>
      </c>
      <c r="C12" t="s">
        <v>55</v>
      </c>
      <c r="D12" t="s">
        <v>56</v>
      </c>
      <c r="E12" s="7" t="s">
        <v>57</v>
      </c>
      <c r="F12" s="10">
        <v>18780</v>
      </c>
      <c r="G12" s="8">
        <f t="shared" si="1"/>
        <v>1951</v>
      </c>
      <c r="H12" s="9">
        <v>7.5</v>
      </c>
      <c r="I12" s="9"/>
      <c r="J12">
        <v>2000</v>
      </c>
      <c r="K12">
        <v>20</v>
      </c>
      <c r="AD12">
        <f>IFERROR(J12*K12,"")</f>
        <v>40000</v>
      </c>
      <c r="AF12" t="str">
        <f t="shared" si="0"/>
        <v/>
      </c>
      <c r="BI12">
        <v>1938</v>
      </c>
    </row>
    <row r="13" spans="1:62" x14ac:dyDescent="0.25">
      <c r="A13" s="5">
        <v>21337</v>
      </c>
      <c r="B13" s="6"/>
      <c r="C13" s="6" t="s">
        <v>34</v>
      </c>
      <c r="D13" s="6" t="s">
        <v>58</v>
      </c>
      <c r="E13" s="7" t="s">
        <v>59</v>
      </c>
      <c r="F13" s="5">
        <v>21337</v>
      </c>
      <c r="G13" s="8">
        <f t="shared" si="1"/>
        <v>1958</v>
      </c>
      <c r="H13" s="9">
        <v>2</v>
      </c>
      <c r="I13" s="9"/>
      <c r="J13">
        <v>5600</v>
      </c>
      <c r="K13">
        <v>5</v>
      </c>
      <c r="O13">
        <f>AVERAGE(K13:K23)</f>
        <v>32.5</v>
      </c>
      <c r="P13">
        <f>AVERAGE(H13:H23)</f>
        <v>2.4500000000000002</v>
      </c>
      <c r="Q13">
        <f>AVERAGE(N13:N23)</f>
        <v>3022.5</v>
      </c>
      <c r="R13">
        <f>P13/Q13</f>
        <v>8.1058726220016553E-4</v>
      </c>
      <c r="S13">
        <f>P13/W13</f>
        <v>4843.6376707404752</v>
      </c>
      <c r="T13">
        <f>AVERAGE(M13:M23)</f>
        <v>2.3333333333333336E-4</v>
      </c>
      <c r="U13">
        <f>IFERROR(O13/T13,"")</f>
        <v>139285.71428571426</v>
      </c>
      <c r="V13">
        <v>139285.71428571426</v>
      </c>
      <c r="W13">
        <v>5.0581818181818182E-4</v>
      </c>
      <c r="X13" s="11">
        <f>O13/W13</f>
        <v>64252.336448598129</v>
      </c>
      <c r="AA13">
        <v>4843.6376707404752</v>
      </c>
      <c r="AD13">
        <f>IFERROR(J13*K13,"")</f>
        <v>28000</v>
      </c>
      <c r="AF13" t="str">
        <f t="shared" si="0"/>
        <v/>
      </c>
      <c r="AH13">
        <v>64252.336448598129</v>
      </c>
      <c r="BI13">
        <v>1939</v>
      </c>
      <c r="BJ13">
        <f t="shared" ref="BJ13:BJ59" si="2">COUNTIF($G$2:$G$101,BI13)</f>
        <v>4</v>
      </c>
    </row>
    <row r="14" spans="1:62" x14ac:dyDescent="0.25">
      <c r="A14" s="5">
        <v>21337</v>
      </c>
      <c r="B14" s="6"/>
      <c r="C14" s="6" t="s">
        <v>34</v>
      </c>
      <c r="D14" s="6" t="s">
        <v>60</v>
      </c>
      <c r="E14" s="7" t="s">
        <v>61</v>
      </c>
      <c r="F14" s="5">
        <v>21337</v>
      </c>
      <c r="G14" s="8">
        <f t="shared" si="1"/>
        <v>1958</v>
      </c>
      <c r="H14" s="9"/>
      <c r="I14" s="9"/>
      <c r="AF14" t="str">
        <f t="shared" si="0"/>
        <v/>
      </c>
      <c r="BI14">
        <v>1940</v>
      </c>
    </row>
    <row r="15" spans="1:62" x14ac:dyDescent="0.25">
      <c r="A15" s="10">
        <v>21337</v>
      </c>
      <c r="C15" t="s">
        <v>34</v>
      </c>
      <c r="D15" t="s">
        <v>62</v>
      </c>
      <c r="E15" s="7"/>
      <c r="F15" s="10">
        <v>21337</v>
      </c>
      <c r="G15" s="8">
        <f t="shared" si="1"/>
        <v>1958</v>
      </c>
      <c r="H15" s="9"/>
      <c r="I15" s="9"/>
      <c r="K15">
        <v>60</v>
      </c>
      <c r="L15">
        <f>(15.5*12)*(105*12)</f>
        <v>234360</v>
      </c>
      <c r="M15">
        <v>5.0000000000000001E-4</v>
      </c>
      <c r="Y15" s="11">
        <f>IFERROR(K15/M15,"")</f>
        <v>120000</v>
      </c>
      <c r="AB15">
        <f>IFERROR(L15/M15,"")</f>
        <v>468720000</v>
      </c>
      <c r="AE15">
        <v>262483200000</v>
      </c>
      <c r="AF15" t="str">
        <f t="shared" si="0"/>
        <v/>
      </c>
      <c r="AH15">
        <v>120000</v>
      </c>
      <c r="BI15">
        <v>1941</v>
      </c>
    </row>
    <row r="16" spans="1:62" x14ac:dyDescent="0.25">
      <c r="A16" s="10">
        <v>21337</v>
      </c>
      <c r="C16" t="s">
        <v>34</v>
      </c>
      <c r="D16" t="s">
        <v>63</v>
      </c>
      <c r="E16" s="7" t="s">
        <v>64</v>
      </c>
      <c r="F16" s="10">
        <v>21337</v>
      </c>
      <c r="G16" s="8">
        <f t="shared" si="1"/>
        <v>1958</v>
      </c>
      <c r="H16" s="9">
        <v>0.5</v>
      </c>
      <c r="I16" s="9"/>
      <c r="J16">
        <v>45000</v>
      </c>
      <c r="M16">
        <v>1E-4</v>
      </c>
      <c r="Z16">
        <f>IFERROR(H16/M16,"")</f>
        <v>5000</v>
      </c>
      <c r="AA16">
        <v>5000</v>
      </c>
      <c r="AF16" t="str">
        <f t="shared" si="0"/>
        <v/>
      </c>
      <c r="BI16">
        <v>1942</v>
      </c>
    </row>
    <row r="17" spans="1:62" x14ac:dyDescent="0.25">
      <c r="A17" s="10">
        <v>21337</v>
      </c>
      <c r="C17" t="s">
        <v>34</v>
      </c>
      <c r="D17" t="s">
        <v>65</v>
      </c>
      <c r="E17" s="7" t="s">
        <v>66</v>
      </c>
      <c r="F17" s="10">
        <v>21337</v>
      </c>
      <c r="G17" s="8">
        <f t="shared" si="1"/>
        <v>1958</v>
      </c>
      <c r="H17" s="9"/>
      <c r="I17" s="9"/>
      <c r="J17">
        <v>1200</v>
      </c>
      <c r="L17">
        <f>60*12</f>
        <v>720</v>
      </c>
      <c r="N17" s="12">
        <v>5350</v>
      </c>
      <c r="AF17" t="str">
        <f t="shared" si="0"/>
        <v/>
      </c>
      <c r="BI17">
        <v>1943</v>
      </c>
    </row>
    <row r="18" spans="1:62" x14ac:dyDescent="0.25">
      <c r="A18" s="10">
        <v>21337</v>
      </c>
      <c r="C18" t="s">
        <v>34</v>
      </c>
      <c r="D18" t="s">
        <v>67</v>
      </c>
      <c r="E18" s="7" t="s">
        <v>68</v>
      </c>
      <c r="F18" s="10">
        <v>21337</v>
      </c>
      <c r="G18" s="8">
        <f t="shared" si="1"/>
        <v>1958</v>
      </c>
      <c r="H18" s="9">
        <v>7.5</v>
      </c>
      <c r="I18" s="9"/>
      <c r="J18">
        <v>1500</v>
      </c>
      <c r="L18">
        <f>52*11</f>
        <v>572</v>
      </c>
      <c r="AF18" t="str">
        <f t="shared" si="0"/>
        <v/>
      </c>
      <c r="BI18">
        <v>1944</v>
      </c>
    </row>
    <row r="19" spans="1:62" x14ac:dyDescent="0.25">
      <c r="A19" s="10">
        <v>21337</v>
      </c>
      <c r="C19" t="s">
        <v>69</v>
      </c>
      <c r="D19" t="s">
        <v>70</v>
      </c>
      <c r="E19" s="7" t="s">
        <v>71</v>
      </c>
      <c r="F19" s="10">
        <v>21337</v>
      </c>
      <c r="G19" s="8">
        <f t="shared" si="1"/>
        <v>1958</v>
      </c>
      <c r="H19" s="9">
        <v>1.5</v>
      </c>
      <c r="I19" s="9"/>
      <c r="J19">
        <v>3800</v>
      </c>
      <c r="AF19" t="str">
        <f t="shared" si="0"/>
        <v/>
      </c>
      <c r="BI19">
        <v>1945</v>
      </c>
      <c r="BJ19">
        <f t="shared" si="2"/>
        <v>2</v>
      </c>
    </row>
    <row r="20" spans="1:62" x14ac:dyDescent="0.25">
      <c r="A20" s="10">
        <v>21337</v>
      </c>
      <c r="C20" t="s">
        <v>69</v>
      </c>
      <c r="D20" t="s">
        <v>72</v>
      </c>
      <c r="E20" s="7" t="s">
        <v>73</v>
      </c>
      <c r="F20" s="10">
        <v>21337</v>
      </c>
      <c r="G20" s="8">
        <f t="shared" si="1"/>
        <v>1958</v>
      </c>
      <c r="H20" s="9"/>
      <c r="I20" s="9">
        <v>3</v>
      </c>
      <c r="AF20" t="str">
        <f t="shared" si="0"/>
        <v/>
      </c>
      <c r="BI20">
        <v>1946</v>
      </c>
    </row>
    <row r="21" spans="1:62" x14ac:dyDescent="0.25">
      <c r="A21" s="10">
        <v>21337</v>
      </c>
      <c r="C21" t="s">
        <v>69</v>
      </c>
      <c r="D21" t="s">
        <v>74</v>
      </c>
      <c r="E21" s="7" t="s">
        <v>75</v>
      </c>
      <c r="F21" s="10">
        <v>21337</v>
      </c>
      <c r="G21" s="8">
        <f t="shared" si="1"/>
        <v>1958</v>
      </c>
      <c r="H21" s="9"/>
      <c r="I21" s="9"/>
      <c r="M21">
        <v>1E-4</v>
      </c>
      <c r="AF21" t="str">
        <f t="shared" si="0"/>
        <v/>
      </c>
      <c r="BI21">
        <v>1947</v>
      </c>
    </row>
    <row r="22" spans="1:62" x14ac:dyDescent="0.25">
      <c r="A22" s="10">
        <v>21337</v>
      </c>
      <c r="C22" t="s">
        <v>76</v>
      </c>
      <c r="D22" t="s">
        <v>77</v>
      </c>
      <c r="E22" s="7" t="s">
        <v>78</v>
      </c>
      <c r="F22" s="10">
        <v>21337</v>
      </c>
      <c r="G22" s="8">
        <f t="shared" si="1"/>
        <v>1958</v>
      </c>
      <c r="H22" s="9"/>
      <c r="I22" s="9"/>
      <c r="L22">
        <f>14*78</f>
        <v>1092</v>
      </c>
      <c r="AF22" t="str">
        <f t="shared" si="0"/>
        <v/>
      </c>
      <c r="BI22">
        <v>1948</v>
      </c>
    </row>
    <row r="23" spans="1:62" x14ac:dyDescent="0.25">
      <c r="A23" s="10">
        <v>21337</v>
      </c>
      <c r="C23" t="s">
        <v>55</v>
      </c>
      <c r="D23" t="s">
        <v>79</v>
      </c>
      <c r="E23" s="7" t="s">
        <v>80</v>
      </c>
      <c r="F23" s="10">
        <v>21337</v>
      </c>
      <c r="G23" s="8">
        <f t="shared" si="1"/>
        <v>1958</v>
      </c>
      <c r="H23" s="9">
        <v>0.75</v>
      </c>
      <c r="I23" s="9"/>
      <c r="N23">
        <v>695</v>
      </c>
      <c r="AF23" t="str">
        <f t="shared" si="0"/>
        <v/>
      </c>
      <c r="AG23">
        <f t="shared" ref="AG23:AG39" si="3">IFERROR(H23/N23,"")</f>
        <v>1.079136690647482E-3</v>
      </c>
      <c r="BI23">
        <v>1949</v>
      </c>
    </row>
    <row r="24" spans="1:62" x14ac:dyDescent="0.25">
      <c r="A24" s="10">
        <v>24259</v>
      </c>
      <c r="C24" t="s">
        <v>34</v>
      </c>
      <c r="D24" t="s">
        <v>81</v>
      </c>
      <c r="E24" s="7" t="s">
        <v>82</v>
      </c>
      <c r="F24" s="10">
        <v>24259</v>
      </c>
      <c r="G24" s="8">
        <f t="shared" si="1"/>
        <v>1966</v>
      </c>
      <c r="H24" s="9"/>
      <c r="I24" s="9"/>
      <c r="M24">
        <v>5.0000000000000001E-4</v>
      </c>
      <c r="O24">
        <f>AVERAGE(K24:K32)</f>
        <v>40</v>
      </c>
      <c r="P24">
        <f>AVERAGE(H24:H32)</f>
        <v>9.5</v>
      </c>
      <c r="S24">
        <f>P24/W24</f>
        <v>18781.452192667144</v>
      </c>
      <c r="T24">
        <f>AVERAGE(M24:M32)</f>
        <v>5.0000000000000001E-4</v>
      </c>
      <c r="U24">
        <f>O24/T24</f>
        <v>80000</v>
      </c>
      <c r="V24">
        <v>80000</v>
      </c>
      <c r="W24">
        <v>5.0581818181818182E-4</v>
      </c>
      <c r="X24">
        <f>O24/W24</f>
        <v>79079.798705966925</v>
      </c>
      <c r="AA24">
        <v>18781.452192667144</v>
      </c>
      <c r="AF24" t="str">
        <f t="shared" si="0"/>
        <v/>
      </c>
      <c r="AH24">
        <v>79079.798705966925</v>
      </c>
      <c r="BI24">
        <v>1950</v>
      </c>
    </row>
    <row r="25" spans="1:62" x14ac:dyDescent="0.25">
      <c r="A25" s="10">
        <v>24259</v>
      </c>
      <c r="C25" t="s">
        <v>34</v>
      </c>
      <c r="D25" t="s">
        <v>83</v>
      </c>
      <c r="E25" s="7" t="s">
        <v>84</v>
      </c>
      <c r="F25" s="10">
        <v>24259</v>
      </c>
      <c r="G25" s="8">
        <f t="shared" si="1"/>
        <v>1966</v>
      </c>
      <c r="H25" s="9">
        <v>5</v>
      </c>
      <c r="I25" s="9"/>
      <c r="J25">
        <v>4000</v>
      </c>
      <c r="K25">
        <v>40</v>
      </c>
      <c r="L25">
        <f>12*54</f>
        <v>648</v>
      </c>
      <c r="AD25">
        <f>IFERROR(J25*K25,"")</f>
        <v>160000</v>
      </c>
      <c r="AF25" t="str">
        <f t="shared" si="0"/>
        <v/>
      </c>
      <c r="BI25">
        <v>1951</v>
      </c>
      <c r="BJ25">
        <f t="shared" si="2"/>
        <v>4</v>
      </c>
    </row>
    <row r="26" spans="1:62" x14ac:dyDescent="0.25">
      <c r="A26" s="10">
        <v>24259</v>
      </c>
      <c r="C26" t="s">
        <v>34</v>
      </c>
      <c r="D26" t="s">
        <v>85</v>
      </c>
      <c r="E26" s="7" t="s">
        <v>86</v>
      </c>
      <c r="F26" s="10">
        <v>24259</v>
      </c>
      <c r="G26" s="8">
        <f t="shared" si="1"/>
        <v>1966</v>
      </c>
      <c r="H26" s="9"/>
      <c r="I26" s="9"/>
      <c r="L26">
        <f>37*16</f>
        <v>592</v>
      </c>
      <c r="AF26" t="str">
        <f t="shared" si="0"/>
        <v/>
      </c>
      <c r="BI26">
        <v>1952</v>
      </c>
    </row>
    <row r="27" spans="1:62" x14ac:dyDescent="0.25">
      <c r="A27" s="10">
        <v>24259</v>
      </c>
      <c r="C27" t="s">
        <v>34</v>
      </c>
      <c r="D27" t="s">
        <v>87</v>
      </c>
      <c r="E27" s="7" t="s">
        <v>88</v>
      </c>
      <c r="F27" s="10">
        <v>24259</v>
      </c>
      <c r="G27" s="8">
        <f t="shared" si="1"/>
        <v>1966</v>
      </c>
      <c r="H27" s="9"/>
      <c r="I27" s="9"/>
      <c r="J27">
        <v>3500</v>
      </c>
      <c r="AF27" t="str">
        <f t="shared" si="0"/>
        <v/>
      </c>
      <c r="BI27">
        <v>1953</v>
      </c>
    </row>
    <row r="28" spans="1:62" x14ac:dyDescent="0.25">
      <c r="A28" s="10">
        <v>24259</v>
      </c>
      <c r="C28" t="s">
        <v>34</v>
      </c>
      <c r="D28" t="s">
        <v>89</v>
      </c>
      <c r="E28" s="7" t="s">
        <v>90</v>
      </c>
      <c r="F28" s="10">
        <v>24259</v>
      </c>
      <c r="G28" s="8">
        <f t="shared" si="1"/>
        <v>1966</v>
      </c>
      <c r="H28" s="9">
        <v>30</v>
      </c>
      <c r="I28" s="9"/>
      <c r="J28">
        <v>1800</v>
      </c>
      <c r="AF28" t="str">
        <f t="shared" si="0"/>
        <v/>
      </c>
      <c r="BI28">
        <v>1954</v>
      </c>
    </row>
    <row r="29" spans="1:62" x14ac:dyDescent="0.25">
      <c r="A29" s="10">
        <v>24259</v>
      </c>
      <c r="C29" t="s">
        <v>34</v>
      </c>
      <c r="D29" t="s">
        <v>91</v>
      </c>
      <c r="E29" s="7" t="s">
        <v>92</v>
      </c>
      <c r="F29" s="10">
        <v>24259</v>
      </c>
      <c r="G29" s="8">
        <f t="shared" si="1"/>
        <v>1966</v>
      </c>
      <c r="H29" s="9"/>
      <c r="I29" s="9"/>
      <c r="L29">
        <f>39*15</f>
        <v>585</v>
      </c>
      <c r="AF29" t="str">
        <f t="shared" si="0"/>
        <v/>
      </c>
      <c r="BI29">
        <v>1955</v>
      </c>
    </row>
    <row r="30" spans="1:62" x14ac:dyDescent="0.25">
      <c r="A30" s="10">
        <v>24259</v>
      </c>
      <c r="C30" t="s">
        <v>34</v>
      </c>
      <c r="D30" t="s">
        <v>93</v>
      </c>
      <c r="E30" s="7" t="s">
        <v>94</v>
      </c>
      <c r="F30" s="10">
        <v>24259</v>
      </c>
      <c r="G30" s="8">
        <f t="shared" si="1"/>
        <v>1966</v>
      </c>
      <c r="H30" s="9">
        <v>1</v>
      </c>
      <c r="I30" s="9">
        <v>0.5</v>
      </c>
      <c r="J30">
        <v>4015</v>
      </c>
      <c r="AF30" t="str">
        <f t="shared" si="0"/>
        <v/>
      </c>
      <c r="BI30">
        <v>1956</v>
      </c>
    </row>
    <row r="31" spans="1:62" x14ac:dyDescent="0.25">
      <c r="A31" s="10">
        <v>24259</v>
      </c>
      <c r="C31" t="s">
        <v>69</v>
      </c>
      <c r="D31" t="s">
        <v>95</v>
      </c>
      <c r="E31" s="7"/>
      <c r="F31" s="10">
        <v>24259</v>
      </c>
      <c r="G31" s="8">
        <f t="shared" si="1"/>
        <v>1966</v>
      </c>
      <c r="H31" s="9"/>
      <c r="I31" s="9"/>
      <c r="L31">
        <f>40.5*60</f>
        <v>2430</v>
      </c>
      <c r="AF31" t="str">
        <f t="shared" si="0"/>
        <v/>
      </c>
      <c r="BI31">
        <v>1957</v>
      </c>
    </row>
    <row r="32" spans="1:62" x14ac:dyDescent="0.25">
      <c r="A32" s="10">
        <v>24259</v>
      </c>
      <c r="C32" t="s">
        <v>69</v>
      </c>
      <c r="D32" t="s">
        <v>96</v>
      </c>
      <c r="E32" s="7" t="s">
        <v>97</v>
      </c>
      <c r="F32" s="10">
        <v>24259</v>
      </c>
      <c r="G32" s="8">
        <f t="shared" si="1"/>
        <v>1966</v>
      </c>
      <c r="H32" s="9">
        <v>2</v>
      </c>
      <c r="I32" s="9"/>
      <c r="L32">
        <v>237.5</v>
      </c>
      <c r="AF32" t="str">
        <f t="shared" si="0"/>
        <v/>
      </c>
      <c r="BI32">
        <v>1958</v>
      </c>
      <c r="BJ32">
        <f t="shared" si="2"/>
        <v>11</v>
      </c>
    </row>
    <row r="33" spans="1:62" x14ac:dyDescent="0.25">
      <c r="A33" s="10">
        <v>26816</v>
      </c>
      <c r="C33" t="s">
        <v>34</v>
      </c>
      <c r="D33" t="s">
        <v>98</v>
      </c>
      <c r="E33" s="7" t="s">
        <v>99</v>
      </c>
      <c r="F33" s="10">
        <v>26816</v>
      </c>
      <c r="G33" s="8">
        <f t="shared" si="1"/>
        <v>1973</v>
      </c>
      <c r="H33" s="9">
        <v>15</v>
      </c>
      <c r="I33" s="9"/>
      <c r="L33">
        <f>40.5*60</f>
        <v>2430</v>
      </c>
      <c r="O33">
        <f>AVERAGE(K33:K38)</f>
        <v>200</v>
      </c>
      <c r="P33">
        <f>AVERAGE(H33:H38)</f>
        <v>9.5</v>
      </c>
      <c r="S33">
        <f>P33/W33</f>
        <v>18781.452192667144</v>
      </c>
      <c r="T33">
        <f>AVERAGE(M33:M38)</f>
        <v>5.0000000000000001E-4</v>
      </c>
      <c r="U33">
        <f>O33/T33</f>
        <v>400000</v>
      </c>
      <c r="V33">
        <v>400000</v>
      </c>
      <c r="W33">
        <v>5.0581818181818182E-4</v>
      </c>
      <c r="X33">
        <f>O33/W33</f>
        <v>395398.99352983467</v>
      </c>
      <c r="AA33">
        <v>18781.452192667144</v>
      </c>
      <c r="AF33" t="str">
        <f t="shared" si="0"/>
        <v/>
      </c>
      <c r="AH33">
        <v>395398.99352983467</v>
      </c>
      <c r="BI33">
        <v>1959</v>
      </c>
    </row>
    <row r="34" spans="1:62" x14ac:dyDescent="0.25">
      <c r="A34" s="10">
        <v>26816</v>
      </c>
      <c r="C34" t="s">
        <v>34</v>
      </c>
      <c r="D34" t="s">
        <v>100</v>
      </c>
      <c r="E34" s="7" t="s">
        <v>101</v>
      </c>
      <c r="F34" s="10">
        <v>26816</v>
      </c>
      <c r="G34" s="8">
        <f t="shared" si="1"/>
        <v>1973</v>
      </c>
      <c r="H34" s="9"/>
      <c r="I34" s="9"/>
      <c r="L34">
        <f>56*10</f>
        <v>560</v>
      </c>
      <c r="AF34" t="str">
        <f t="shared" si="0"/>
        <v/>
      </c>
      <c r="BI34">
        <v>1960</v>
      </c>
    </row>
    <row r="35" spans="1:62" x14ac:dyDescent="0.25">
      <c r="A35" s="10">
        <v>26816</v>
      </c>
      <c r="C35" t="s">
        <v>34</v>
      </c>
      <c r="D35" t="s">
        <v>102</v>
      </c>
      <c r="E35" s="7" t="s">
        <v>103</v>
      </c>
      <c r="F35" s="10">
        <v>26816</v>
      </c>
      <c r="G35" s="8">
        <f t="shared" si="1"/>
        <v>1973</v>
      </c>
      <c r="H35" s="9"/>
      <c r="I35" s="9"/>
      <c r="M35">
        <v>5.0000000000000001E-4</v>
      </c>
      <c r="AF35" t="str">
        <f t="shared" si="0"/>
        <v/>
      </c>
      <c r="BI35">
        <v>1961</v>
      </c>
    </row>
    <row r="36" spans="1:62" x14ac:dyDescent="0.25">
      <c r="A36" s="10">
        <v>26816</v>
      </c>
      <c r="C36" t="s">
        <v>34</v>
      </c>
      <c r="D36" t="s">
        <v>104</v>
      </c>
      <c r="E36" s="7" t="s">
        <v>105</v>
      </c>
      <c r="F36" s="10">
        <v>26816</v>
      </c>
      <c r="G36" s="8">
        <f t="shared" si="1"/>
        <v>1973</v>
      </c>
      <c r="H36" s="9">
        <v>7.5</v>
      </c>
      <c r="I36" s="9"/>
      <c r="J36">
        <v>2000</v>
      </c>
      <c r="M36">
        <v>5.0000000000000001E-4</v>
      </c>
      <c r="Z36">
        <f>IFERROR(H36/M36,"")</f>
        <v>15000</v>
      </c>
      <c r="AA36">
        <v>15000</v>
      </c>
      <c r="AF36" t="str">
        <f t="shared" si="0"/>
        <v/>
      </c>
      <c r="BI36">
        <v>1962</v>
      </c>
    </row>
    <row r="37" spans="1:62" x14ac:dyDescent="0.25">
      <c r="A37" s="10">
        <v>26816</v>
      </c>
      <c r="C37" t="s">
        <v>34</v>
      </c>
      <c r="D37" t="s">
        <v>106</v>
      </c>
      <c r="E37" s="7" t="s">
        <v>107</v>
      </c>
      <c r="F37" s="10">
        <v>26816</v>
      </c>
      <c r="G37" s="8">
        <f t="shared" si="1"/>
        <v>1973</v>
      </c>
      <c r="H37" s="9"/>
      <c r="I37" s="9"/>
      <c r="K37">
        <v>200</v>
      </c>
      <c r="AF37" t="str">
        <f t="shared" si="0"/>
        <v/>
      </c>
      <c r="BI37">
        <v>1963</v>
      </c>
    </row>
    <row r="38" spans="1:62" x14ac:dyDescent="0.25">
      <c r="A38" s="10">
        <v>26816</v>
      </c>
      <c r="C38" t="s">
        <v>34</v>
      </c>
      <c r="D38" t="s">
        <v>108</v>
      </c>
      <c r="E38" s="7" t="s">
        <v>109</v>
      </c>
      <c r="F38" s="10">
        <v>26816</v>
      </c>
      <c r="G38" s="8">
        <f t="shared" si="1"/>
        <v>1973</v>
      </c>
      <c r="H38" s="9">
        <v>6</v>
      </c>
      <c r="I38" s="9"/>
      <c r="J38">
        <v>1400</v>
      </c>
      <c r="L38">
        <f>12*55</f>
        <v>660</v>
      </c>
      <c r="AF38" t="str">
        <f t="shared" si="0"/>
        <v/>
      </c>
      <c r="BI38">
        <v>1964</v>
      </c>
    </row>
    <row r="39" spans="1:62" x14ac:dyDescent="0.25">
      <c r="A39" s="10">
        <v>31199</v>
      </c>
      <c r="C39" t="s">
        <v>34</v>
      </c>
      <c r="D39" t="s">
        <v>110</v>
      </c>
      <c r="E39" s="7" t="s">
        <v>111</v>
      </c>
      <c r="F39" s="10">
        <v>31199</v>
      </c>
      <c r="G39" s="8">
        <f t="shared" si="1"/>
        <v>1985</v>
      </c>
      <c r="H39" s="9">
        <v>5</v>
      </c>
      <c r="I39" s="9"/>
      <c r="J39">
        <v>10000</v>
      </c>
      <c r="N39">
        <v>110500</v>
      </c>
      <c r="O39">
        <f>AVERAGE(K39:K52)</f>
        <v>331</v>
      </c>
      <c r="P39">
        <f>AVERAGE(H39:H52)</f>
        <v>8.7222222222222214</v>
      </c>
      <c r="Q39">
        <f>AVERAGE(N39:N52)</f>
        <v>58450</v>
      </c>
      <c r="R39">
        <f>P39/Q39</f>
        <v>1.4922535880619711E-4</v>
      </c>
      <c r="S39">
        <f>P39/W39</f>
        <v>17243.789440051121</v>
      </c>
      <c r="T39">
        <f>AVERAGE(M39:M52)</f>
        <v>1.7571428571428575E-4</v>
      </c>
      <c r="U39">
        <f>O39/T39</f>
        <v>1883739.8373983738</v>
      </c>
      <c r="V39">
        <v>1883739.8373983738</v>
      </c>
      <c r="W39">
        <v>5.0581818181818182E-4</v>
      </c>
      <c r="X39">
        <f>O39/W39</f>
        <v>654385.33429187629</v>
      </c>
      <c r="AA39">
        <v>17243.789440051121</v>
      </c>
      <c r="AF39" t="str">
        <f t="shared" si="0"/>
        <v/>
      </c>
      <c r="AG39">
        <f t="shared" si="3"/>
        <v>4.5248868778280542E-5</v>
      </c>
      <c r="AH39">
        <v>654385.33429187629</v>
      </c>
      <c r="BI39">
        <v>1965</v>
      </c>
    </row>
    <row r="40" spans="1:62" x14ac:dyDescent="0.25">
      <c r="A40" s="10">
        <v>31199</v>
      </c>
      <c r="C40" t="s">
        <v>34</v>
      </c>
      <c r="D40" t="s">
        <v>112</v>
      </c>
      <c r="E40" s="7" t="s">
        <v>113</v>
      </c>
      <c r="F40" s="10">
        <v>31199</v>
      </c>
      <c r="G40" s="8">
        <f t="shared" si="1"/>
        <v>1985</v>
      </c>
      <c r="H40" s="9">
        <v>20</v>
      </c>
      <c r="I40" s="9"/>
      <c r="AF40" t="str">
        <f t="shared" si="0"/>
        <v/>
      </c>
      <c r="BI40">
        <v>1966</v>
      </c>
      <c r="BJ40">
        <f t="shared" si="2"/>
        <v>9</v>
      </c>
    </row>
    <row r="41" spans="1:62" x14ac:dyDescent="0.25">
      <c r="A41" s="10">
        <v>31199</v>
      </c>
      <c r="C41" t="s">
        <v>34</v>
      </c>
      <c r="D41" t="s">
        <v>114</v>
      </c>
      <c r="E41" s="7" t="s">
        <v>115</v>
      </c>
      <c r="F41" s="10">
        <v>31199</v>
      </c>
      <c r="G41" s="8">
        <f t="shared" si="1"/>
        <v>1985</v>
      </c>
      <c r="H41" s="9"/>
      <c r="I41" s="9"/>
      <c r="L41">
        <f>49*9</f>
        <v>441</v>
      </c>
      <c r="M41">
        <v>2.0000000000000001E-4</v>
      </c>
      <c r="N41">
        <v>6400</v>
      </c>
      <c r="AB41">
        <f>IFERROR(L41/M41,"")</f>
        <v>2205000</v>
      </c>
      <c r="AF41">
        <f t="shared" si="0"/>
        <v>0</v>
      </c>
      <c r="BI41">
        <v>1967</v>
      </c>
    </row>
    <row r="42" spans="1:62" x14ac:dyDescent="0.25">
      <c r="A42" s="10">
        <v>31199</v>
      </c>
      <c r="C42" t="s">
        <v>34</v>
      </c>
      <c r="D42" t="s">
        <v>116</v>
      </c>
      <c r="E42" s="7" t="s">
        <v>117</v>
      </c>
      <c r="F42" s="10">
        <v>31199</v>
      </c>
      <c r="G42" s="8">
        <f t="shared" si="1"/>
        <v>1985</v>
      </c>
      <c r="H42" s="9">
        <v>10</v>
      </c>
      <c r="I42" s="9">
        <v>8</v>
      </c>
      <c r="J42">
        <v>10000</v>
      </c>
      <c r="AF42" t="str">
        <f t="shared" si="0"/>
        <v/>
      </c>
      <c r="BI42">
        <v>1968</v>
      </c>
    </row>
    <row r="43" spans="1:62" x14ac:dyDescent="0.25">
      <c r="A43" s="10">
        <v>31199</v>
      </c>
      <c r="C43" t="s">
        <v>34</v>
      </c>
      <c r="D43" t="s">
        <v>118</v>
      </c>
      <c r="E43" s="7" t="s">
        <v>119</v>
      </c>
      <c r="F43" s="10">
        <v>31199</v>
      </c>
      <c r="G43" s="8">
        <f t="shared" si="1"/>
        <v>1985</v>
      </c>
      <c r="H43" s="9">
        <v>10</v>
      </c>
      <c r="I43" s="9"/>
      <c r="J43">
        <v>10000</v>
      </c>
      <c r="K43">
        <v>512</v>
      </c>
      <c r="AD43">
        <f>IFERROR(J43*K43,"")</f>
        <v>5120000</v>
      </c>
      <c r="AF43" t="str">
        <f t="shared" si="0"/>
        <v/>
      </c>
      <c r="BI43">
        <v>1969</v>
      </c>
    </row>
    <row r="44" spans="1:62" x14ac:dyDescent="0.25">
      <c r="A44" s="10">
        <v>31199</v>
      </c>
      <c r="C44" t="s">
        <v>34</v>
      </c>
      <c r="D44" t="s">
        <v>120</v>
      </c>
      <c r="E44" s="7" t="s">
        <v>121</v>
      </c>
      <c r="F44" s="10">
        <v>31199</v>
      </c>
      <c r="G44" s="8">
        <f t="shared" si="1"/>
        <v>1985</v>
      </c>
      <c r="H44" s="9"/>
      <c r="I44" s="9"/>
      <c r="M44">
        <v>8.0000000000000007E-5</v>
      </c>
      <c r="AF44" t="str">
        <f t="shared" si="0"/>
        <v/>
      </c>
      <c r="BI44">
        <v>1970</v>
      </c>
    </row>
    <row r="45" spans="1:62" x14ac:dyDescent="0.25">
      <c r="A45" s="10">
        <v>31199</v>
      </c>
      <c r="C45" t="s">
        <v>34</v>
      </c>
      <c r="D45" t="s">
        <v>122</v>
      </c>
      <c r="E45" s="7" t="s">
        <v>123</v>
      </c>
      <c r="F45" s="10">
        <v>31199</v>
      </c>
      <c r="G45" s="8">
        <f t="shared" si="1"/>
        <v>1985</v>
      </c>
      <c r="H45" s="9">
        <v>6</v>
      </c>
      <c r="I45" s="9"/>
      <c r="J45">
        <v>4000</v>
      </c>
      <c r="L45">
        <f>120*40</f>
        <v>4800</v>
      </c>
      <c r="AF45" t="str">
        <f t="shared" si="0"/>
        <v/>
      </c>
      <c r="BI45">
        <v>1971</v>
      </c>
    </row>
    <row r="46" spans="1:62" x14ac:dyDescent="0.25">
      <c r="A46" s="10">
        <v>31199</v>
      </c>
      <c r="C46" t="s">
        <v>34</v>
      </c>
      <c r="D46" t="s">
        <v>124</v>
      </c>
      <c r="E46" s="7" t="s">
        <v>125</v>
      </c>
      <c r="F46" s="10">
        <v>31199</v>
      </c>
      <c r="G46" s="8">
        <f t="shared" si="1"/>
        <v>1985</v>
      </c>
      <c r="H46" s="9">
        <v>5.5</v>
      </c>
      <c r="I46" s="9"/>
      <c r="M46">
        <v>2.0000000000000001E-4</v>
      </c>
      <c r="Z46">
        <f>IFERROR(H46/M46,"")</f>
        <v>27500</v>
      </c>
      <c r="AA46">
        <v>27500</v>
      </c>
      <c r="AF46" t="str">
        <f t="shared" si="0"/>
        <v/>
      </c>
      <c r="BI46">
        <v>1972</v>
      </c>
    </row>
    <row r="47" spans="1:62" x14ac:dyDescent="0.25">
      <c r="A47" s="10">
        <v>31199</v>
      </c>
      <c r="C47" t="s">
        <v>34</v>
      </c>
      <c r="D47" t="s">
        <v>126</v>
      </c>
      <c r="E47" s="13">
        <v>2495</v>
      </c>
      <c r="F47" s="10">
        <v>31199</v>
      </c>
      <c r="G47" s="8">
        <f t="shared" si="1"/>
        <v>1985</v>
      </c>
      <c r="H47" s="9"/>
      <c r="I47" s="9"/>
      <c r="AF47" t="str">
        <f t="shared" si="0"/>
        <v/>
      </c>
      <c r="BI47">
        <v>1973</v>
      </c>
      <c r="BJ47">
        <f t="shared" si="2"/>
        <v>6</v>
      </c>
    </row>
    <row r="48" spans="1:62" x14ac:dyDescent="0.25">
      <c r="A48" s="10">
        <v>31199</v>
      </c>
      <c r="C48" t="s">
        <v>34</v>
      </c>
      <c r="D48" t="s">
        <v>127</v>
      </c>
      <c r="E48" s="7" t="s">
        <v>128</v>
      </c>
      <c r="F48" s="10">
        <v>31199</v>
      </c>
      <c r="G48" s="8">
        <f t="shared" si="1"/>
        <v>1985</v>
      </c>
      <c r="H48" s="9"/>
      <c r="I48" s="9"/>
      <c r="J48">
        <v>12000</v>
      </c>
      <c r="M48">
        <v>1.4999999999999999E-4</v>
      </c>
      <c r="AF48" t="str">
        <f t="shared" si="0"/>
        <v/>
      </c>
      <c r="BI48">
        <v>1974</v>
      </c>
    </row>
    <row r="49" spans="1:62" x14ac:dyDescent="0.25">
      <c r="A49" s="10">
        <v>31199</v>
      </c>
      <c r="C49" t="s">
        <v>34</v>
      </c>
      <c r="D49" t="s">
        <v>129</v>
      </c>
      <c r="E49" s="7" t="s">
        <v>130</v>
      </c>
      <c r="F49" s="10">
        <v>31199</v>
      </c>
      <c r="G49" s="8">
        <f t="shared" si="1"/>
        <v>1985</v>
      </c>
      <c r="H49" s="9"/>
      <c r="I49" s="9">
        <v>6</v>
      </c>
      <c r="J49">
        <v>6000</v>
      </c>
      <c r="K49">
        <v>150</v>
      </c>
      <c r="L49">
        <f>26*64</f>
        <v>1664</v>
      </c>
      <c r="AD49">
        <f>IFERROR(J49*K49,"")</f>
        <v>900000</v>
      </c>
      <c r="AF49" t="str">
        <f t="shared" si="0"/>
        <v/>
      </c>
      <c r="BI49">
        <v>1975</v>
      </c>
    </row>
    <row r="50" spans="1:62" x14ac:dyDescent="0.25">
      <c r="A50" s="10">
        <v>31199</v>
      </c>
      <c r="C50" t="s">
        <v>34</v>
      </c>
      <c r="D50" t="s">
        <v>131</v>
      </c>
      <c r="E50" s="7" t="s">
        <v>132</v>
      </c>
      <c r="F50" s="10">
        <v>31199</v>
      </c>
      <c r="G50" s="8">
        <f t="shared" si="1"/>
        <v>1985</v>
      </c>
      <c r="H50" s="9">
        <v>10</v>
      </c>
      <c r="I50" s="9"/>
      <c r="J50">
        <v>2000</v>
      </c>
      <c r="L50">
        <f>40*20</f>
        <v>800</v>
      </c>
      <c r="M50">
        <v>2.0000000000000001E-4</v>
      </c>
      <c r="Z50">
        <f>IFERROR(H50/M50,"")</f>
        <v>50000</v>
      </c>
      <c r="AA50">
        <v>50000</v>
      </c>
      <c r="AB50">
        <f>IFERROR(L50/M50,"")</f>
        <v>4000000</v>
      </c>
      <c r="AE50">
        <v>40000000</v>
      </c>
      <c r="AF50" t="str">
        <f t="shared" si="0"/>
        <v/>
      </c>
      <c r="BI50">
        <v>1976</v>
      </c>
    </row>
    <row r="51" spans="1:62" x14ac:dyDescent="0.25">
      <c r="A51" s="10">
        <v>31199</v>
      </c>
      <c r="C51" t="s">
        <v>34</v>
      </c>
      <c r="D51" t="s">
        <v>133</v>
      </c>
      <c r="E51" s="7" t="s">
        <v>134</v>
      </c>
      <c r="F51" s="10">
        <v>31199</v>
      </c>
      <c r="G51" s="8">
        <f t="shared" si="1"/>
        <v>1985</v>
      </c>
      <c r="H51" s="9">
        <v>2</v>
      </c>
      <c r="I51" s="9"/>
      <c r="M51">
        <v>2.0000000000000001E-4</v>
      </c>
      <c r="Z51">
        <f>IFERROR(H51/M51,"")</f>
        <v>10000</v>
      </c>
      <c r="AA51">
        <v>10000</v>
      </c>
      <c r="AF51" t="str">
        <f t="shared" si="0"/>
        <v/>
      </c>
      <c r="BI51">
        <v>1977</v>
      </c>
    </row>
    <row r="52" spans="1:62" x14ac:dyDescent="0.25">
      <c r="A52" s="10">
        <v>31199</v>
      </c>
      <c r="C52" t="s">
        <v>34</v>
      </c>
      <c r="D52" t="s">
        <v>135</v>
      </c>
      <c r="E52" s="7" t="s">
        <v>136</v>
      </c>
      <c r="F52" s="10">
        <v>31199</v>
      </c>
      <c r="G52" s="8">
        <f t="shared" si="1"/>
        <v>1985</v>
      </c>
      <c r="H52" s="9">
        <v>10</v>
      </c>
      <c r="I52" s="9"/>
      <c r="J52">
        <v>10000</v>
      </c>
      <c r="L52">
        <f>18*30</f>
        <v>540</v>
      </c>
      <c r="M52">
        <v>2.0000000000000001E-4</v>
      </c>
      <c r="Z52">
        <f>IFERROR(H52/M52,"")</f>
        <v>50000</v>
      </c>
      <c r="AA52">
        <v>50000</v>
      </c>
      <c r="AB52">
        <f>IFERROR(L52/M52,"")</f>
        <v>2700000</v>
      </c>
      <c r="AE52">
        <v>27000000</v>
      </c>
      <c r="AF52" t="str">
        <f t="shared" si="0"/>
        <v/>
      </c>
      <c r="BI52">
        <v>1978</v>
      </c>
    </row>
    <row r="53" spans="1:62" ht="18" x14ac:dyDescent="0.35">
      <c r="A53" s="5">
        <v>34943</v>
      </c>
      <c r="B53" s="6" t="s">
        <v>137</v>
      </c>
      <c r="C53" s="6" t="s">
        <v>34</v>
      </c>
      <c r="D53" s="14" t="s">
        <v>138</v>
      </c>
      <c r="E53" s="7" t="s">
        <v>139</v>
      </c>
      <c r="F53" s="5">
        <v>34943</v>
      </c>
      <c r="G53" s="8">
        <f t="shared" si="1"/>
        <v>1995</v>
      </c>
      <c r="H53" s="9"/>
      <c r="I53" s="9">
        <v>0.25</v>
      </c>
      <c r="J53">
        <v>10000</v>
      </c>
      <c r="O53">
        <f>AVERAGE(K53:K57)</f>
        <v>300</v>
      </c>
      <c r="T53">
        <f>AVERAGE(M53:M57)</f>
        <v>2.0000000000000001E-4</v>
      </c>
      <c r="U53">
        <f>O53/T53</f>
        <v>1500000</v>
      </c>
      <c r="V53">
        <v>1500000</v>
      </c>
      <c r="W53">
        <v>5.0581818181818182E-4</v>
      </c>
      <c r="X53">
        <f>O53/W53</f>
        <v>593098.49029475194</v>
      </c>
      <c r="AF53" t="str">
        <f t="shared" si="0"/>
        <v/>
      </c>
      <c r="AH53">
        <v>593098.49029475194</v>
      </c>
      <c r="BI53">
        <v>1979</v>
      </c>
    </row>
    <row r="54" spans="1:62" x14ac:dyDescent="0.25">
      <c r="A54" s="5">
        <v>34943</v>
      </c>
      <c r="B54" s="6" t="s">
        <v>140</v>
      </c>
      <c r="C54" s="6" t="s">
        <v>34</v>
      </c>
      <c r="D54" s="6"/>
      <c r="E54" s="7" t="s">
        <v>141</v>
      </c>
      <c r="F54" s="5">
        <v>34943</v>
      </c>
      <c r="G54" s="8">
        <f t="shared" si="1"/>
        <v>1995</v>
      </c>
      <c r="H54" s="9"/>
      <c r="I54" s="9"/>
      <c r="AF54" t="str">
        <f t="shared" si="0"/>
        <v/>
      </c>
      <c r="BI54">
        <v>1980</v>
      </c>
    </row>
    <row r="55" spans="1:62" ht="18" x14ac:dyDescent="0.35">
      <c r="A55" s="5">
        <v>34973</v>
      </c>
      <c r="B55" s="6" t="s">
        <v>142</v>
      </c>
      <c r="C55" s="6" t="s">
        <v>34</v>
      </c>
      <c r="D55" s="14" t="s">
        <v>143</v>
      </c>
      <c r="E55" s="7" t="s">
        <v>144</v>
      </c>
      <c r="F55" s="5">
        <v>34973</v>
      </c>
      <c r="G55" s="8">
        <f t="shared" si="1"/>
        <v>1995</v>
      </c>
      <c r="H55" s="9"/>
      <c r="I55" s="9"/>
      <c r="J55">
        <v>15000</v>
      </c>
      <c r="AF55" t="str">
        <f t="shared" si="0"/>
        <v/>
      </c>
      <c r="BI55">
        <v>1981</v>
      </c>
    </row>
    <row r="56" spans="1:62" ht="72" x14ac:dyDescent="0.35">
      <c r="A56" s="5">
        <v>35004</v>
      </c>
      <c r="B56" s="6" t="s">
        <v>145</v>
      </c>
      <c r="C56" s="6" t="s">
        <v>34</v>
      </c>
      <c r="D56" s="14" t="s">
        <v>146</v>
      </c>
      <c r="E56" s="15" t="s">
        <v>147</v>
      </c>
      <c r="F56" s="5">
        <v>35004</v>
      </c>
      <c r="G56" s="8">
        <f t="shared" si="1"/>
        <v>1995</v>
      </c>
      <c r="H56" s="9"/>
      <c r="I56" s="9"/>
      <c r="AF56" t="str">
        <f t="shared" si="0"/>
        <v/>
      </c>
      <c r="BI56">
        <v>1982</v>
      </c>
    </row>
    <row r="57" spans="1:62" ht="110.25" x14ac:dyDescent="0.25">
      <c r="A57" s="5">
        <v>35034</v>
      </c>
      <c r="B57" s="6" t="s">
        <v>148</v>
      </c>
      <c r="C57" s="6" t="s">
        <v>34</v>
      </c>
      <c r="D57" s="6"/>
      <c r="E57" s="7" t="s">
        <v>149</v>
      </c>
      <c r="F57" s="5">
        <v>35034</v>
      </c>
      <c r="G57" s="8">
        <f t="shared" si="1"/>
        <v>1995</v>
      </c>
      <c r="H57" s="9"/>
      <c r="I57" s="9"/>
      <c r="K57">
        <v>300</v>
      </c>
      <c r="M57">
        <v>2.0000000000000001E-4</v>
      </c>
      <c r="Y57" s="11">
        <f>IFERROR(K57/M57,"")</f>
        <v>1500000</v>
      </c>
      <c r="AF57" t="str">
        <f t="shared" si="0"/>
        <v/>
      </c>
      <c r="AH57">
        <v>1500000</v>
      </c>
      <c r="BI57">
        <v>1983</v>
      </c>
    </row>
    <row r="58" spans="1:62" ht="54" x14ac:dyDescent="0.35">
      <c r="A58" s="5">
        <v>35065</v>
      </c>
      <c r="B58" s="6" t="s">
        <v>150</v>
      </c>
      <c r="C58" s="6" t="s">
        <v>34</v>
      </c>
      <c r="D58" s="6"/>
      <c r="E58" s="15" t="s">
        <v>151</v>
      </c>
      <c r="F58" s="5">
        <v>35065</v>
      </c>
      <c r="G58" s="8">
        <f t="shared" si="1"/>
        <v>1996</v>
      </c>
      <c r="H58" s="9"/>
      <c r="I58" s="9"/>
      <c r="O58">
        <f>AVERAGE(K58:K71)</f>
        <v>813.33333333333337</v>
      </c>
      <c r="P58">
        <f>AVERAGE(H58:H71)</f>
        <v>24.5</v>
      </c>
      <c r="Q58">
        <f>AVERAGE(N58:N71)</f>
        <v>55000</v>
      </c>
      <c r="R58">
        <f>P58/Q58</f>
        <v>4.4545454545454543E-4</v>
      </c>
      <c r="S58">
        <f>P58/W58</f>
        <v>48436.376707404743</v>
      </c>
      <c r="T58">
        <f>AVERAGE(M58:M71)</f>
        <v>9.3724999999999993E-4</v>
      </c>
      <c r="U58">
        <f>O58/T58</f>
        <v>867786.96541299915</v>
      </c>
      <c r="V58">
        <v>867786.96541299915</v>
      </c>
      <c r="W58">
        <v>5.0581818181818182E-4</v>
      </c>
      <c r="X58">
        <f>O58/W58</f>
        <v>1607955.9070213276</v>
      </c>
      <c r="AA58">
        <v>48436.376707404743</v>
      </c>
      <c r="AF58" t="str">
        <f t="shared" si="0"/>
        <v/>
      </c>
      <c r="AH58">
        <v>1607955.9070213276</v>
      </c>
      <c r="BI58">
        <v>1984</v>
      </c>
    </row>
    <row r="59" spans="1:62" ht="108" x14ac:dyDescent="0.35">
      <c r="A59" s="5">
        <v>35065</v>
      </c>
      <c r="B59" s="6" t="s">
        <v>152</v>
      </c>
      <c r="C59" s="6" t="s">
        <v>34</v>
      </c>
      <c r="D59" s="6"/>
      <c r="E59" s="15" t="s">
        <v>153</v>
      </c>
      <c r="F59" s="5">
        <v>35065</v>
      </c>
      <c r="G59" s="8">
        <f t="shared" si="1"/>
        <v>1996</v>
      </c>
      <c r="H59" s="9"/>
      <c r="I59" s="9"/>
      <c r="J59">
        <v>24000</v>
      </c>
      <c r="K59">
        <v>60</v>
      </c>
      <c r="AD59">
        <f>IFERROR(J59*K59,"")</f>
        <v>1440000</v>
      </c>
      <c r="AF59" t="str">
        <f t="shared" si="0"/>
        <v/>
      </c>
      <c r="BI59">
        <v>1985</v>
      </c>
      <c r="BJ59">
        <f t="shared" si="2"/>
        <v>14</v>
      </c>
    </row>
    <row r="60" spans="1:62" ht="94.5" x14ac:dyDescent="0.25">
      <c r="A60" s="5">
        <v>35065</v>
      </c>
      <c r="B60" s="6" t="s">
        <v>154</v>
      </c>
      <c r="C60" s="6" t="s">
        <v>34</v>
      </c>
      <c r="D60" s="6"/>
      <c r="E60" s="7" t="s">
        <v>155</v>
      </c>
      <c r="F60" s="5">
        <v>35065</v>
      </c>
      <c r="G60" s="8">
        <f t="shared" si="1"/>
        <v>1996</v>
      </c>
      <c r="H60" s="9"/>
      <c r="I60" s="9"/>
      <c r="AF60" t="str">
        <f t="shared" si="0"/>
        <v/>
      </c>
      <c r="BI60">
        <v>1986</v>
      </c>
    </row>
    <row r="61" spans="1:62" ht="78.75" x14ac:dyDescent="0.25">
      <c r="A61" s="5">
        <v>35065</v>
      </c>
      <c r="B61" s="6" t="s">
        <v>156</v>
      </c>
      <c r="C61" s="6" t="s">
        <v>34</v>
      </c>
      <c r="D61" s="6"/>
      <c r="E61" s="7" t="s">
        <v>157</v>
      </c>
      <c r="F61" s="5">
        <v>35065</v>
      </c>
      <c r="G61" s="8">
        <f t="shared" si="1"/>
        <v>1996</v>
      </c>
      <c r="H61" s="9">
        <v>35</v>
      </c>
      <c r="I61" s="9"/>
      <c r="J61">
        <v>8000</v>
      </c>
      <c r="K61">
        <v>1180</v>
      </c>
      <c r="AD61">
        <f>IFERROR(J61*K61,"")</f>
        <v>9440000</v>
      </c>
      <c r="AF61" t="str">
        <f t="shared" si="0"/>
        <v/>
      </c>
      <c r="BI61">
        <v>1987</v>
      </c>
    </row>
    <row r="62" spans="1:62" ht="54" x14ac:dyDescent="0.35">
      <c r="A62" s="5">
        <v>35065</v>
      </c>
      <c r="B62" s="6" t="s">
        <v>158</v>
      </c>
      <c r="C62" s="6" t="s">
        <v>34</v>
      </c>
      <c r="D62" s="6"/>
      <c r="E62" s="15" t="s">
        <v>159</v>
      </c>
      <c r="F62" s="5">
        <v>35065</v>
      </c>
      <c r="G62" s="8">
        <f t="shared" si="1"/>
        <v>1996</v>
      </c>
      <c r="H62" s="9"/>
      <c r="I62" s="9">
        <v>18</v>
      </c>
      <c r="M62">
        <v>5.0000000000000001E-3</v>
      </c>
      <c r="AC62">
        <f>IFERROR(I62/M62,"")</f>
        <v>3600</v>
      </c>
      <c r="AF62" t="str">
        <f t="shared" si="0"/>
        <v/>
      </c>
      <c r="BI62">
        <v>1988</v>
      </c>
    </row>
    <row r="63" spans="1:62" ht="220.5" x14ac:dyDescent="0.25">
      <c r="A63" s="5">
        <v>35125</v>
      </c>
      <c r="B63" s="6" t="s">
        <v>160</v>
      </c>
      <c r="C63" s="6" t="s">
        <v>34</v>
      </c>
      <c r="D63" s="6"/>
      <c r="E63" s="7" t="s">
        <v>161</v>
      </c>
      <c r="F63" s="5">
        <v>35125</v>
      </c>
      <c r="G63" s="8">
        <f t="shared" si="1"/>
        <v>1996</v>
      </c>
      <c r="H63" s="9"/>
      <c r="I63" s="9"/>
      <c r="K63">
        <v>1200</v>
      </c>
      <c r="M63">
        <v>1E-3</v>
      </c>
      <c r="Y63" s="11">
        <f>IFERROR(K63/M63,"")</f>
        <v>1200000</v>
      </c>
      <c r="AF63" t="str">
        <f t="shared" si="0"/>
        <v/>
      </c>
      <c r="AH63">
        <v>1200000</v>
      </c>
      <c r="BI63">
        <v>1989</v>
      </c>
    </row>
    <row r="64" spans="1:62" ht="18" x14ac:dyDescent="0.35">
      <c r="A64" s="5">
        <v>35125</v>
      </c>
      <c r="B64" s="6" t="s">
        <v>162</v>
      </c>
      <c r="C64" s="6" t="s">
        <v>34</v>
      </c>
      <c r="D64" s="14" t="s">
        <v>163</v>
      </c>
      <c r="E64" s="15" t="s">
        <v>164</v>
      </c>
      <c r="F64" s="5">
        <v>35125</v>
      </c>
      <c r="G64" s="8">
        <f t="shared" si="1"/>
        <v>1996</v>
      </c>
      <c r="H64" s="9"/>
      <c r="I64" s="9"/>
      <c r="M64">
        <v>2.0000000000000002E-5</v>
      </c>
      <c r="AF64" t="str">
        <f t="shared" si="0"/>
        <v/>
      </c>
      <c r="BI64">
        <v>1990</v>
      </c>
    </row>
    <row r="65" spans="1:62" ht="141.75" x14ac:dyDescent="0.25">
      <c r="A65" s="5">
        <v>35156</v>
      </c>
      <c r="B65" s="6" t="s">
        <v>165</v>
      </c>
      <c r="C65" s="6" t="s">
        <v>34</v>
      </c>
      <c r="D65" s="6"/>
      <c r="E65" s="7" t="s">
        <v>166</v>
      </c>
      <c r="F65" s="5">
        <v>35156</v>
      </c>
      <c r="G65" s="8">
        <f t="shared" si="1"/>
        <v>1996</v>
      </c>
      <c r="H65" s="9"/>
      <c r="I65" s="9"/>
      <c r="M65">
        <v>2.0000000000000001E-4</v>
      </c>
      <c r="AF65" t="str">
        <f t="shared" si="0"/>
        <v/>
      </c>
      <c r="BI65">
        <v>1991</v>
      </c>
    </row>
    <row r="66" spans="1:62" ht="18" x14ac:dyDescent="0.35">
      <c r="A66" s="5">
        <v>35156</v>
      </c>
      <c r="B66" s="6" t="s">
        <v>167</v>
      </c>
      <c r="C66" s="6" t="s">
        <v>34</v>
      </c>
      <c r="D66" s="6"/>
      <c r="E66" s="15" t="s">
        <v>168</v>
      </c>
      <c r="F66" s="5">
        <v>35156</v>
      </c>
      <c r="G66" s="8">
        <f t="shared" si="1"/>
        <v>1996</v>
      </c>
      <c r="H66" s="9"/>
      <c r="I66" s="9"/>
      <c r="M66">
        <v>2.0000000000000001E-4</v>
      </c>
      <c r="AF66" t="str">
        <f t="shared" ref="AF66:AF101" si="4">IFERROR(H66*L66/(M66*N66),"")</f>
        <v/>
      </c>
      <c r="BI66">
        <v>1992</v>
      </c>
    </row>
    <row r="67" spans="1:62" ht="126" x14ac:dyDescent="0.35">
      <c r="A67" s="5">
        <v>35156</v>
      </c>
      <c r="B67" s="6" t="s">
        <v>169</v>
      </c>
      <c r="C67" s="6" t="s">
        <v>34</v>
      </c>
      <c r="D67" s="6"/>
      <c r="E67" s="15" t="s">
        <v>170</v>
      </c>
      <c r="F67" s="5">
        <v>35156</v>
      </c>
      <c r="G67" s="8">
        <f t="shared" si="1"/>
        <v>1996</v>
      </c>
      <c r="H67" s="9"/>
      <c r="I67" s="9"/>
      <c r="M67">
        <v>8.0000000000000004E-4</v>
      </c>
      <c r="AF67" t="str">
        <f t="shared" si="4"/>
        <v/>
      </c>
      <c r="BI67">
        <v>1993</v>
      </c>
    </row>
    <row r="68" spans="1:62" ht="18" x14ac:dyDescent="0.35">
      <c r="A68" s="5">
        <v>35156</v>
      </c>
      <c r="B68" s="6" t="s">
        <v>171</v>
      </c>
      <c r="C68" s="6" t="s">
        <v>34</v>
      </c>
      <c r="D68" s="6"/>
      <c r="E68" s="15" t="s">
        <v>172</v>
      </c>
      <c r="F68" s="5">
        <v>35156</v>
      </c>
      <c r="G68" s="8">
        <f t="shared" ref="G68:G101" si="5">YEAR(F68)</f>
        <v>1996</v>
      </c>
      <c r="H68" s="9"/>
      <c r="I68" s="9"/>
      <c r="M68">
        <v>7.7999999999999999E-5</v>
      </c>
      <c r="AF68" t="str">
        <f t="shared" si="4"/>
        <v/>
      </c>
      <c r="BI68">
        <v>1994</v>
      </c>
    </row>
    <row r="69" spans="1:62" ht="90" x14ac:dyDescent="0.35">
      <c r="A69" s="5">
        <v>35156</v>
      </c>
      <c r="B69" s="6" t="s">
        <v>173</v>
      </c>
      <c r="C69" s="6" t="s">
        <v>34</v>
      </c>
      <c r="D69" s="6"/>
      <c r="E69" s="15" t="s">
        <v>174</v>
      </c>
      <c r="F69" s="5">
        <v>35156</v>
      </c>
      <c r="G69" s="8">
        <f t="shared" si="5"/>
        <v>1996</v>
      </c>
      <c r="H69" s="9"/>
      <c r="I69" s="9"/>
      <c r="L69">
        <f>20*16</f>
        <v>320</v>
      </c>
      <c r="N69">
        <v>55000</v>
      </c>
      <c r="AF69" t="str">
        <f t="shared" si="4"/>
        <v/>
      </c>
      <c r="BI69">
        <v>1995</v>
      </c>
      <c r="BJ69">
        <f t="shared" ref="BJ69:BJ86" si="6">COUNTIF($G$2:$G$101,BI69)</f>
        <v>5</v>
      </c>
    </row>
    <row r="70" spans="1:62" ht="18" x14ac:dyDescent="0.35">
      <c r="A70" s="5">
        <v>35247</v>
      </c>
      <c r="B70" s="6" t="s">
        <v>175</v>
      </c>
      <c r="C70" s="6" t="s">
        <v>34</v>
      </c>
      <c r="D70" s="6"/>
      <c r="E70" s="15" t="s">
        <v>176</v>
      </c>
      <c r="F70" s="5">
        <v>35247</v>
      </c>
      <c r="G70" s="8">
        <f t="shared" si="5"/>
        <v>1996</v>
      </c>
      <c r="H70" s="9"/>
      <c r="I70" s="9"/>
      <c r="M70">
        <v>2.0000000000000001E-4</v>
      </c>
      <c r="AF70" t="str">
        <f t="shared" si="4"/>
        <v/>
      </c>
      <c r="BI70">
        <v>1996</v>
      </c>
      <c r="BJ70">
        <f t="shared" si="6"/>
        <v>14</v>
      </c>
    </row>
    <row r="71" spans="1:62" ht="63" x14ac:dyDescent="0.25">
      <c r="A71" s="5">
        <v>35247</v>
      </c>
      <c r="B71" s="6" t="s">
        <v>177</v>
      </c>
      <c r="C71" s="6" t="s">
        <v>34</v>
      </c>
      <c r="D71" s="6"/>
      <c r="E71" s="7" t="s">
        <v>178</v>
      </c>
      <c r="F71" s="5">
        <v>35247</v>
      </c>
      <c r="G71" s="8">
        <f t="shared" si="5"/>
        <v>1996</v>
      </c>
      <c r="H71" s="9">
        <v>14</v>
      </c>
      <c r="I71" s="9"/>
      <c r="J71">
        <v>6000</v>
      </c>
      <c r="AF71" t="str">
        <f t="shared" si="4"/>
        <v/>
      </c>
      <c r="BI71">
        <v>1997</v>
      </c>
    </row>
    <row r="72" spans="1:62" x14ac:dyDescent="0.25">
      <c r="A72" s="5">
        <v>37104</v>
      </c>
      <c r="B72" s="6" t="s">
        <v>179</v>
      </c>
      <c r="C72" s="6" t="s">
        <v>34</v>
      </c>
      <c r="D72" s="6"/>
      <c r="E72" s="7" t="s">
        <v>180</v>
      </c>
      <c r="F72" s="5">
        <v>37104</v>
      </c>
      <c r="G72" s="8">
        <f t="shared" si="5"/>
        <v>2001</v>
      </c>
      <c r="H72" s="9"/>
      <c r="I72" s="9"/>
      <c r="O72">
        <f>AVERAGE(K72:K76)</f>
        <v>2685</v>
      </c>
      <c r="Q72">
        <f>AVERAGE(N72:N76)</f>
        <v>150000</v>
      </c>
      <c r="U72" t="str">
        <f>IFERROR(O72/T72,"")</f>
        <v/>
      </c>
      <c r="W72">
        <v>5.0581818181818182E-4</v>
      </c>
      <c r="X72">
        <f>O72/W72</f>
        <v>5308231.4881380303</v>
      </c>
      <c r="AF72" t="str">
        <f t="shared" si="4"/>
        <v/>
      </c>
      <c r="AH72">
        <v>5308231.4881380303</v>
      </c>
      <c r="BI72">
        <v>1998</v>
      </c>
    </row>
    <row r="73" spans="1:62" ht="72" x14ac:dyDescent="0.35">
      <c r="A73" s="5">
        <v>37104</v>
      </c>
      <c r="B73" s="6" t="s">
        <v>181</v>
      </c>
      <c r="C73" s="6" t="s">
        <v>34</v>
      </c>
      <c r="D73" s="6"/>
      <c r="E73" s="15" t="s">
        <v>182</v>
      </c>
      <c r="F73" s="5">
        <v>37104</v>
      </c>
      <c r="G73" s="8">
        <f t="shared" si="5"/>
        <v>2001</v>
      </c>
      <c r="H73" s="9"/>
      <c r="I73" s="9"/>
      <c r="AF73" t="str">
        <f t="shared" si="4"/>
        <v/>
      </c>
      <c r="BI73">
        <v>1999</v>
      </c>
    </row>
    <row r="74" spans="1:62" ht="18" x14ac:dyDescent="0.35">
      <c r="A74" s="5">
        <v>37104</v>
      </c>
      <c r="B74" s="6" t="s">
        <v>183</v>
      </c>
      <c r="C74" s="6" t="s">
        <v>34</v>
      </c>
      <c r="D74" s="6"/>
      <c r="E74" s="15" t="s">
        <v>184</v>
      </c>
      <c r="F74" s="5">
        <v>37104</v>
      </c>
      <c r="G74" s="8">
        <f t="shared" si="5"/>
        <v>2001</v>
      </c>
      <c r="H74" s="9"/>
      <c r="I74" s="9"/>
      <c r="K74">
        <v>2685</v>
      </c>
      <c r="AF74" t="str">
        <f t="shared" si="4"/>
        <v/>
      </c>
      <c r="BI74">
        <v>2000</v>
      </c>
    </row>
    <row r="75" spans="1:62" ht="54" x14ac:dyDescent="0.35">
      <c r="A75" s="5">
        <v>37104</v>
      </c>
      <c r="B75" s="6" t="s">
        <v>185</v>
      </c>
      <c r="C75" s="6" t="s">
        <v>34</v>
      </c>
      <c r="D75" s="6"/>
      <c r="E75" s="15" t="s">
        <v>186</v>
      </c>
      <c r="F75" s="5">
        <v>37104</v>
      </c>
      <c r="G75" s="8">
        <f t="shared" si="5"/>
        <v>2001</v>
      </c>
      <c r="H75" s="9"/>
      <c r="I75" s="9"/>
      <c r="J75">
        <v>36000</v>
      </c>
      <c r="AF75" t="str">
        <f t="shared" si="4"/>
        <v/>
      </c>
      <c r="BI75">
        <v>2001</v>
      </c>
      <c r="BJ75">
        <f t="shared" si="6"/>
        <v>5</v>
      </c>
    </row>
    <row r="76" spans="1:62" ht="47.25" x14ac:dyDescent="0.25">
      <c r="A76" s="5">
        <v>37104</v>
      </c>
      <c r="B76" s="6" t="s">
        <v>187</v>
      </c>
      <c r="C76" s="6" t="s">
        <v>34</v>
      </c>
      <c r="D76" s="6"/>
      <c r="E76" s="7" t="s">
        <v>188</v>
      </c>
      <c r="F76" s="5">
        <v>37104</v>
      </c>
      <c r="G76" s="8">
        <f t="shared" si="5"/>
        <v>2001</v>
      </c>
      <c r="H76" s="9"/>
      <c r="I76" s="9"/>
      <c r="N76">
        <v>150000</v>
      </c>
      <c r="AF76" t="str">
        <f t="shared" si="4"/>
        <v/>
      </c>
      <c r="BI76">
        <v>2002</v>
      </c>
    </row>
    <row r="77" spans="1:62" ht="90" x14ac:dyDescent="0.35">
      <c r="A77" s="5">
        <v>41122</v>
      </c>
      <c r="B77" s="6" t="s">
        <v>189</v>
      </c>
      <c r="C77" s="6" t="s">
        <v>34</v>
      </c>
      <c r="D77" s="14" t="s">
        <v>190</v>
      </c>
      <c r="E77" s="15" t="s">
        <v>191</v>
      </c>
      <c r="F77" s="5">
        <v>41122</v>
      </c>
      <c r="G77" s="8">
        <f t="shared" si="5"/>
        <v>2012</v>
      </c>
      <c r="H77" s="9"/>
      <c r="I77" s="9"/>
      <c r="J77">
        <v>20000</v>
      </c>
      <c r="O77">
        <f>AVERAGE(K77:K96)</f>
        <v>1806.3733333333334</v>
      </c>
      <c r="P77">
        <f>AVERAGE(H77:H96)</f>
        <v>44.1</v>
      </c>
      <c r="S77">
        <f>P77/W77</f>
        <v>87185.478073328544</v>
      </c>
      <c r="U77" t="str">
        <f>IFERROR(O77/T77,"")</f>
        <v/>
      </c>
      <c r="W77">
        <v>5.0581818181818182E-4</v>
      </c>
      <c r="X77">
        <f>O77/W77</f>
        <v>3571190.9896956626</v>
      </c>
      <c r="AA77">
        <v>87185.478073328544</v>
      </c>
      <c r="AF77" t="str">
        <f t="shared" si="4"/>
        <v/>
      </c>
      <c r="AH77">
        <v>3571190.9896956626</v>
      </c>
      <c r="BI77">
        <v>2003</v>
      </c>
    </row>
    <row r="78" spans="1:62" ht="36" x14ac:dyDescent="0.35">
      <c r="A78" s="5">
        <v>41122</v>
      </c>
      <c r="B78" s="6" t="s">
        <v>192</v>
      </c>
      <c r="C78" s="6" t="s">
        <v>34</v>
      </c>
      <c r="D78" s="14" t="s">
        <v>193</v>
      </c>
      <c r="E78" s="15" t="s">
        <v>194</v>
      </c>
      <c r="F78" s="5">
        <v>41122</v>
      </c>
      <c r="G78" s="8">
        <f t="shared" si="5"/>
        <v>2012</v>
      </c>
      <c r="H78" s="9">
        <v>25</v>
      </c>
      <c r="I78" s="9">
        <v>2.5</v>
      </c>
      <c r="K78">
        <v>1181</v>
      </c>
      <c r="AF78" t="str">
        <f t="shared" si="4"/>
        <v/>
      </c>
      <c r="BI78">
        <v>2004</v>
      </c>
    </row>
    <row r="79" spans="1:62" ht="18" x14ac:dyDescent="0.35">
      <c r="A79" s="5">
        <v>41122</v>
      </c>
      <c r="B79" s="6" t="s">
        <v>195</v>
      </c>
      <c r="C79" s="6" t="s">
        <v>34</v>
      </c>
      <c r="D79" s="14" t="s">
        <v>196</v>
      </c>
      <c r="E79" s="15" t="s">
        <v>197</v>
      </c>
      <c r="F79" s="5">
        <v>41122</v>
      </c>
      <c r="G79" s="8">
        <f t="shared" si="5"/>
        <v>2012</v>
      </c>
      <c r="H79" s="9"/>
      <c r="I79" s="9"/>
      <c r="AF79" t="str">
        <f t="shared" si="4"/>
        <v/>
      </c>
      <c r="BI79">
        <v>2005</v>
      </c>
    </row>
    <row r="80" spans="1:62" ht="18" x14ac:dyDescent="0.35">
      <c r="A80" s="5">
        <v>41122</v>
      </c>
      <c r="B80" s="6" t="s">
        <v>198</v>
      </c>
      <c r="C80" s="6" t="s">
        <v>34</v>
      </c>
      <c r="D80" s="14" t="s">
        <v>199</v>
      </c>
      <c r="E80" s="15" t="s">
        <v>200</v>
      </c>
      <c r="F80" s="5">
        <v>41122</v>
      </c>
      <c r="G80" s="8">
        <f t="shared" si="5"/>
        <v>2012</v>
      </c>
      <c r="H80" s="9"/>
      <c r="I80" s="9"/>
      <c r="L80">
        <f>55*44.3</f>
        <v>2436.5</v>
      </c>
      <c r="AF80" t="str">
        <f t="shared" si="4"/>
        <v/>
      </c>
      <c r="BI80">
        <v>2006</v>
      </c>
    </row>
    <row r="81" spans="1:62" ht="36" x14ac:dyDescent="0.35">
      <c r="A81" s="5">
        <v>41122</v>
      </c>
      <c r="B81" s="6" t="s">
        <v>201</v>
      </c>
      <c r="C81" s="6" t="s">
        <v>34</v>
      </c>
      <c r="D81" s="14" t="s">
        <v>202</v>
      </c>
      <c r="E81" s="15" t="s">
        <v>203</v>
      </c>
      <c r="F81" s="5">
        <v>41122</v>
      </c>
      <c r="G81" s="8">
        <f t="shared" si="5"/>
        <v>2012</v>
      </c>
      <c r="H81" s="9"/>
      <c r="I81" s="9"/>
      <c r="J81">
        <v>12000</v>
      </c>
      <c r="K81">
        <v>1378</v>
      </c>
      <c r="L81">
        <f>42*24</f>
        <v>1008</v>
      </c>
      <c r="AD81">
        <f t="shared" ref="AD81:AD99" si="7">IFERROR(J81*K81,"")</f>
        <v>16536000</v>
      </c>
      <c r="AF81" t="str">
        <f t="shared" si="4"/>
        <v/>
      </c>
      <c r="BI81">
        <v>2007</v>
      </c>
    </row>
    <row r="82" spans="1:62" ht="72" x14ac:dyDescent="0.35">
      <c r="A82" s="5">
        <v>41122</v>
      </c>
      <c r="B82" s="6" t="s">
        <v>204</v>
      </c>
      <c r="C82" s="6" t="s">
        <v>34</v>
      </c>
      <c r="D82" s="14" t="s">
        <v>205</v>
      </c>
      <c r="E82" s="15" t="s">
        <v>206</v>
      </c>
      <c r="F82" s="5">
        <v>41122</v>
      </c>
      <c r="G82" s="8">
        <f t="shared" si="5"/>
        <v>2012</v>
      </c>
      <c r="H82" s="9"/>
      <c r="I82" s="9"/>
      <c r="J82">
        <v>30000</v>
      </c>
      <c r="K82">
        <v>2362</v>
      </c>
      <c r="AD82">
        <f t="shared" si="7"/>
        <v>70860000</v>
      </c>
      <c r="AF82" t="str">
        <f t="shared" si="4"/>
        <v/>
      </c>
      <c r="BI82">
        <v>2008</v>
      </c>
    </row>
    <row r="83" spans="1:62" ht="36" x14ac:dyDescent="0.35">
      <c r="A83" s="5">
        <v>41122</v>
      </c>
      <c r="B83" s="6" t="s">
        <v>207</v>
      </c>
      <c r="C83" s="6" t="s">
        <v>34</v>
      </c>
      <c r="D83" s="14" t="s">
        <v>208</v>
      </c>
      <c r="E83" s="15" t="s">
        <v>209</v>
      </c>
      <c r="F83" s="5">
        <v>41122</v>
      </c>
      <c r="G83" s="8">
        <f t="shared" si="5"/>
        <v>2012</v>
      </c>
      <c r="H83" s="9">
        <v>58</v>
      </c>
      <c r="I83" s="9"/>
      <c r="J83">
        <v>12000</v>
      </c>
      <c r="L83">
        <f>111*22</f>
        <v>2442</v>
      </c>
      <c r="AF83" t="str">
        <f t="shared" si="4"/>
        <v/>
      </c>
      <c r="BI83">
        <v>2009</v>
      </c>
    </row>
    <row r="84" spans="1:62" ht="54" x14ac:dyDescent="0.35">
      <c r="A84" s="5">
        <v>41122</v>
      </c>
      <c r="B84" s="6" t="s">
        <v>210</v>
      </c>
      <c r="C84" s="6" t="s">
        <v>34</v>
      </c>
      <c r="D84" s="14" t="s">
        <v>211</v>
      </c>
      <c r="E84" s="15" t="s">
        <v>212</v>
      </c>
      <c r="F84" s="5">
        <v>41122</v>
      </c>
      <c r="G84" s="8">
        <f t="shared" si="5"/>
        <v>2012</v>
      </c>
      <c r="H84" s="9"/>
      <c r="I84" s="9"/>
      <c r="J84">
        <v>48000</v>
      </c>
      <c r="AF84" t="str">
        <f t="shared" si="4"/>
        <v/>
      </c>
      <c r="BI84">
        <v>2010</v>
      </c>
    </row>
    <row r="85" spans="1:62" ht="54" x14ac:dyDescent="0.35">
      <c r="A85" s="5">
        <v>41122</v>
      </c>
      <c r="B85" s="6" t="s">
        <v>213</v>
      </c>
      <c r="C85" s="6" t="s">
        <v>34</v>
      </c>
      <c r="D85" s="14" t="s">
        <v>214</v>
      </c>
      <c r="E85" s="15" t="s">
        <v>215</v>
      </c>
      <c r="F85" s="5">
        <v>41122</v>
      </c>
      <c r="G85" s="8">
        <f t="shared" si="5"/>
        <v>2012</v>
      </c>
      <c r="H85" s="9"/>
      <c r="I85" s="9"/>
      <c r="AF85" t="str">
        <f t="shared" si="4"/>
        <v/>
      </c>
      <c r="BI85">
        <v>2011</v>
      </c>
    </row>
    <row r="86" spans="1:62" ht="36" x14ac:dyDescent="0.35">
      <c r="A86" s="5">
        <v>41122</v>
      </c>
      <c r="B86" s="6" t="s">
        <v>216</v>
      </c>
      <c r="C86" s="6" t="s">
        <v>34</v>
      </c>
      <c r="D86" s="14" t="s">
        <v>217</v>
      </c>
      <c r="E86" s="15" t="s">
        <v>218</v>
      </c>
      <c r="F86" s="5">
        <v>41122</v>
      </c>
      <c r="G86" s="8">
        <f t="shared" si="5"/>
        <v>2012</v>
      </c>
      <c r="H86" s="9"/>
      <c r="I86" s="9"/>
      <c r="J86">
        <v>800</v>
      </c>
      <c r="K86">
        <f>31.4*37.4</f>
        <v>1174.3599999999999</v>
      </c>
      <c r="AD86">
        <f t="shared" si="7"/>
        <v>939487.99999999988</v>
      </c>
      <c r="AF86" t="str">
        <f t="shared" si="4"/>
        <v/>
      </c>
      <c r="BI86">
        <v>2012</v>
      </c>
      <c r="BJ86">
        <f t="shared" si="6"/>
        <v>25</v>
      </c>
    </row>
    <row r="87" spans="1:62" ht="36" x14ac:dyDescent="0.35">
      <c r="A87" s="5">
        <v>41122</v>
      </c>
      <c r="B87" s="6" t="s">
        <v>219</v>
      </c>
      <c r="C87" s="6" t="s">
        <v>34</v>
      </c>
      <c r="D87" s="14" t="s">
        <v>220</v>
      </c>
      <c r="E87" s="15" t="s">
        <v>221</v>
      </c>
      <c r="F87" s="5">
        <v>41122</v>
      </c>
      <c r="G87" s="8">
        <f t="shared" si="5"/>
        <v>2012</v>
      </c>
      <c r="H87" s="9"/>
      <c r="I87" s="9"/>
      <c r="J87">
        <v>15000</v>
      </c>
      <c r="K87">
        <f>38*24</f>
        <v>912</v>
      </c>
      <c r="L87">
        <v>1600</v>
      </c>
      <c r="AD87">
        <f t="shared" si="7"/>
        <v>13680000</v>
      </c>
      <c r="AF87" t="str">
        <f t="shared" si="4"/>
        <v/>
      </c>
      <c r="BI87">
        <v>2013</v>
      </c>
    </row>
    <row r="88" spans="1:62" ht="64.5" x14ac:dyDescent="0.35">
      <c r="A88" s="5">
        <v>41122</v>
      </c>
      <c r="B88" s="6" t="s">
        <v>222</v>
      </c>
      <c r="C88" s="6" t="s">
        <v>34</v>
      </c>
      <c r="D88" s="14" t="s">
        <v>223</v>
      </c>
      <c r="E88" s="7" t="s">
        <v>224</v>
      </c>
      <c r="F88" s="5">
        <v>41122</v>
      </c>
      <c r="G88" s="8">
        <f t="shared" si="5"/>
        <v>2012</v>
      </c>
      <c r="H88" s="9">
        <v>30</v>
      </c>
      <c r="I88" s="9"/>
      <c r="J88">
        <v>15000</v>
      </c>
      <c r="L88">
        <f>25.6*16</f>
        <v>409.6</v>
      </c>
      <c r="AF88" t="str">
        <f t="shared" si="4"/>
        <v/>
      </c>
    </row>
    <row r="89" spans="1:62" ht="111.75" x14ac:dyDescent="0.35">
      <c r="A89" s="5">
        <v>41122</v>
      </c>
      <c r="B89" s="6" t="s">
        <v>225</v>
      </c>
      <c r="C89" s="6" t="s">
        <v>34</v>
      </c>
      <c r="D89" s="14" t="s">
        <v>226</v>
      </c>
      <c r="E89" s="7" t="s">
        <v>227</v>
      </c>
      <c r="F89" s="5">
        <v>41122</v>
      </c>
      <c r="G89" s="8">
        <f t="shared" si="5"/>
        <v>2012</v>
      </c>
      <c r="H89" s="9"/>
      <c r="I89" s="9"/>
      <c r="J89">
        <v>18000</v>
      </c>
      <c r="K89">
        <v>2362</v>
      </c>
      <c r="L89">
        <f>43.3*24.8</f>
        <v>1073.8399999999999</v>
      </c>
      <c r="AD89">
        <f t="shared" si="7"/>
        <v>42516000</v>
      </c>
      <c r="AF89" t="str">
        <f t="shared" si="4"/>
        <v/>
      </c>
    </row>
    <row r="90" spans="1:62" ht="18" x14ac:dyDescent="0.35">
      <c r="A90" s="5">
        <v>41122</v>
      </c>
      <c r="B90" s="6" t="s">
        <v>228</v>
      </c>
      <c r="C90" s="6" t="s">
        <v>34</v>
      </c>
      <c r="D90" s="14" t="s">
        <v>229</v>
      </c>
      <c r="E90" s="7" t="s">
        <v>230</v>
      </c>
      <c r="F90" s="5">
        <v>41122</v>
      </c>
      <c r="G90" s="8">
        <f t="shared" si="5"/>
        <v>2012</v>
      </c>
      <c r="H90" s="9">
        <v>78</v>
      </c>
      <c r="I90" s="9"/>
      <c r="AF90" t="str">
        <f t="shared" si="4"/>
        <v/>
      </c>
    </row>
    <row r="91" spans="1:62" ht="18" x14ac:dyDescent="0.35">
      <c r="A91" s="5">
        <v>41122</v>
      </c>
      <c r="B91" s="6" t="s">
        <v>231</v>
      </c>
      <c r="C91" s="6" t="s">
        <v>34</v>
      </c>
      <c r="D91" s="14" t="s">
        <v>232</v>
      </c>
      <c r="E91" s="15" t="s">
        <v>233</v>
      </c>
      <c r="F91" s="5">
        <v>41122</v>
      </c>
      <c r="G91" s="8">
        <f t="shared" si="5"/>
        <v>2012</v>
      </c>
      <c r="H91" s="9"/>
      <c r="I91" s="9"/>
      <c r="J91">
        <v>50000</v>
      </c>
      <c r="AF91" t="str">
        <f t="shared" si="4"/>
        <v/>
      </c>
    </row>
    <row r="92" spans="1:62" ht="36" x14ac:dyDescent="0.35">
      <c r="A92" s="5">
        <v>41122</v>
      </c>
      <c r="B92" s="6" t="s">
        <v>234</v>
      </c>
      <c r="C92" s="6" t="s">
        <v>235</v>
      </c>
      <c r="D92" s="14" t="s">
        <v>236</v>
      </c>
      <c r="E92" s="15" t="s">
        <v>237</v>
      </c>
      <c r="F92" s="5">
        <v>41122</v>
      </c>
      <c r="G92" s="8">
        <f t="shared" si="5"/>
        <v>2012</v>
      </c>
      <c r="H92" s="9"/>
      <c r="I92" s="9">
        <v>0.125</v>
      </c>
      <c r="J92">
        <v>120000</v>
      </c>
      <c r="AF92" t="str">
        <f t="shared" si="4"/>
        <v/>
      </c>
    </row>
    <row r="93" spans="1:62" ht="72" x14ac:dyDescent="0.35">
      <c r="A93" s="5">
        <v>41122</v>
      </c>
      <c r="B93" s="6" t="s">
        <v>238</v>
      </c>
      <c r="C93" s="6" t="s">
        <v>34</v>
      </c>
      <c r="D93" s="14" t="s">
        <v>239</v>
      </c>
      <c r="E93" s="15" t="s">
        <v>240</v>
      </c>
      <c r="F93" s="5">
        <v>41122</v>
      </c>
      <c r="G93" s="8">
        <f t="shared" si="5"/>
        <v>2012</v>
      </c>
      <c r="H93" s="9"/>
      <c r="I93" s="9"/>
      <c r="K93">
        <v>1574</v>
      </c>
      <c r="AF93" t="str">
        <f t="shared" si="4"/>
        <v/>
      </c>
    </row>
    <row r="94" spans="1:62" ht="18" x14ac:dyDescent="0.35">
      <c r="A94" s="5">
        <v>41122</v>
      </c>
      <c r="B94" s="6" t="s">
        <v>241</v>
      </c>
      <c r="C94" s="6" t="s">
        <v>34</v>
      </c>
      <c r="D94" s="14" t="s">
        <v>242</v>
      </c>
      <c r="E94" s="15" t="s">
        <v>243</v>
      </c>
      <c r="F94" s="5">
        <v>41122</v>
      </c>
      <c r="G94" s="8">
        <f t="shared" si="5"/>
        <v>2012</v>
      </c>
      <c r="H94" s="9"/>
      <c r="I94" s="9"/>
      <c r="AF94" t="str">
        <f t="shared" si="4"/>
        <v/>
      </c>
    </row>
    <row r="95" spans="1:62" ht="54" x14ac:dyDescent="0.35">
      <c r="A95" s="5">
        <v>41122</v>
      </c>
      <c r="B95" s="6" t="s">
        <v>244</v>
      </c>
      <c r="C95" s="6" t="s">
        <v>34</v>
      </c>
      <c r="D95" s="14" t="s">
        <v>245</v>
      </c>
      <c r="E95" s="15" t="s">
        <v>246</v>
      </c>
      <c r="F95" s="5">
        <v>41122</v>
      </c>
      <c r="G95" s="8">
        <f t="shared" si="5"/>
        <v>2012</v>
      </c>
      <c r="H95" s="9"/>
      <c r="I95" s="9"/>
      <c r="K95">
        <v>1771</v>
      </c>
      <c r="AF95" t="str">
        <f t="shared" si="4"/>
        <v/>
      </c>
    </row>
    <row r="96" spans="1:62" ht="18" x14ac:dyDescent="0.35">
      <c r="A96" s="5">
        <v>41122</v>
      </c>
      <c r="B96" s="6" t="s">
        <v>247</v>
      </c>
      <c r="C96" s="6" t="s">
        <v>34</v>
      </c>
      <c r="D96" s="14" t="s">
        <v>248</v>
      </c>
      <c r="E96" s="15" t="s">
        <v>249</v>
      </c>
      <c r="F96" s="5">
        <v>41122</v>
      </c>
      <c r="G96" s="8">
        <f t="shared" si="5"/>
        <v>2012</v>
      </c>
      <c r="H96" s="9">
        <v>29.5</v>
      </c>
      <c r="I96" s="9"/>
      <c r="J96">
        <v>15000</v>
      </c>
      <c r="K96">
        <v>3543</v>
      </c>
      <c r="AD96">
        <f t="shared" si="7"/>
        <v>53145000</v>
      </c>
      <c r="AF96" t="str">
        <f t="shared" si="4"/>
        <v/>
      </c>
    </row>
    <row r="97" spans="1:32" ht="111.75" x14ac:dyDescent="0.35">
      <c r="A97" s="5">
        <v>41122</v>
      </c>
      <c r="B97" s="6" t="s">
        <v>250</v>
      </c>
      <c r="C97" s="6" t="s">
        <v>34</v>
      </c>
      <c r="D97" s="14" t="s">
        <v>251</v>
      </c>
      <c r="E97" s="7" t="s">
        <v>252</v>
      </c>
      <c r="F97" s="5">
        <v>41122</v>
      </c>
      <c r="G97" s="8">
        <f t="shared" si="5"/>
        <v>2012</v>
      </c>
      <c r="H97" s="9">
        <v>30</v>
      </c>
      <c r="I97" s="9"/>
      <c r="L97">
        <f>30*22</f>
        <v>660</v>
      </c>
      <c r="AF97" t="str">
        <f t="shared" si="4"/>
        <v/>
      </c>
    </row>
    <row r="98" spans="1:32" ht="36" x14ac:dyDescent="0.35">
      <c r="A98" s="5">
        <v>41122</v>
      </c>
      <c r="B98" s="6" t="s">
        <v>253</v>
      </c>
      <c r="C98" s="6" t="s">
        <v>34</v>
      </c>
      <c r="D98" s="14" t="s">
        <v>254</v>
      </c>
      <c r="E98" s="15" t="s">
        <v>255</v>
      </c>
      <c r="F98" s="5">
        <v>41122</v>
      </c>
      <c r="G98" s="8">
        <f t="shared" si="5"/>
        <v>2012</v>
      </c>
      <c r="H98" s="9">
        <v>20</v>
      </c>
      <c r="I98" s="9"/>
      <c r="J98">
        <v>12000</v>
      </c>
      <c r="L98">
        <f>13.8*13.8</f>
        <v>190.44000000000003</v>
      </c>
      <c r="AF98" t="str">
        <f t="shared" si="4"/>
        <v/>
      </c>
    </row>
    <row r="99" spans="1:32" ht="90" x14ac:dyDescent="0.35">
      <c r="A99" s="5">
        <v>41122</v>
      </c>
      <c r="B99" s="6" t="s">
        <v>256</v>
      </c>
      <c r="C99" s="6" t="s">
        <v>34</v>
      </c>
      <c r="D99" s="14" t="s">
        <v>257</v>
      </c>
      <c r="E99" s="15" t="s">
        <v>258</v>
      </c>
      <c r="F99" s="5">
        <v>41122</v>
      </c>
      <c r="G99" s="8">
        <f t="shared" si="5"/>
        <v>2012</v>
      </c>
      <c r="H99" s="9"/>
      <c r="I99" s="9"/>
      <c r="J99">
        <v>12000</v>
      </c>
      <c r="K99">
        <v>1417</v>
      </c>
      <c r="L99">
        <f>43*22</f>
        <v>946</v>
      </c>
      <c r="AD99">
        <f t="shared" si="7"/>
        <v>17004000</v>
      </c>
      <c r="AF99" t="str">
        <f t="shared" si="4"/>
        <v/>
      </c>
    </row>
    <row r="100" spans="1:32" ht="127.5" x14ac:dyDescent="0.35">
      <c r="A100" s="5">
        <v>41122</v>
      </c>
      <c r="B100" s="6" t="s">
        <v>259</v>
      </c>
      <c r="C100" s="6" t="s">
        <v>34</v>
      </c>
      <c r="D100" s="14" t="s">
        <v>260</v>
      </c>
      <c r="E100" s="7" t="s">
        <v>261</v>
      </c>
      <c r="F100" s="5">
        <v>41122</v>
      </c>
      <c r="G100" s="8">
        <f t="shared" si="5"/>
        <v>2012</v>
      </c>
      <c r="H100" s="9">
        <v>50</v>
      </c>
      <c r="I100" s="9"/>
      <c r="J100">
        <v>2500</v>
      </c>
      <c r="L100">
        <f>63*71.87</f>
        <v>4527.8100000000004</v>
      </c>
      <c r="AF100" t="str">
        <f t="shared" si="4"/>
        <v/>
      </c>
    </row>
    <row r="101" spans="1:32" ht="18" x14ac:dyDescent="0.35">
      <c r="A101" s="5">
        <v>41122</v>
      </c>
      <c r="B101" s="6" t="s">
        <v>262</v>
      </c>
      <c r="C101" s="6" t="s">
        <v>34</v>
      </c>
      <c r="D101" s="14" t="s">
        <v>263</v>
      </c>
      <c r="E101" s="15" t="s">
        <v>264</v>
      </c>
      <c r="F101" s="5">
        <v>41122</v>
      </c>
      <c r="G101" s="8">
        <f t="shared" si="5"/>
        <v>2012</v>
      </c>
      <c r="H101" s="9">
        <v>60</v>
      </c>
      <c r="I101" s="9"/>
      <c r="J101">
        <v>4000</v>
      </c>
      <c r="L101">
        <f>78.7*94.4</f>
        <v>7429.2800000000007</v>
      </c>
      <c r="AF101" t="str">
        <f t="shared" si="4"/>
        <v/>
      </c>
    </row>
    <row r="102" spans="1:32" x14ac:dyDescent="0.25">
      <c r="H102" s="9"/>
      <c r="I102" s="9"/>
    </row>
    <row r="103" spans="1:32" x14ac:dyDescent="0.25">
      <c r="H103" s="9"/>
      <c r="I103" s="9"/>
      <c r="M103">
        <f>AVERAGE(M2:M101)</f>
        <v>5.0581818181818182E-4</v>
      </c>
    </row>
    <row r="104" spans="1:32" x14ac:dyDescent="0.25">
      <c r="H104" s="9"/>
      <c r="I104" s="9"/>
    </row>
    <row r="105" spans="1:32" x14ac:dyDescent="0.25">
      <c r="H105" s="9"/>
      <c r="I105" s="9"/>
    </row>
    <row r="106" spans="1:32" x14ac:dyDescent="0.25">
      <c r="H106" s="9"/>
      <c r="I106" s="9"/>
    </row>
    <row r="107" spans="1:32" x14ac:dyDescent="0.25">
      <c r="H107" s="9"/>
      <c r="I107" s="9"/>
    </row>
    <row r="108" spans="1:32" x14ac:dyDescent="0.25">
      <c r="H108" s="9"/>
      <c r="I108" s="9"/>
    </row>
    <row r="109" spans="1:32" x14ac:dyDescent="0.25">
      <c r="H109" s="9"/>
      <c r="I109" s="9"/>
    </row>
    <row r="110" spans="1:32" x14ac:dyDescent="0.25">
      <c r="H110" s="9"/>
      <c r="I110" s="9"/>
    </row>
    <row r="111" spans="1:32" x14ac:dyDescent="0.25">
      <c r="H111" s="9"/>
      <c r="I111" s="9"/>
    </row>
    <row r="112" spans="1:32" x14ac:dyDescent="0.25">
      <c r="H112" s="9"/>
      <c r="I112" s="9"/>
    </row>
    <row r="113" spans="8:9" x14ac:dyDescent="0.25">
      <c r="H113" s="9"/>
      <c r="I113" s="9"/>
    </row>
    <row r="114" spans="8:9" x14ac:dyDescent="0.25">
      <c r="H114" s="9"/>
      <c r="I114" s="9"/>
    </row>
    <row r="115" spans="8:9" x14ac:dyDescent="0.25">
      <c r="H115" s="9"/>
      <c r="I115" s="9"/>
    </row>
    <row r="116" spans="8:9" x14ac:dyDescent="0.25">
      <c r="H116" s="9"/>
      <c r="I116" s="9"/>
    </row>
    <row r="117" spans="8:9" x14ac:dyDescent="0.25">
      <c r="H117" s="9"/>
      <c r="I117" s="9"/>
    </row>
    <row r="118" spans="8:9" x14ac:dyDescent="0.25">
      <c r="H118" s="9"/>
      <c r="I118" s="9"/>
    </row>
    <row r="119" spans="8:9" x14ac:dyDescent="0.25">
      <c r="H119" s="9"/>
      <c r="I119" s="9"/>
    </row>
    <row r="120" spans="8:9" x14ac:dyDescent="0.25">
      <c r="H120" s="9"/>
      <c r="I120" s="9"/>
    </row>
    <row r="121" spans="8:9" x14ac:dyDescent="0.25">
      <c r="H121" s="9"/>
      <c r="I121" s="9"/>
    </row>
    <row r="122" spans="8:9" x14ac:dyDescent="0.25">
      <c r="H122" s="9"/>
      <c r="I122" s="9"/>
    </row>
    <row r="123" spans="8:9" x14ac:dyDescent="0.25">
      <c r="H123" s="9"/>
      <c r="I123" s="9"/>
    </row>
    <row r="124" spans="8:9" x14ac:dyDescent="0.25">
      <c r="H124" s="9"/>
      <c r="I124" s="9"/>
    </row>
    <row r="125" spans="8:9" x14ac:dyDescent="0.25">
      <c r="H125" s="9"/>
      <c r="I125" s="9"/>
    </row>
    <row r="126" spans="8:9" x14ac:dyDescent="0.25">
      <c r="H126" s="9"/>
      <c r="I126" s="9"/>
    </row>
    <row r="127" spans="8:9" x14ac:dyDescent="0.25">
      <c r="H127" s="9"/>
      <c r="I127" s="9"/>
    </row>
    <row r="128" spans="8:9" x14ac:dyDescent="0.25">
      <c r="H128" s="9"/>
      <c r="I128" s="9"/>
    </row>
    <row r="129" spans="8:9" x14ac:dyDescent="0.25">
      <c r="H129" s="9"/>
      <c r="I129" s="9"/>
    </row>
    <row r="130" spans="8:9" x14ac:dyDescent="0.25">
      <c r="H130" s="9"/>
      <c r="I130" s="9"/>
    </row>
    <row r="131" spans="8:9" x14ac:dyDescent="0.25">
      <c r="H131" s="9"/>
      <c r="I131" s="9"/>
    </row>
    <row r="132" spans="8:9" x14ac:dyDescent="0.25">
      <c r="I132" s="9"/>
    </row>
    <row r="133" spans="8:9" x14ac:dyDescent="0.25">
      <c r="I133" s="9"/>
    </row>
    <row r="134" spans="8:9" x14ac:dyDescent="0.25">
      <c r="I134" s="9"/>
    </row>
    <row r="135" spans="8:9" x14ac:dyDescent="0.25">
      <c r="I135" s="9"/>
    </row>
    <row r="136" spans="8:9" x14ac:dyDescent="0.25">
      <c r="I136" s="9"/>
    </row>
    <row r="137" spans="8:9" x14ac:dyDescent="0.25">
      <c r="I137" s="9"/>
    </row>
    <row r="138" spans="8:9" x14ac:dyDescent="0.25">
      <c r="I138" s="9"/>
    </row>
    <row r="139" spans="8:9" x14ac:dyDescent="0.25">
      <c r="I139" s="9"/>
    </row>
    <row r="140" spans="8:9" x14ac:dyDescent="0.25">
      <c r="I140" s="9"/>
    </row>
    <row r="141" spans="8:9" x14ac:dyDescent="0.25">
      <c r="I141" s="9"/>
    </row>
    <row r="142" spans="8:9" x14ac:dyDescent="0.25">
      <c r="I142" s="9"/>
    </row>
    <row r="143" spans="8:9" x14ac:dyDescent="0.25">
      <c r="I143" s="9"/>
    </row>
    <row r="144" spans="8:9" x14ac:dyDescent="0.25">
      <c r="I144" s="9"/>
    </row>
    <row r="145" spans="9:9" x14ac:dyDescent="0.25">
      <c r="I145" s="9"/>
    </row>
    <row r="146" spans="9:9" x14ac:dyDescent="0.25">
      <c r="I146" s="9"/>
    </row>
    <row r="147" spans="9:9" x14ac:dyDescent="0.25">
      <c r="I147" s="9"/>
    </row>
    <row r="148" spans="9:9" x14ac:dyDescent="0.25">
      <c r="I148" s="9"/>
    </row>
    <row r="149" spans="9:9" x14ac:dyDescent="0.25">
      <c r="I149" s="9"/>
    </row>
    <row r="150" spans="9:9" x14ac:dyDescent="0.25">
      <c r="I150" s="9"/>
    </row>
    <row r="151" spans="9:9" x14ac:dyDescent="0.25">
      <c r="I151" s="9"/>
    </row>
    <row r="152" spans="9:9" x14ac:dyDescent="0.25">
      <c r="I152" s="9"/>
    </row>
    <row r="153" spans="9:9" x14ac:dyDescent="0.25">
      <c r="I153" s="9"/>
    </row>
    <row r="154" spans="9:9" x14ac:dyDescent="0.25">
      <c r="I154" s="9"/>
    </row>
    <row r="155" spans="9:9" x14ac:dyDescent="0.25">
      <c r="I155" s="9"/>
    </row>
    <row r="156" spans="9:9" x14ac:dyDescent="0.25">
      <c r="I156" s="9"/>
    </row>
    <row r="157" spans="9:9" x14ac:dyDescent="0.25">
      <c r="I157" s="9"/>
    </row>
    <row r="158" spans="9:9" x14ac:dyDescent="0.25">
      <c r="I158" s="9"/>
    </row>
    <row r="159" spans="9:9" x14ac:dyDescent="0.25">
      <c r="I159" s="9"/>
    </row>
    <row r="160" spans="9:9" x14ac:dyDescent="0.25">
      <c r="I160" s="9"/>
    </row>
    <row r="161" spans="9:9" x14ac:dyDescent="0.25">
      <c r="I161" s="9"/>
    </row>
    <row r="162" spans="9:9" x14ac:dyDescent="0.25">
      <c r="I162" s="9"/>
    </row>
    <row r="163" spans="9:9" x14ac:dyDescent="0.25">
      <c r="I163" s="9"/>
    </row>
    <row r="164" spans="9:9" x14ac:dyDescent="0.25">
      <c r="I164" s="9"/>
    </row>
    <row r="165" spans="9:9" x14ac:dyDescent="0.25">
      <c r="I165" s="9"/>
    </row>
    <row r="166" spans="9:9" x14ac:dyDescent="0.25">
      <c r="I166" s="9"/>
    </row>
    <row r="167" spans="9:9" x14ac:dyDescent="0.25">
      <c r="I167" s="9"/>
    </row>
    <row r="168" spans="9:9" x14ac:dyDescent="0.25">
      <c r="I168" s="9"/>
    </row>
    <row r="169" spans="9:9" x14ac:dyDescent="0.25">
      <c r="I169" s="9"/>
    </row>
    <row r="170" spans="9:9" x14ac:dyDescent="0.25">
      <c r="I170" s="9"/>
    </row>
    <row r="171" spans="9:9" x14ac:dyDescent="0.25">
      <c r="I171" s="9"/>
    </row>
    <row r="172" spans="9:9" x14ac:dyDescent="0.25">
      <c r="I172" s="9"/>
    </row>
    <row r="173" spans="9:9" x14ac:dyDescent="0.25">
      <c r="I173" s="9"/>
    </row>
    <row r="174" spans="9:9" x14ac:dyDescent="0.25">
      <c r="I174" s="9"/>
    </row>
    <row r="175" spans="9:9" x14ac:dyDescent="0.25">
      <c r="I175" s="9"/>
    </row>
    <row r="176" spans="9:9" x14ac:dyDescent="0.25">
      <c r="I176" s="9"/>
    </row>
    <row r="177" spans="9:9" x14ac:dyDescent="0.25">
      <c r="I177" s="9"/>
    </row>
    <row r="178" spans="9:9" x14ac:dyDescent="0.25">
      <c r="I178" s="9"/>
    </row>
    <row r="179" spans="9:9" x14ac:dyDescent="0.25">
      <c r="I179" s="9"/>
    </row>
    <row r="180" spans="9:9" x14ac:dyDescent="0.25">
      <c r="I180" s="9"/>
    </row>
    <row r="181" spans="9:9" x14ac:dyDescent="0.25">
      <c r="I181" s="9"/>
    </row>
    <row r="182" spans="9:9" x14ac:dyDescent="0.25">
      <c r="I182" s="9"/>
    </row>
    <row r="183" spans="9:9" x14ac:dyDescent="0.25">
      <c r="I183" s="9"/>
    </row>
    <row r="184" spans="9:9" x14ac:dyDescent="0.25">
      <c r="I184" s="9"/>
    </row>
    <row r="185" spans="9:9" x14ac:dyDescent="0.25">
      <c r="I185" s="9"/>
    </row>
    <row r="186" spans="9:9" x14ac:dyDescent="0.25">
      <c r="I186" s="9"/>
    </row>
    <row r="187" spans="9:9" x14ac:dyDescent="0.25">
      <c r="I187" s="9"/>
    </row>
    <row r="188" spans="9:9" x14ac:dyDescent="0.25">
      <c r="I188" s="9"/>
    </row>
    <row r="189" spans="9:9" x14ac:dyDescent="0.25">
      <c r="I189" s="9"/>
    </row>
    <row r="190" spans="9:9" x14ac:dyDescent="0.25">
      <c r="I190" s="9"/>
    </row>
    <row r="191" spans="9:9" x14ac:dyDescent="0.25">
      <c r="I191" s="9"/>
    </row>
    <row r="192" spans="9:9" x14ac:dyDescent="0.25">
      <c r="I192" s="9"/>
    </row>
    <row r="193" spans="9:9" x14ac:dyDescent="0.25">
      <c r="I193" s="9"/>
    </row>
    <row r="194" spans="9:9" x14ac:dyDescent="0.25">
      <c r="I194" s="9"/>
    </row>
    <row r="195" spans="9:9" x14ac:dyDescent="0.25">
      <c r="I195"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PRM_Summary</vt:lpstr>
      <vt:lpstr>PRM70ND</vt:lpstr>
      <vt:lpstr>PRMallND</vt:lpstr>
      <vt:lpstr>PRM70all</vt:lpstr>
      <vt:lpstr>PRMallall</vt:lpstr>
      <vt:lpstr>rawdata</vt:lpstr>
      <vt:lpstr>sourcedata</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 MIT</dc:creator>
  <cp:lastModifiedBy>sbasnet</cp:lastModifiedBy>
  <dcterms:created xsi:type="dcterms:W3CDTF">2013-11-18T18:55:47Z</dcterms:created>
  <dcterms:modified xsi:type="dcterms:W3CDTF">2014-01-06T15:27:44Z</dcterms:modified>
</cp:coreProperties>
</file>