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 activeTab="6"/>
  </bookViews>
  <sheets>
    <sheet name="source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3" l="1"/>
  <c r="E6" i="3"/>
  <c r="E8" i="3"/>
  <c r="E13" i="7"/>
  <c r="B6" i="3"/>
  <c r="E12" i="7"/>
  <c r="B7" i="3"/>
  <c r="E11" i="7"/>
  <c r="B5" i="3"/>
  <c r="E10" i="7"/>
  <c r="B4" i="3"/>
  <c r="E9" i="7"/>
  <c r="G2" i="3" a="1"/>
  <c r="G2" i="3"/>
  <c r="H5" i="3"/>
  <c r="H7" i="3"/>
  <c r="G3" i="3"/>
  <c r="H8" i="3"/>
  <c r="H9" i="3"/>
  <c r="H12" i="3"/>
  <c r="H11" i="3"/>
  <c r="H14" i="3"/>
  <c r="H16" i="3"/>
  <c r="E5" i="7"/>
  <c r="E7" i="7"/>
  <c r="G1" i="3"/>
  <c r="E2" i="7"/>
  <c r="E8" i="7"/>
  <c r="H17" i="3"/>
  <c r="H18" i="3"/>
  <c r="H19" i="3"/>
  <c r="H22" i="3"/>
  <c r="H21" i="3"/>
  <c r="H24" i="3"/>
  <c r="H26" i="3"/>
  <c r="E6" i="7"/>
  <c r="G4" i="3"/>
  <c r="H1" i="3"/>
  <c r="E4" i="7"/>
  <c r="B9" i="3"/>
  <c r="E3" i="7"/>
  <c r="E10" i="5"/>
  <c r="E9" i="5"/>
  <c r="E11" i="5"/>
  <c r="D13" i="7"/>
  <c r="B9" i="5"/>
  <c r="D12" i="7"/>
  <c r="B10" i="5"/>
  <c r="D11" i="7"/>
  <c r="B8" i="5"/>
  <c r="D10" i="7"/>
  <c r="B7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12" i="5"/>
  <c r="D3" i="7"/>
  <c r="E7" i="4"/>
  <c r="E6" i="4"/>
  <c r="E8" i="4"/>
  <c r="C13" i="7"/>
  <c r="B6" i="4"/>
  <c r="C12" i="7"/>
  <c r="B7" i="4"/>
  <c r="C11" i="7"/>
  <c r="B5" i="4"/>
  <c r="C10" i="7"/>
  <c r="B4" i="4"/>
  <c r="C9" i="7"/>
  <c r="G2" i="4" a="1"/>
  <c r="G2" i="4"/>
  <c r="H5" i="4"/>
  <c r="H7" i="4"/>
  <c r="G3" i="4"/>
  <c r="H8" i="4"/>
  <c r="H9" i="4"/>
  <c r="H12" i="4"/>
  <c r="H11" i="4"/>
  <c r="H14" i="4"/>
  <c r="H16" i="4"/>
  <c r="C5" i="7"/>
  <c r="C7" i="7"/>
  <c r="G1" i="4"/>
  <c r="C2" i="7"/>
  <c r="C8" i="7"/>
  <c r="H17" i="4"/>
  <c r="H18" i="4"/>
  <c r="H19" i="4"/>
  <c r="H22" i="4"/>
  <c r="H21" i="4"/>
  <c r="H24" i="4"/>
  <c r="H26" i="4"/>
  <c r="C6" i="7"/>
  <c r="G4" i="4"/>
  <c r="H1" i="4"/>
  <c r="C4" i="7"/>
  <c r="B9" i="4"/>
  <c r="C3" i="7"/>
  <c r="E11" i="6"/>
  <c r="E10" i="6"/>
  <c r="E12" i="6"/>
  <c r="B13" i="7"/>
  <c r="B10" i="6"/>
  <c r="B12" i="7"/>
  <c r="B11" i="6"/>
  <c r="B11" i="7"/>
  <c r="B9" i="6"/>
  <c r="B10" i="7"/>
  <c r="B8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13" i="6"/>
  <c r="B3" i="7"/>
  <c r="F11" i="6"/>
  <c r="F10" i="6"/>
  <c r="F12" i="6"/>
  <c r="F9" i="6"/>
  <c r="F8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0" i="5"/>
  <c r="F9" i="5"/>
  <c r="F11" i="5"/>
  <c r="F8" i="5"/>
  <c r="F7" i="5"/>
  <c r="E8" i="5"/>
  <c r="E7" i="5"/>
  <c r="D10" i="5"/>
  <c r="D9" i="5"/>
  <c r="D11" i="5"/>
  <c r="D8" i="5"/>
  <c r="D7" i="5"/>
  <c r="C10" i="5"/>
  <c r="C9" i="5"/>
  <c r="C11" i="5"/>
  <c r="C8" i="5"/>
  <c r="C7" i="5"/>
  <c r="B11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2" i="5" a="1"/>
  <c r="AA4" i="5"/>
  <c r="AB1" i="5"/>
  <c r="AA2" i="5"/>
  <c r="AA1" i="5"/>
  <c r="AB2" i="5"/>
  <c r="AA3" i="5"/>
  <c r="AB3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7" i="4"/>
  <c r="F6" i="4"/>
  <c r="F8" i="4"/>
  <c r="F5" i="4"/>
  <c r="F4" i="4"/>
  <c r="E5" i="4"/>
  <c r="E4" i="4"/>
  <c r="D7" i="4"/>
  <c r="D6" i="4"/>
  <c r="D8" i="4"/>
  <c r="D5" i="4"/>
  <c r="D4" i="4"/>
  <c r="C7" i="4"/>
  <c r="C6" i="4"/>
  <c r="C8" i="4"/>
  <c r="C5" i="4"/>
  <c r="C4" i="4"/>
  <c r="B8" i="4"/>
  <c r="K2" i="4" a="1"/>
  <c r="K2" i="4"/>
  <c r="L5" i="4"/>
  <c r="L17" i="4"/>
  <c r="K3" i="4"/>
  <c r="L18" i="4"/>
  <c r="L19" i="4"/>
  <c r="L22" i="4"/>
  <c r="L21" i="4"/>
  <c r="L24" i="4"/>
  <c r="L26" i="4"/>
  <c r="L20" i="4"/>
  <c r="L23" i="4"/>
  <c r="L25" i="4"/>
  <c r="L7" i="4"/>
  <c r="L8" i="4"/>
  <c r="L9" i="4"/>
  <c r="L12" i="4"/>
  <c r="L11" i="4"/>
  <c r="L14" i="4"/>
  <c r="L16" i="4"/>
  <c r="L10" i="4"/>
  <c r="L13" i="4"/>
  <c r="L15" i="4"/>
  <c r="O2" i="4" a="1"/>
  <c r="O4" i="4"/>
  <c r="P1" i="4"/>
  <c r="O2" i="4"/>
  <c r="O1" i="4"/>
  <c r="P2" i="4"/>
  <c r="O3" i="4"/>
  <c r="P3" i="4"/>
  <c r="P4" i="4"/>
  <c r="O5" i="4"/>
  <c r="P5" i="4"/>
  <c r="O6" i="4"/>
  <c r="P6" i="4"/>
  <c r="H20" i="4"/>
  <c r="H23" i="4"/>
  <c r="H25" i="4"/>
  <c r="H10" i="4"/>
  <c r="H13" i="4"/>
  <c r="H15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7" i="3"/>
  <c r="F6" i="3"/>
  <c r="F8" i="3"/>
  <c r="F5" i="3"/>
  <c r="F4" i="3"/>
  <c r="E5" i="3"/>
  <c r="E4" i="3"/>
  <c r="D7" i="3"/>
  <c r="D6" i="3"/>
  <c r="D8" i="3"/>
  <c r="D5" i="3"/>
  <c r="D4" i="3"/>
  <c r="C7" i="3"/>
  <c r="C6" i="3"/>
  <c r="C8" i="3"/>
  <c r="C5" i="3"/>
  <c r="C4" i="3"/>
  <c r="B8" i="3"/>
  <c r="K2" i="3" a="1"/>
  <c r="K2" i="3"/>
  <c r="L5" i="3"/>
  <c r="L17" i="3"/>
  <c r="K3" i="3"/>
  <c r="L18" i="3"/>
  <c r="L19" i="3"/>
  <c r="L22" i="3"/>
  <c r="L21" i="3"/>
  <c r="L24" i="3"/>
  <c r="L26" i="3"/>
  <c r="L20" i="3"/>
  <c r="L23" i="3"/>
  <c r="L25" i="3"/>
  <c r="L7" i="3"/>
  <c r="L8" i="3"/>
  <c r="L9" i="3"/>
  <c r="L12" i="3"/>
  <c r="L11" i="3"/>
  <c r="L14" i="3"/>
  <c r="L16" i="3"/>
  <c r="L10" i="3"/>
  <c r="L13" i="3"/>
  <c r="L15" i="3"/>
  <c r="O2" i="3" a="1"/>
  <c r="O4" i="3"/>
  <c r="P1" i="3"/>
  <c r="O2" i="3"/>
  <c r="O1" i="3"/>
  <c r="P2" i="3"/>
  <c r="O3" i="3"/>
  <c r="P3" i="3"/>
  <c r="P4" i="3"/>
  <c r="O5" i="3"/>
  <c r="P5" i="3"/>
  <c r="O6" i="3"/>
  <c r="P6" i="3"/>
  <c r="H20" i="3"/>
  <c r="H23" i="3"/>
  <c r="H25" i="3"/>
  <c r="H10" i="3"/>
  <c r="H13" i="3"/>
  <c r="H15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  <c r="O58" i="2"/>
  <c r="K58" i="2"/>
  <c r="I58" i="2"/>
  <c r="I57" i="2"/>
  <c r="K56" i="2"/>
  <c r="O54" i="2"/>
  <c r="K54" i="2"/>
  <c r="I54" i="2"/>
  <c r="K52" i="2"/>
  <c r="I51" i="2"/>
  <c r="K50" i="2"/>
  <c r="O48" i="2"/>
  <c r="K48" i="2"/>
  <c r="I48" i="2"/>
  <c r="O46" i="2"/>
  <c r="K46" i="2"/>
  <c r="K45" i="2"/>
  <c r="I44" i="2"/>
  <c r="K43" i="2"/>
  <c r="K42" i="2"/>
  <c r="K40" i="2"/>
  <c r="K39" i="2"/>
  <c r="L38" i="2"/>
  <c r="M38" i="2"/>
  <c r="P38" i="2"/>
  <c r="O38" i="2"/>
  <c r="N38" i="2"/>
  <c r="K38" i="2"/>
  <c r="K35" i="2"/>
  <c r="L33" i="2"/>
  <c r="M33" i="2"/>
  <c r="P33" i="2"/>
  <c r="O33" i="2"/>
  <c r="N33" i="2"/>
  <c r="K33" i="2"/>
  <c r="L32" i="2"/>
  <c r="M32" i="2"/>
  <c r="P32" i="2"/>
  <c r="O32" i="2"/>
  <c r="N32" i="2"/>
  <c r="K32" i="2"/>
  <c r="L31" i="2"/>
  <c r="M31" i="2"/>
  <c r="P31" i="2"/>
  <c r="O31" i="2"/>
  <c r="N31" i="2"/>
  <c r="K31" i="2"/>
  <c r="K29" i="2"/>
  <c r="I28" i="2"/>
  <c r="L26" i="2"/>
  <c r="M26" i="2"/>
  <c r="K26" i="2"/>
  <c r="L25" i="2"/>
  <c r="M25" i="2"/>
  <c r="K25" i="2"/>
  <c r="K24" i="2"/>
  <c r="L20" i="2"/>
  <c r="M20" i="2"/>
  <c r="K20" i="2"/>
  <c r="L19" i="2"/>
  <c r="M19" i="2"/>
  <c r="K19" i="2"/>
  <c r="L17" i="2"/>
  <c r="M17" i="2"/>
  <c r="P17" i="2"/>
  <c r="O17" i="2"/>
  <c r="N17" i="2"/>
  <c r="K17" i="2"/>
  <c r="L12" i="2"/>
  <c r="M12" i="2"/>
  <c r="P12" i="2"/>
  <c r="O12" i="2"/>
  <c r="N12" i="2"/>
  <c r="K12" i="2"/>
  <c r="I12" i="2"/>
  <c r="K11" i="2"/>
  <c r="K9" i="2"/>
  <c r="L4" i="2"/>
  <c r="M4" i="2"/>
  <c r="K4" i="2"/>
  <c r="K2" i="2"/>
</calcChain>
</file>

<file path=xl/comments1.xml><?xml version="1.0" encoding="utf-8"?>
<comments xmlns="http://schemas.openxmlformats.org/spreadsheetml/2006/main">
  <authors>
    <author>MIT MIT</author>
  </authors>
  <commentList>
    <comment ref="H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</commentList>
</comments>
</file>

<file path=xl/sharedStrings.xml><?xml version="1.0" encoding="utf-8"?>
<sst xmlns="http://schemas.openxmlformats.org/spreadsheetml/2006/main" count="470" uniqueCount="62">
  <si>
    <t>Data source</t>
  </si>
  <si>
    <t>Year</t>
  </si>
  <si>
    <t>Resolution (microns)</t>
  </si>
  <si>
    <t>Gate Length (micron)</t>
  </si>
  <si>
    <t>Feature size (micron)</t>
  </si>
  <si>
    <t>Throughput (wafers/hr)</t>
  </si>
  <si>
    <t>Wafer Size (dia, inches)</t>
  </si>
  <si>
    <t>Litho Tool Cost (inflation adjusted to 2012 dollars)</t>
  </si>
  <si>
    <t>Litho tool nominal Cost</t>
  </si>
  <si>
    <t>Resolution&amp; gate length&amp;feature size</t>
  </si>
  <si>
    <t>1/accuracy</t>
  </si>
  <si>
    <t>areal Throughput (in2 /hr)</t>
  </si>
  <si>
    <t>areal Throughput/accuracy</t>
  </si>
  <si>
    <t>areal throughput/cost</t>
  </si>
  <si>
    <t>1/(accuracy*cost)</t>
  </si>
  <si>
    <t>areal Throughput/(resolution*cost)</t>
  </si>
  <si>
    <r>
      <t xml:space="preserve">Moore, G. (2006). Moore’s Law at 40. </t>
    </r>
    <r>
      <rPr>
        <i/>
        <sz val="12"/>
        <color theme="1"/>
        <rFont val="Calibri"/>
        <family val="2"/>
        <scheme val="minor"/>
      </rPr>
      <t>Understanding Moore’s law: four decades of innovation</t>
    </r>
    <r>
      <rPr>
        <sz val="12"/>
        <color theme="1"/>
        <rFont val="Calibri"/>
        <family val="2"/>
        <scheme val="minor"/>
      </rPr>
      <t>, (Figure 2), 67–84. Retrieved from http://www.ece.ucsb.edu/~strukov/ece15bSpring2011/others/MooresLawat40.pdf</t>
    </r>
  </si>
  <si>
    <r>
      <t xml:space="preserve">Henderson, R. (1988). </t>
    </r>
    <r>
      <rPr>
        <i/>
        <sz val="12"/>
        <color theme="1"/>
        <rFont val="Calibri"/>
        <family val="2"/>
        <scheme val="minor"/>
      </rPr>
      <t>The Failure of Established Firms in the face of technical change: A study of photolithographic alignment equipment</t>
    </r>
    <r>
      <rPr>
        <sz val="12"/>
        <color theme="1"/>
        <rFont val="Calibri"/>
        <family val="2"/>
        <scheme val="minor"/>
      </rPr>
      <t>. Harvard. Retrieved from http://scholar.google.com/scholar?hl=en&amp;btnG=Search&amp;q=intitle:The+Failure+of+Established+Firms+in+the+face+of+technical+change:+A+study+of+photolithographic+alignment+equipment#2</t>
    </r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</si>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</sst>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6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6" fillId="0" borderId="0" xfId="0" applyFont="1"/>
    <xf numFmtId="44" fontId="0" fillId="0" borderId="0" xfId="1" applyFont="1"/>
    <xf numFmtId="0" fontId="2" fillId="2" borderId="1" xfId="3"/>
    <xf numFmtId="0" fontId="3" fillId="3" borderId="2" xfId="4"/>
    <xf numFmtId="0" fontId="4" fillId="0" borderId="0" xfId="0" applyFont="1"/>
    <xf numFmtId="164" fontId="2" fillId="2" borderId="1" xfId="3" applyNumberFormat="1"/>
    <xf numFmtId="2" fontId="3" fillId="3" borderId="2" xfId="4" applyNumberFormat="1"/>
    <xf numFmtId="10" fontId="0" fillId="0" borderId="0" xfId="0" applyNumberFormat="1"/>
    <xf numFmtId="164" fontId="0" fillId="0" borderId="0" xfId="2" applyNumberFormat="1" applyFont="1"/>
    <xf numFmtId="164" fontId="4" fillId="0" borderId="0" xfId="2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69">
    <cellStyle name="Calculation" xfId="3" builtinId="22"/>
    <cellStyle name="Check Cell" xfId="4" builtinId="23"/>
    <cellStyle name="Currency" xfId="1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Resolution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Resolution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3">
                  <c:v>2</c:v>
                </c:pt>
                <c:pt idx="24">
                  <c:v>1.5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6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9536"/>
        <c:axId val="34784000"/>
      </c:scatterChart>
      <c:valAx>
        <c:axId val="34769536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84000"/>
        <c:crosses val="autoZero"/>
        <c:crossBetween val="midCat"/>
      </c:valAx>
      <c:valAx>
        <c:axId val="3478400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Resolution</a:t>
                </a:r>
                <a:endParaRPr lang="en-US" baseline="0"/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69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</a:t>
            </a:r>
            <a:r>
              <a:rPr lang="en-US" baseline="0"/>
              <a:t> </a:t>
            </a:r>
            <a:r>
              <a:rPr lang="en-US"/>
              <a:t>Gate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Gate Length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</c:v>
                </c:pt>
                <c:pt idx="27">
                  <c:v>2</c:v>
                </c:pt>
                <c:pt idx="33">
                  <c:v>1.5</c:v>
                </c:pt>
                <c:pt idx="37">
                  <c:v>1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0752"/>
        <c:axId val="37922304"/>
      </c:scatterChart>
      <c:valAx>
        <c:axId val="3777075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22304"/>
        <c:crosses val="autoZero"/>
        <c:crossBetween val="midCat"/>
      </c:valAx>
      <c:valAx>
        <c:axId val="379223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Gate Length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7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 Minimum</a:t>
            </a:r>
            <a:r>
              <a:rPr lang="en-US" baseline="0"/>
              <a:t> Feature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</c:v>
                </c:pt>
                <c:pt idx="7">
                  <c:v>12</c:v>
                </c:pt>
                <c:pt idx="9">
                  <c:v>9</c:v>
                </c:pt>
                <c:pt idx="38">
                  <c:v>1.1000000000000001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0.28999999999999998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1504"/>
        <c:axId val="76096256"/>
      </c:scatterChart>
      <c:valAx>
        <c:axId val="38181504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096256"/>
        <c:crosses val="autoZero"/>
        <c:crossBetween val="midCat"/>
      </c:valAx>
      <c:valAx>
        <c:axId val="760962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Minimum Feature Size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8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Resolution</c:v>
          </c:tx>
          <c:spPr>
            <a:ln w="4762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3638128819374"/>
                  <c:y val="8.695892743136840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3">
                  <c:v>2</c:v>
                </c:pt>
                <c:pt idx="24">
                  <c:v>1.5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6">
                  <c:v>0.6</c:v>
                </c:pt>
              </c:numCache>
            </c:numRef>
          </c:yVal>
          <c:smooth val="0"/>
        </c:ser>
        <c:ser>
          <c:idx val="2"/>
          <c:order val="2"/>
          <c:tx>
            <c:v>Gate Length</c:v>
          </c:tx>
          <c:spPr>
            <a:ln w="47625">
              <a:noFill/>
            </a:ln>
          </c:spPr>
          <c:trendline>
            <c:spPr>
              <a:ln>
                <a:solidFill>
                  <a:srgbClr val="008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706850751069101"/>
                  <c:y val="-7.614861735287860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008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</c:v>
                </c:pt>
                <c:pt idx="27">
                  <c:v>2</c:v>
                </c:pt>
                <c:pt idx="33">
                  <c:v>1.5</c:v>
                </c:pt>
                <c:pt idx="37">
                  <c:v>1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12529929598437"/>
                  <c:y val="-0.186293704542894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</c:v>
                </c:pt>
                <c:pt idx="7">
                  <c:v>12</c:v>
                </c:pt>
                <c:pt idx="9">
                  <c:v>9</c:v>
                </c:pt>
                <c:pt idx="38">
                  <c:v>1.1000000000000001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0.28999999999999998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03392"/>
        <c:axId val="168205696"/>
      </c:scatterChart>
      <c:valAx>
        <c:axId val="16820339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205696"/>
        <c:crosses val="autoZero"/>
        <c:crossBetween val="midCat"/>
      </c:valAx>
      <c:valAx>
        <c:axId val="16820569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203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654162745541799"/>
          <c:y val="0.12509595283101499"/>
          <c:w val="0.20530406089556499"/>
          <c:h val="0.31928320168246099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7.1706036745406806E-2"/>
                  <c:y val="-0.322236439195100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sourcedata!$J$2:$J$61</c:f>
              <c:numCache>
                <c:formatCode>General</c:formatCode>
                <c:ptCount val="60"/>
                <c:pt idx="0">
                  <c:v>29</c:v>
                </c:pt>
                <c:pt idx="2">
                  <c:v>9</c:v>
                </c:pt>
                <c:pt idx="7">
                  <c:v>12</c:v>
                </c:pt>
                <c:pt idx="9">
                  <c:v>9</c:v>
                </c:pt>
                <c:pt idx="10">
                  <c:v>2</c:v>
                </c:pt>
                <c:pt idx="15">
                  <c:v>4</c:v>
                </c:pt>
                <c:pt idx="17">
                  <c:v>5</c:v>
                </c:pt>
                <c:pt idx="18">
                  <c:v>2.5</c:v>
                </c:pt>
                <c:pt idx="22">
                  <c:v>3</c:v>
                </c:pt>
                <c:pt idx="23">
                  <c:v>2</c:v>
                </c:pt>
                <c:pt idx="24">
                  <c:v>1.5</c:v>
                </c:pt>
                <c:pt idx="27">
                  <c:v>2</c:v>
                </c:pt>
                <c:pt idx="29">
                  <c:v>0.9</c:v>
                </c:pt>
                <c:pt idx="30">
                  <c:v>1.1000000000000001</c:v>
                </c:pt>
                <c:pt idx="31">
                  <c:v>1</c:v>
                </c:pt>
                <c:pt idx="33">
                  <c:v>1.5</c:v>
                </c:pt>
                <c:pt idx="36">
                  <c:v>0.6</c:v>
                </c:pt>
                <c:pt idx="37">
                  <c:v>1</c:v>
                </c:pt>
                <c:pt idx="38">
                  <c:v>1.1000000000000001</c:v>
                </c:pt>
                <c:pt idx="40">
                  <c:v>0.8</c:v>
                </c:pt>
                <c:pt idx="41">
                  <c:v>0.75</c:v>
                </c:pt>
                <c:pt idx="43">
                  <c:v>0.5</c:v>
                </c:pt>
                <c:pt idx="44">
                  <c:v>0.65</c:v>
                </c:pt>
                <c:pt idx="46">
                  <c:v>0.375</c:v>
                </c:pt>
                <c:pt idx="48">
                  <c:v>0.27</c:v>
                </c:pt>
                <c:pt idx="50">
                  <c:v>0.19</c:v>
                </c:pt>
                <c:pt idx="52">
                  <c:v>0.12</c:v>
                </c:pt>
                <c:pt idx="54">
                  <c:v>0.09</c:v>
                </c:pt>
                <c:pt idx="56">
                  <c:v>6.5000000000000002E-2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40192"/>
        <c:axId val="212661760"/>
      </c:scatterChart>
      <c:valAx>
        <c:axId val="190840192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61760"/>
        <c:crosses val="autoZero"/>
        <c:crossBetween val="midCat"/>
      </c:valAx>
      <c:valAx>
        <c:axId val="21266176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840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1/Accuracy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sourcedata!$K$2:$K$61</c:f>
              <c:numCache>
                <c:formatCode>General</c:formatCode>
                <c:ptCount val="60"/>
                <c:pt idx="0">
                  <c:v>3.4482758620689655E-2</c:v>
                </c:pt>
                <c:pt idx="2">
                  <c:v>0.1111111111111111</c:v>
                </c:pt>
                <c:pt idx="7">
                  <c:v>8.3333333333333329E-2</c:v>
                </c:pt>
                <c:pt idx="9">
                  <c:v>0.1111111111111111</c:v>
                </c:pt>
                <c:pt idx="10">
                  <c:v>0.5</c:v>
                </c:pt>
                <c:pt idx="15">
                  <c:v>0.25</c:v>
                </c:pt>
                <c:pt idx="17">
                  <c:v>0.2</c:v>
                </c:pt>
                <c:pt idx="18">
                  <c:v>0.4</c:v>
                </c:pt>
                <c:pt idx="22">
                  <c:v>0.33333333333333331</c:v>
                </c:pt>
                <c:pt idx="23">
                  <c:v>0.5</c:v>
                </c:pt>
                <c:pt idx="24">
                  <c:v>0.66666666666666663</c:v>
                </c:pt>
                <c:pt idx="27">
                  <c:v>0.5</c:v>
                </c:pt>
                <c:pt idx="29">
                  <c:v>1.1111111111111112</c:v>
                </c:pt>
                <c:pt idx="30">
                  <c:v>0.90909090909090906</c:v>
                </c:pt>
                <c:pt idx="31">
                  <c:v>1</c:v>
                </c:pt>
                <c:pt idx="33">
                  <c:v>0.66666666666666663</c:v>
                </c:pt>
                <c:pt idx="36">
                  <c:v>1.6666666666666667</c:v>
                </c:pt>
                <c:pt idx="37">
                  <c:v>1</c:v>
                </c:pt>
                <c:pt idx="38">
                  <c:v>0.90909090909090906</c:v>
                </c:pt>
                <c:pt idx="40">
                  <c:v>1.25</c:v>
                </c:pt>
                <c:pt idx="41">
                  <c:v>1.3333333333333333</c:v>
                </c:pt>
                <c:pt idx="43">
                  <c:v>2</c:v>
                </c:pt>
                <c:pt idx="44">
                  <c:v>1.5384615384615383</c:v>
                </c:pt>
                <c:pt idx="46">
                  <c:v>2.6666666666666665</c:v>
                </c:pt>
                <c:pt idx="48">
                  <c:v>3.7037037037037033</c:v>
                </c:pt>
                <c:pt idx="50">
                  <c:v>5.2631578947368425</c:v>
                </c:pt>
                <c:pt idx="52">
                  <c:v>8.3333333333333339</c:v>
                </c:pt>
                <c:pt idx="54">
                  <c:v>11.111111111111111</c:v>
                </c:pt>
                <c:pt idx="56">
                  <c:v>15.384615384615383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7568"/>
        <c:axId val="213831680"/>
      </c:scatterChart>
      <c:valAx>
        <c:axId val="21367756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831680"/>
        <c:crosses val="autoZero"/>
        <c:crossBetween val="midCat"/>
      </c:valAx>
      <c:valAx>
        <c:axId val="21383168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1/accuracy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677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sourcedata!$F$2:$F$61</c:f>
              <c:numCache>
                <c:formatCode>General</c:formatCode>
                <c:ptCount val="60"/>
                <c:pt idx="2">
                  <c:v>60</c:v>
                </c:pt>
                <c:pt idx="10">
                  <c:v>60</c:v>
                </c:pt>
                <c:pt idx="15">
                  <c:v>75</c:v>
                </c:pt>
                <c:pt idx="17">
                  <c:v>60</c:v>
                </c:pt>
                <c:pt idx="18">
                  <c:v>60</c:v>
                </c:pt>
                <c:pt idx="23">
                  <c:v>100</c:v>
                </c:pt>
                <c:pt idx="24">
                  <c:v>20</c:v>
                </c:pt>
                <c:pt idx="29">
                  <c:v>125</c:v>
                </c:pt>
                <c:pt idx="30">
                  <c:v>30</c:v>
                </c:pt>
                <c:pt idx="31">
                  <c:v>40</c:v>
                </c:pt>
                <c:pt idx="36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3728"/>
        <c:axId val="217931776"/>
      </c:scatterChart>
      <c:valAx>
        <c:axId val="217593728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931776"/>
        <c:crosses val="autoZero"/>
        <c:crossBetween val="midCat"/>
      </c:valAx>
      <c:valAx>
        <c:axId val="21793177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Throughput</a:t>
                </a:r>
              </a:p>
              <a:p>
                <a:pPr>
                  <a:defRPr/>
                </a:pPr>
                <a:r>
                  <a:rPr lang="en-US" baseline="0"/>
                  <a:t>(wafers/hr)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59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Wafer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Wafer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9.4037844378584104E-2"/>
                  <c:y val="-9.5022570230669207E-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sourcedata!$G$2:$G$61</c:f>
              <c:numCache>
                <c:formatCode>General</c:formatCode>
                <c:ptCount val="60"/>
                <c:pt idx="2">
                  <c:v>1.25</c:v>
                </c:pt>
                <c:pt idx="10">
                  <c:v>2</c:v>
                </c:pt>
                <c:pt idx="15">
                  <c:v>3</c:v>
                </c:pt>
                <c:pt idx="17">
                  <c:v>2</c:v>
                </c:pt>
                <c:pt idx="18">
                  <c:v>3</c:v>
                </c:pt>
                <c:pt idx="23">
                  <c:v>4</c:v>
                </c:pt>
                <c:pt idx="24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6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46304"/>
        <c:axId val="223361280"/>
      </c:scatterChart>
      <c:valAx>
        <c:axId val="218146304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361280"/>
        <c:crosses val="autoZero"/>
        <c:crossBetween val="midCat"/>
      </c:valAx>
      <c:valAx>
        <c:axId val="22336128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Wafer Size</a:t>
                </a:r>
              </a:p>
              <a:p>
                <a:pPr>
                  <a:defRPr/>
                </a:pPr>
                <a:r>
                  <a:rPr lang="en-US" baseline="0"/>
                  <a:t>(in^2)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146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Areal 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16703786191537E-2"/>
                  <c:y val="0.250092764378478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sourcedata!$L$2:$L$61</c:f>
              <c:numCache>
                <c:formatCode>General</c:formatCode>
                <c:ptCount val="60"/>
                <c:pt idx="2">
                  <c:v>73.631077818510775</c:v>
                </c:pt>
                <c:pt idx="10">
                  <c:v>188.49555921538757</c:v>
                </c:pt>
                <c:pt idx="15">
                  <c:v>530.14376029327764</c:v>
                </c:pt>
                <c:pt idx="17">
                  <c:v>188.49555921538757</c:v>
                </c:pt>
                <c:pt idx="18">
                  <c:v>424.11500823462205</c:v>
                </c:pt>
                <c:pt idx="23">
                  <c:v>1256.6370614359173</c:v>
                </c:pt>
                <c:pt idx="24">
                  <c:v>251.32741228718345</c:v>
                </c:pt>
                <c:pt idx="29">
                  <c:v>2454.3692606170257</c:v>
                </c:pt>
                <c:pt idx="30">
                  <c:v>589.0486225480862</c:v>
                </c:pt>
                <c:pt idx="31">
                  <c:v>1130.9733552923256</c:v>
                </c:pt>
                <c:pt idx="36">
                  <c:v>1696.4600329384882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0896"/>
        <c:axId val="38082816"/>
      </c:scatterChart>
      <c:valAx>
        <c:axId val="38080896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082816"/>
        <c:crosses val="autoZero"/>
        <c:crossBetween val="midCat"/>
      </c:valAx>
      <c:valAx>
        <c:axId val="3808281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</a:t>
                </a:r>
              </a:p>
              <a:p>
                <a:pPr>
                  <a:defRPr/>
                </a:pPr>
                <a:r>
                  <a:rPr lang="en-US" baseline="0"/>
                  <a:t>(in^2/hr)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080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Tool</a:t>
            </a:r>
            <a:r>
              <a:rPr lang="en-US" baseline="0"/>
              <a:t> Cost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05557406660469E-2"/>
                  <c:y val="0.201855287569572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sourcedata!$H$2:$H$61</c:f>
              <c:numCache>
                <c:formatCode>General</c:formatCode>
                <c:ptCount val="60"/>
                <c:pt idx="10">
                  <c:v>82505.837238187785</c:v>
                </c:pt>
                <c:pt idx="15">
                  <c:v>329399.83490742114</c:v>
                </c:pt>
                <c:pt idx="26">
                  <c:v>703813.38654055737</c:v>
                </c:pt>
                <c:pt idx="29">
                  <c:v>732477.84195086255</c:v>
                </c:pt>
                <c:pt idx="30">
                  <c:v>732477.84195086255</c:v>
                </c:pt>
                <c:pt idx="31">
                  <c:v>732477.84195086255</c:v>
                </c:pt>
                <c:pt idx="36">
                  <c:v>1899057.489157377</c:v>
                </c:pt>
                <c:pt idx="42">
                  <c:v>3690137.5725492872</c:v>
                </c:pt>
                <c:pt idx="44">
                  <c:v>4908766.4805796398</c:v>
                </c:pt>
                <c:pt idx="46">
                  <c:v>6195821.6675099889</c:v>
                </c:pt>
                <c:pt idx="49">
                  <c:v>9869367.8226560075</c:v>
                </c:pt>
                <c:pt idx="52">
                  <c:v>13332980.061943509</c:v>
                </c:pt>
                <c:pt idx="55">
                  <c:v>26209588.674971752</c:v>
                </c:pt>
                <c:pt idx="56">
                  <c:v>34034922.791846879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1040"/>
        <c:axId val="75175040"/>
      </c:scatterChart>
      <c:valAx>
        <c:axId val="38231040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75040"/>
        <c:crosses val="autoZero"/>
        <c:crossBetween val="midCat"/>
      </c:valAx>
      <c:valAx>
        <c:axId val="75175040"/>
        <c:scaling>
          <c:logBase val="10"/>
          <c:orientation val="minMax"/>
          <c:min val="1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Tool Cost</a:t>
                </a:r>
              </a:p>
              <a:p>
                <a:pPr>
                  <a:defRPr/>
                </a:pPr>
                <a:r>
                  <a:rPr lang="en-US" baseline="0"/>
                  <a:t>($)</a:t>
                </a:r>
                <a:endParaRPr lang="en-US"/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crossAx val="38231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1.1038352945302801E-2"/>
                  <c:y val="0.18330241187384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sourcedata!$M$2:$M$61</c:f>
              <c:numCache>
                <c:formatCode>General</c:formatCode>
                <c:ptCount val="60"/>
                <c:pt idx="2">
                  <c:v>8.1812308687234196</c:v>
                </c:pt>
                <c:pt idx="10">
                  <c:v>94.247779607693786</c:v>
                </c:pt>
                <c:pt idx="15">
                  <c:v>132.53594007331941</c:v>
                </c:pt>
                <c:pt idx="17">
                  <c:v>37.699111843077517</c:v>
                </c:pt>
                <c:pt idx="18">
                  <c:v>169.64600329384882</c:v>
                </c:pt>
                <c:pt idx="23">
                  <c:v>628.31853071795865</c:v>
                </c:pt>
                <c:pt idx="24">
                  <c:v>167.55160819145564</c:v>
                </c:pt>
                <c:pt idx="29">
                  <c:v>2727.0769562411397</c:v>
                </c:pt>
                <c:pt idx="30">
                  <c:v>535.49874777098739</c:v>
                </c:pt>
                <c:pt idx="31">
                  <c:v>1130.9733552923256</c:v>
                </c:pt>
                <c:pt idx="36">
                  <c:v>2827.4333882308138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30176"/>
        <c:axId val="76181504"/>
      </c:scatterChart>
      <c:valAx>
        <c:axId val="76130176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181504"/>
        <c:crosses val="autoZero"/>
        <c:crossBetween val="midCat"/>
      </c:valAx>
      <c:valAx>
        <c:axId val="761815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Throughput/accuracy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130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Throughput/Cost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2.0872104238640499E-2"/>
                  <c:y val="-0.221242020072166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sourcedata!$N$2:$N$61</c:f>
              <c:numCache>
                <c:formatCode>General</c:formatCode>
                <c:ptCount val="60"/>
                <c:pt idx="10">
                  <c:v>2.2846330093132185E-3</c:v>
                </c:pt>
                <c:pt idx="15">
                  <c:v>1.6094232726081245E-3</c:v>
                </c:pt>
                <c:pt idx="29">
                  <c:v>3.3507761191521124E-3</c:v>
                </c:pt>
                <c:pt idx="30">
                  <c:v>8.0418626859650704E-4</c:v>
                </c:pt>
                <c:pt idx="31">
                  <c:v>1.5440376357052936E-3</c:v>
                </c:pt>
                <c:pt idx="36">
                  <c:v>8.933168388131407E-4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90880"/>
        <c:axId val="162892800"/>
      </c:scatterChart>
      <c:valAx>
        <c:axId val="162890880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892800"/>
        <c:crosses val="autoZero"/>
        <c:crossBetween val="midCat"/>
      </c:valAx>
      <c:valAx>
        <c:axId val="16289280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Throughput/Cost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n-US" sz="1000" b="1" i="0" u="none" strike="noStrike" baseline="0">
                    <a:effectLst/>
                  </a:rPr>
                  <a:t>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890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1/(Accuracy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6.6446872314680002E-4"/>
                  <c:y val="-0.3098330241187379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sourcedata!$O$2:$O$61</c:f>
              <c:numCache>
                <c:formatCode>General</c:formatCode>
                <c:ptCount val="60"/>
                <c:pt idx="10">
                  <c:v>6.0601772763851825E-6</c:v>
                </c:pt>
                <c:pt idx="15">
                  <c:v>7.5895605737101621E-7</c:v>
                </c:pt>
                <c:pt idx="29">
                  <c:v>1.5169211237186457E-6</c:v>
                </c:pt>
                <c:pt idx="30">
                  <c:v>1.2411172830425282E-6</c:v>
                </c:pt>
                <c:pt idx="31">
                  <c:v>1.3652290113467812E-6</c:v>
                </c:pt>
                <c:pt idx="36">
                  <c:v>8.7762833731072383E-7</c:v>
                </c:pt>
                <c:pt idx="44">
                  <c:v>3.1341102587546044E-7</c:v>
                </c:pt>
                <c:pt idx="46">
                  <c:v>4.3039758239819729E-7</c:v>
                </c:pt>
                <c:pt idx="52">
                  <c:v>6.2501656003516201E-7</c:v>
                </c:pt>
                <c:pt idx="56">
                  <c:v>4.5202439502230323E-7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25600"/>
        <c:axId val="163227520"/>
      </c:scatterChart>
      <c:valAx>
        <c:axId val="163225600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227520"/>
        <c:crosses val="autoZero"/>
        <c:crossBetween val="midCat"/>
      </c:valAx>
      <c:valAx>
        <c:axId val="1632275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1/(accuracy*cost)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225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Throughput/</a:t>
            </a:r>
          </a:p>
          <a:p>
            <a:pPr>
              <a:defRPr/>
            </a:pPr>
            <a:r>
              <a:rPr lang="en-US" baseline="0"/>
              <a:t>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3.23348473423005E-2"/>
                  <c:y val="-0.1262872335763219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1973</c:v>
                </c:pt>
                <c:pt idx="17">
                  <c:v>1974</c:v>
                </c:pt>
                <c:pt idx="18">
                  <c:v>1974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1978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1982</c:v>
                </c:pt>
                <c:pt idx="31">
                  <c:v>1982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</c:numCache>
            </c:numRef>
          </c:xVal>
          <c:yVal>
            <c:numRef>
              <c:f>sourcedata!$P$2:$P$61</c:f>
              <c:numCache>
                <c:formatCode>General</c:formatCode>
                <c:ptCount val="60"/>
                <c:pt idx="10">
                  <c:v>1.1423165046566092E-3</c:v>
                </c:pt>
                <c:pt idx="15">
                  <c:v>4.0235581815203111E-4</c:v>
                </c:pt>
                <c:pt idx="29">
                  <c:v>3.7230845768356806E-3</c:v>
                </c:pt>
                <c:pt idx="30">
                  <c:v>7.3107842599682454E-4</c:v>
                </c:pt>
                <c:pt idx="31">
                  <c:v>1.5440376357052936E-3</c:v>
                </c:pt>
                <c:pt idx="36">
                  <c:v>1.4888613980219012E-3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38880"/>
        <c:axId val="163341056"/>
      </c:scatterChart>
      <c:valAx>
        <c:axId val="163338880"/>
        <c:scaling>
          <c:orientation val="minMax"/>
          <c:max val="201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341056"/>
        <c:crosses val="autoZero"/>
        <c:crossBetween val="midCat"/>
      </c:valAx>
      <c:valAx>
        <c:axId val="1633410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Throughput/(accuracy*cost)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338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rawdata!$A$2:$A$7</c:f>
              <c:numCache>
                <c:formatCode>General</c:formatCode>
                <c:ptCount val="6"/>
                <c:pt idx="0">
                  <c:v>1969</c:v>
                </c:pt>
                <c:pt idx="1">
                  <c:v>1973</c:v>
                </c:pt>
                <c:pt idx="2">
                  <c:v>1982</c:v>
                </c:pt>
                <c:pt idx="3">
                  <c:v>1982</c:v>
                </c:pt>
                <c:pt idx="4">
                  <c:v>1982</c:v>
                </c:pt>
                <c:pt idx="5">
                  <c:v>1986</c:v>
                </c:pt>
              </c:numCache>
            </c:numRef>
          </c:xVal>
          <c:yVal>
            <c:numRef>
              <c:f>rawdata!$B$2:$B$7</c:f>
              <c:numCache>
                <c:formatCode>0.00E+00</c:formatCode>
                <c:ptCount val="6"/>
                <c:pt idx="0">
                  <c:v>1.1423165046566092E-3</c:v>
                </c:pt>
                <c:pt idx="1">
                  <c:v>4.0235581815203111E-4</c:v>
                </c:pt>
                <c:pt idx="2">
                  <c:v>3.7230845768356806E-3</c:v>
                </c:pt>
                <c:pt idx="3">
                  <c:v>7.3107842599682454E-4</c:v>
                </c:pt>
                <c:pt idx="4">
                  <c:v>1.5440376357052936E-3</c:v>
                </c:pt>
                <c:pt idx="5">
                  <c:v>1.4888613980219012E-3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26816"/>
        <c:axId val="214224896"/>
      </c:scatterChart>
      <c:valAx>
        <c:axId val="21422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24896"/>
        <c:crosses val="autoZero"/>
        <c:crossBetween val="midCat"/>
      </c:valAx>
      <c:valAx>
        <c:axId val="2142248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22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254000</xdr:colOff>
      <xdr:row>18</xdr:row>
      <xdr:rowOff>31750</xdr:rowOff>
    </xdr:from>
    <xdr:to>
      <xdr:col>26</xdr:col>
      <xdr:colOff>177800</xdr:colOff>
      <xdr:row>36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330200</xdr:colOff>
      <xdr:row>38</xdr:row>
      <xdr:rowOff>165100</xdr:rowOff>
    </xdr:from>
    <xdr:to>
      <xdr:col>26</xdr:col>
      <xdr:colOff>254000</xdr:colOff>
      <xdr:row>56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58</xdr:row>
      <xdr:rowOff>0</xdr:rowOff>
    </xdr:from>
    <xdr:to>
      <xdr:col>25</xdr:col>
      <xdr:colOff>749300</xdr:colOff>
      <xdr:row>75</xdr:row>
      <xdr:rowOff>184150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609600</xdr:colOff>
      <xdr:row>77</xdr:row>
      <xdr:rowOff>0</xdr:rowOff>
    </xdr:from>
    <xdr:to>
      <xdr:col>25</xdr:col>
      <xdr:colOff>749300</xdr:colOff>
      <xdr:row>97</xdr:row>
      <xdr:rowOff>184150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99</xdr:row>
      <xdr:rowOff>0</xdr:rowOff>
    </xdr:from>
    <xdr:to>
      <xdr:col>25</xdr:col>
      <xdr:colOff>749300</xdr:colOff>
      <xdr:row>116</xdr:row>
      <xdr:rowOff>184150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119</xdr:row>
      <xdr:rowOff>0</xdr:rowOff>
    </xdr:from>
    <xdr:to>
      <xdr:col>25</xdr:col>
      <xdr:colOff>749300</xdr:colOff>
      <xdr:row>136</xdr:row>
      <xdr:rowOff>184150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18</xdr:row>
      <xdr:rowOff>0</xdr:rowOff>
    </xdr:from>
    <xdr:to>
      <xdr:col>33</xdr:col>
      <xdr:colOff>749300</xdr:colOff>
      <xdr:row>35</xdr:row>
      <xdr:rowOff>184150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38</xdr:row>
      <xdr:rowOff>0</xdr:rowOff>
    </xdr:from>
    <xdr:to>
      <xdr:col>33</xdr:col>
      <xdr:colOff>749300</xdr:colOff>
      <xdr:row>55</xdr:row>
      <xdr:rowOff>184150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58</xdr:row>
      <xdr:rowOff>0</xdr:rowOff>
    </xdr:from>
    <xdr:to>
      <xdr:col>33</xdr:col>
      <xdr:colOff>749300</xdr:colOff>
      <xdr:row>75</xdr:row>
      <xdr:rowOff>184150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78</xdr:row>
      <xdr:rowOff>0</xdr:rowOff>
    </xdr:from>
    <xdr:to>
      <xdr:col>33</xdr:col>
      <xdr:colOff>749300</xdr:colOff>
      <xdr:row>95</xdr:row>
      <xdr:rowOff>184150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457200</xdr:colOff>
      <xdr:row>17</xdr:row>
      <xdr:rowOff>38100</xdr:rowOff>
    </xdr:from>
    <xdr:to>
      <xdr:col>41</xdr:col>
      <xdr:colOff>381000</xdr:colOff>
      <xdr:row>35</xdr:row>
      <xdr:rowOff>31750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0</xdr:colOff>
      <xdr:row>37</xdr:row>
      <xdr:rowOff>0</xdr:rowOff>
    </xdr:from>
    <xdr:to>
      <xdr:col>41</xdr:col>
      <xdr:colOff>749300</xdr:colOff>
      <xdr:row>54</xdr:row>
      <xdr:rowOff>184150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0</xdr:colOff>
      <xdr:row>58</xdr:row>
      <xdr:rowOff>0</xdr:rowOff>
    </xdr:from>
    <xdr:to>
      <xdr:col>41</xdr:col>
      <xdr:colOff>749300</xdr:colOff>
      <xdr:row>75</xdr:row>
      <xdr:rowOff>184150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0</xdr:colOff>
      <xdr:row>79</xdr:row>
      <xdr:rowOff>0</xdr:rowOff>
    </xdr:from>
    <xdr:to>
      <xdr:col>41</xdr:col>
      <xdr:colOff>749300</xdr:colOff>
      <xdr:row>96</xdr:row>
      <xdr:rowOff>184150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4</xdr:row>
      <xdr:rowOff>161925</xdr:rowOff>
    </xdr:from>
    <xdr:to>
      <xdr:col>10</xdr:col>
      <xdr:colOff>100012</xdr:colOff>
      <xdr:row>18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workbookViewId="0">
      <selection activeCell="P1" sqref="P1:P47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1960</v>
      </c>
      <c r="E2">
        <v>29</v>
      </c>
      <c r="J2">
        <v>29</v>
      </c>
      <c r="K2">
        <f>1/J2</f>
        <v>3.4482758620689655E-2</v>
      </c>
    </row>
    <row r="3" spans="1:16" x14ac:dyDescent="0.25">
      <c r="A3" t="s">
        <v>16</v>
      </c>
      <c r="B3">
        <v>1961</v>
      </c>
    </row>
    <row r="4" spans="1:16" x14ac:dyDescent="0.25">
      <c r="A4" t="s">
        <v>17</v>
      </c>
      <c r="B4">
        <v>1962</v>
      </c>
      <c r="C4">
        <v>9</v>
      </c>
      <c r="F4">
        <v>60</v>
      </c>
      <c r="G4">
        <v>1.25</v>
      </c>
      <c r="J4">
        <v>9</v>
      </c>
      <c r="K4">
        <f>1/J4</f>
        <v>0.1111111111111111</v>
      </c>
      <c r="L4">
        <f>F4*PI()*(G4/2)^2</f>
        <v>73.631077818510775</v>
      </c>
      <c r="M4">
        <f>L4/J4</f>
        <v>8.1812308687234196</v>
      </c>
    </row>
    <row r="5" spans="1:16" x14ac:dyDescent="0.25">
      <c r="A5" t="s">
        <v>16</v>
      </c>
      <c r="B5">
        <v>1962</v>
      </c>
    </row>
    <row r="6" spans="1:16" x14ac:dyDescent="0.25">
      <c r="A6" t="s">
        <v>16</v>
      </c>
      <c r="B6">
        <v>1963</v>
      </c>
    </row>
    <row r="7" spans="1:16" x14ac:dyDescent="0.25">
      <c r="A7" t="s">
        <v>16</v>
      </c>
      <c r="B7">
        <v>1964</v>
      </c>
    </row>
    <row r="8" spans="1:16" x14ac:dyDescent="0.25">
      <c r="A8" t="s">
        <v>16</v>
      </c>
      <c r="B8">
        <v>1965</v>
      </c>
    </row>
    <row r="9" spans="1:16" x14ac:dyDescent="0.25">
      <c r="A9" t="s">
        <v>16</v>
      </c>
      <c r="B9">
        <v>1966</v>
      </c>
      <c r="E9">
        <v>12</v>
      </c>
      <c r="J9">
        <v>12</v>
      </c>
      <c r="K9">
        <f>1/J9</f>
        <v>8.3333333333333329E-2</v>
      </c>
    </row>
    <row r="10" spans="1:16" x14ac:dyDescent="0.25">
      <c r="A10" t="s">
        <v>16</v>
      </c>
      <c r="B10">
        <v>1967</v>
      </c>
    </row>
    <row r="11" spans="1:16" x14ac:dyDescent="0.25">
      <c r="A11" t="s">
        <v>16</v>
      </c>
      <c r="B11">
        <v>1968</v>
      </c>
      <c r="E11">
        <v>9</v>
      </c>
      <c r="J11">
        <v>9</v>
      </c>
      <c r="K11">
        <f>1/J11</f>
        <v>0.1111111111111111</v>
      </c>
    </row>
    <row r="12" spans="1:16" x14ac:dyDescent="0.25">
      <c r="A12" t="s">
        <v>17</v>
      </c>
      <c r="B12">
        <v>1969</v>
      </c>
      <c r="C12">
        <v>2</v>
      </c>
      <c r="F12">
        <v>60</v>
      </c>
      <c r="G12">
        <v>2</v>
      </c>
      <c r="H12">
        <v>82505.837238187785</v>
      </c>
      <c r="I12">
        <f>1.25*10^4</f>
        <v>12500</v>
      </c>
      <c r="J12">
        <v>2</v>
      </c>
      <c r="K12">
        <f>1/J12</f>
        <v>0.5</v>
      </c>
      <c r="L12">
        <f>F12*PI()*(G12/2)^2</f>
        <v>188.49555921538757</v>
      </c>
      <c r="M12">
        <f>L12/J12</f>
        <v>94.247779607693786</v>
      </c>
      <c r="N12">
        <f>L12/H12</f>
        <v>2.2846330093132185E-3</v>
      </c>
      <c r="O12">
        <f>1/(J12*H12)</f>
        <v>6.0601772763851825E-6</v>
      </c>
      <c r="P12">
        <f>M12/H12</f>
        <v>1.1423165046566092E-3</v>
      </c>
    </row>
    <row r="13" spans="1:16" x14ac:dyDescent="0.25">
      <c r="A13" t="s">
        <v>16</v>
      </c>
      <c r="B13">
        <v>1969</v>
      </c>
    </row>
    <row r="14" spans="1:16" x14ac:dyDescent="0.25">
      <c r="A14" t="s">
        <v>16</v>
      </c>
      <c r="B14">
        <v>1970</v>
      </c>
    </row>
    <row r="15" spans="1:16" x14ac:dyDescent="0.25">
      <c r="A15" t="s">
        <v>16</v>
      </c>
      <c r="B15">
        <v>1971</v>
      </c>
    </row>
    <row r="16" spans="1:16" x14ac:dyDescent="0.25">
      <c r="A16" t="s">
        <v>16</v>
      </c>
      <c r="B16">
        <v>1972</v>
      </c>
    </row>
    <row r="17" spans="1:16" x14ac:dyDescent="0.25">
      <c r="A17" t="s">
        <v>17</v>
      </c>
      <c r="B17">
        <v>1973</v>
      </c>
      <c r="C17">
        <v>4</v>
      </c>
      <c r="F17">
        <v>75</v>
      </c>
      <c r="G17">
        <v>3</v>
      </c>
      <c r="H17">
        <v>329399.83490742114</v>
      </c>
      <c r="I17">
        <v>60000</v>
      </c>
      <c r="J17">
        <v>4</v>
      </c>
      <c r="K17">
        <f>1/J17</f>
        <v>0.25</v>
      </c>
      <c r="L17">
        <f>F17*PI()*(G17/2)^2</f>
        <v>530.14376029327764</v>
      </c>
      <c r="M17">
        <f>L17/J17</f>
        <v>132.53594007331941</v>
      </c>
      <c r="N17">
        <f>L17/H17</f>
        <v>1.6094232726081245E-3</v>
      </c>
      <c r="O17">
        <f>1/(J17*H17)</f>
        <v>7.5895605737101621E-7</v>
      </c>
      <c r="P17">
        <f>M17/H17</f>
        <v>4.0235581815203111E-4</v>
      </c>
    </row>
    <row r="18" spans="1:16" x14ac:dyDescent="0.25">
      <c r="A18" t="s">
        <v>16</v>
      </c>
      <c r="B18">
        <v>1973</v>
      </c>
    </row>
    <row r="19" spans="1:16" x14ac:dyDescent="0.25">
      <c r="A19" t="s">
        <v>17</v>
      </c>
      <c r="B19">
        <v>1974</v>
      </c>
      <c r="C19">
        <v>5</v>
      </c>
      <c r="F19">
        <v>60</v>
      </c>
      <c r="G19">
        <v>2</v>
      </c>
      <c r="J19">
        <v>5</v>
      </c>
      <c r="K19">
        <f>1/J19</f>
        <v>0.2</v>
      </c>
      <c r="L19">
        <f>F19*PI()*(G19/2)^2</f>
        <v>188.49555921538757</v>
      </c>
      <c r="M19">
        <f>L19/J19</f>
        <v>37.699111843077517</v>
      </c>
    </row>
    <row r="20" spans="1:16" x14ac:dyDescent="0.25">
      <c r="A20" t="s">
        <v>17</v>
      </c>
      <c r="B20">
        <v>1974</v>
      </c>
      <c r="C20">
        <v>2.5</v>
      </c>
      <c r="F20">
        <v>60</v>
      </c>
      <c r="G20">
        <v>3</v>
      </c>
      <c r="J20">
        <v>2.5</v>
      </c>
      <c r="K20">
        <f>1/J20</f>
        <v>0.4</v>
      </c>
      <c r="L20">
        <f>F20*PI()*(G20/2)^2</f>
        <v>424.11500823462205</v>
      </c>
      <c r="M20">
        <f>L20/J20</f>
        <v>169.64600329384882</v>
      </c>
    </row>
    <row r="21" spans="1:16" x14ac:dyDescent="0.25">
      <c r="A21" t="s">
        <v>16</v>
      </c>
      <c r="B21">
        <v>1974</v>
      </c>
    </row>
    <row r="22" spans="1:16" x14ac:dyDescent="0.25">
      <c r="A22" t="s">
        <v>16</v>
      </c>
      <c r="B22">
        <v>1975</v>
      </c>
    </row>
    <row r="23" spans="1:16" x14ac:dyDescent="0.25">
      <c r="A23" t="s">
        <v>16</v>
      </c>
      <c r="B23">
        <v>1976</v>
      </c>
    </row>
    <row r="24" spans="1:16" x14ac:dyDescent="0.25">
      <c r="A24" t="s">
        <v>16</v>
      </c>
      <c r="B24">
        <v>1977</v>
      </c>
      <c r="D24">
        <v>3</v>
      </c>
      <c r="J24">
        <v>3</v>
      </c>
      <c r="K24">
        <f>1/J24</f>
        <v>0.33333333333333331</v>
      </c>
    </row>
    <row r="25" spans="1:16" x14ac:dyDescent="0.25">
      <c r="A25" t="s">
        <v>17</v>
      </c>
      <c r="B25">
        <v>1978</v>
      </c>
      <c r="C25">
        <v>2</v>
      </c>
      <c r="F25">
        <v>100</v>
      </c>
      <c r="G25">
        <v>4</v>
      </c>
      <c r="J25">
        <v>2</v>
      </c>
      <c r="K25">
        <f>1/J25</f>
        <v>0.5</v>
      </c>
      <c r="L25">
        <f>F25*PI()*(G25/2)^2</f>
        <v>1256.6370614359173</v>
      </c>
      <c r="M25">
        <f>L25/J25</f>
        <v>628.31853071795865</v>
      </c>
    </row>
    <row r="26" spans="1:16" x14ac:dyDescent="0.25">
      <c r="A26" t="s">
        <v>17</v>
      </c>
      <c r="B26">
        <v>1978</v>
      </c>
      <c r="C26">
        <v>1.5</v>
      </c>
      <c r="F26">
        <v>20</v>
      </c>
      <c r="G26">
        <v>4</v>
      </c>
      <c r="J26">
        <v>1.5</v>
      </c>
      <c r="K26">
        <f>1/J26</f>
        <v>0.66666666666666663</v>
      </c>
      <c r="L26">
        <f>F26*PI()*(G26/2)^2</f>
        <v>251.32741228718345</v>
      </c>
      <c r="M26">
        <f>L26/J26</f>
        <v>167.55160819145564</v>
      </c>
    </row>
    <row r="27" spans="1:16" x14ac:dyDescent="0.25">
      <c r="A27" t="s">
        <v>16</v>
      </c>
      <c r="B27">
        <v>1978</v>
      </c>
    </row>
    <row r="28" spans="1:16" x14ac:dyDescent="0.25">
      <c r="A28" t="s">
        <v>16</v>
      </c>
      <c r="B28">
        <v>1979</v>
      </c>
      <c r="H28">
        <v>703813.38654055737</v>
      </c>
      <c r="I28">
        <f>2*10^5</f>
        <v>200000</v>
      </c>
    </row>
    <row r="29" spans="1:16" x14ac:dyDescent="0.25">
      <c r="A29" t="s">
        <v>16</v>
      </c>
      <c r="B29">
        <v>1980</v>
      </c>
      <c r="D29">
        <v>2</v>
      </c>
      <c r="J29">
        <v>2</v>
      </c>
      <c r="K29">
        <f>1/J29</f>
        <v>0.5</v>
      </c>
    </row>
    <row r="30" spans="1:16" x14ac:dyDescent="0.25">
      <c r="A30" t="s">
        <v>16</v>
      </c>
      <c r="B30">
        <v>1981</v>
      </c>
    </row>
    <row r="31" spans="1:16" x14ac:dyDescent="0.25">
      <c r="A31" t="s">
        <v>17</v>
      </c>
      <c r="B31">
        <v>1982</v>
      </c>
      <c r="C31">
        <v>0.9</v>
      </c>
      <c r="F31">
        <v>125</v>
      </c>
      <c r="G31">
        <v>5</v>
      </c>
      <c r="H31">
        <v>732477.84195086255</v>
      </c>
      <c r="I31">
        <v>290000</v>
      </c>
      <c r="J31">
        <v>0.9</v>
      </c>
      <c r="K31">
        <f>1/J31</f>
        <v>1.1111111111111112</v>
      </c>
      <c r="L31">
        <f>F31*PI()*(G31/2)^2</f>
        <v>2454.3692606170257</v>
      </c>
      <c r="M31">
        <f>L31/J31</f>
        <v>2727.0769562411397</v>
      </c>
      <c r="N31">
        <f>L31/H31</f>
        <v>3.3507761191521124E-3</v>
      </c>
      <c r="O31">
        <f>1/(J31*H31)</f>
        <v>1.5169211237186457E-6</v>
      </c>
      <c r="P31">
        <f>M31/H31</f>
        <v>3.7230845768356806E-3</v>
      </c>
    </row>
    <row r="32" spans="1:16" x14ac:dyDescent="0.25">
      <c r="A32" t="s">
        <v>17</v>
      </c>
      <c r="B32">
        <v>1982</v>
      </c>
      <c r="C32">
        <v>1.1000000000000001</v>
      </c>
      <c r="F32">
        <v>30</v>
      </c>
      <c r="G32">
        <v>5</v>
      </c>
      <c r="H32">
        <v>732477.84195086255</v>
      </c>
      <c r="I32">
        <v>290000</v>
      </c>
      <c r="J32">
        <v>1.1000000000000001</v>
      </c>
      <c r="K32">
        <f>1/J32</f>
        <v>0.90909090909090906</v>
      </c>
      <c r="L32">
        <f>F32*PI()*(G32/2)^2</f>
        <v>589.0486225480862</v>
      </c>
      <c r="M32">
        <f>L32/J32</f>
        <v>535.49874777098739</v>
      </c>
      <c r="N32">
        <f>L32/H32</f>
        <v>8.0418626859650704E-4</v>
      </c>
      <c r="O32">
        <f>1/(J32*H32)</f>
        <v>1.2411172830425282E-6</v>
      </c>
      <c r="P32">
        <f>M32/H32</f>
        <v>7.3107842599682454E-4</v>
      </c>
    </row>
    <row r="33" spans="1:16" x14ac:dyDescent="0.25">
      <c r="A33" t="s">
        <v>17</v>
      </c>
      <c r="B33">
        <v>1982</v>
      </c>
      <c r="C33">
        <v>1</v>
      </c>
      <c r="F33">
        <v>40</v>
      </c>
      <c r="G33">
        <v>6</v>
      </c>
      <c r="H33">
        <v>732477.84195086255</v>
      </c>
      <c r="I33">
        <v>290000</v>
      </c>
      <c r="J33">
        <v>1</v>
      </c>
      <c r="K33">
        <f>1/J33</f>
        <v>1</v>
      </c>
      <c r="L33">
        <f>F33*PI()*(G33/2)^2</f>
        <v>1130.9733552923256</v>
      </c>
      <c r="M33">
        <f>L33/J33</f>
        <v>1130.9733552923256</v>
      </c>
      <c r="N33">
        <f>L33/H33</f>
        <v>1.5440376357052936E-3</v>
      </c>
      <c r="O33">
        <f>1/(J33*H33)</f>
        <v>1.3652290113467812E-6</v>
      </c>
      <c r="P33">
        <f>M33/H33</f>
        <v>1.5440376357052936E-3</v>
      </c>
    </row>
    <row r="34" spans="1:16" x14ac:dyDescent="0.25">
      <c r="A34" t="s">
        <v>16</v>
      </c>
      <c r="B34">
        <v>1982</v>
      </c>
    </row>
    <row r="35" spans="1:16" x14ac:dyDescent="0.25">
      <c r="A35" t="s">
        <v>16</v>
      </c>
      <c r="B35">
        <v>1983</v>
      </c>
      <c r="D35">
        <v>1.5</v>
      </c>
      <c r="J35">
        <v>1.5</v>
      </c>
      <c r="K35">
        <f>1/J35</f>
        <v>0.66666666666666663</v>
      </c>
    </row>
    <row r="36" spans="1:16" x14ac:dyDescent="0.25">
      <c r="A36" t="s">
        <v>16</v>
      </c>
      <c r="B36">
        <v>1984</v>
      </c>
    </row>
    <row r="37" spans="1:16" x14ac:dyDescent="0.25">
      <c r="A37" t="s">
        <v>16</v>
      </c>
      <c r="B37">
        <v>1985</v>
      </c>
    </row>
    <row r="38" spans="1:16" x14ac:dyDescent="0.25">
      <c r="A38" t="s">
        <v>17</v>
      </c>
      <c r="B38">
        <v>1986</v>
      </c>
      <c r="C38">
        <v>0.6</v>
      </c>
      <c r="F38">
        <v>60</v>
      </c>
      <c r="G38">
        <v>6</v>
      </c>
      <c r="H38">
        <v>1899057.489157377</v>
      </c>
      <c r="I38">
        <v>890000</v>
      </c>
      <c r="J38">
        <v>0.6</v>
      </c>
      <c r="K38">
        <f>1/J38</f>
        <v>1.6666666666666667</v>
      </c>
      <c r="L38">
        <f>F38*PI()*(G38/2)^2</f>
        <v>1696.4600329384882</v>
      </c>
      <c r="M38">
        <f>L38/J38</f>
        <v>2827.4333882308138</v>
      </c>
      <c r="N38">
        <f>L38/H38</f>
        <v>8.933168388131407E-4</v>
      </c>
      <c r="O38">
        <f>1/(J38*H38)</f>
        <v>8.7762833731072383E-7</v>
      </c>
      <c r="P38">
        <f>M38/H38</f>
        <v>1.4888613980219012E-3</v>
      </c>
    </row>
    <row r="39" spans="1:16" x14ac:dyDescent="0.25">
      <c r="A39" t="s">
        <v>16</v>
      </c>
      <c r="B39">
        <v>1986</v>
      </c>
      <c r="D39">
        <v>1</v>
      </c>
      <c r="J39">
        <v>1</v>
      </c>
      <c r="K39">
        <f>1/J39</f>
        <v>1</v>
      </c>
    </row>
    <row r="40" spans="1:16" x14ac:dyDescent="0.25">
      <c r="A40" t="s">
        <v>16</v>
      </c>
      <c r="B40">
        <v>1987</v>
      </c>
      <c r="E40">
        <v>1.1000000000000001</v>
      </c>
      <c r="J40">
        <v>1.1000000000000001</v>
      </c>
      <c r="K40">
        <f>1/J40</f>
        <v>0.90909090909090906</v>
      </c>
    </row>
    <row r="41" spans="1:16" x14ac:dyDescent="0.25">
      <c r="A41" t="s">
        <v>16</v>
      </c>
      <c r="B41">
        <v>1988</v>
      </c>
    </row>
    <row r="42" spans="1:16" x14ac:dyDescent="0.25">
      <c r="A42" t="s">
        <v>16</v>
      </c>
      <c r="B42">
        <v>1989</v>
      </c>
      <c r="D42">
        <v>0.8</v>
      </c>
      <c r="J42">
        <v>0.8</v>
      </c>
      <c r="K42">
        <f>1/J42</f>
        <v>1.25</v>
      </c>
    </row>
    <row r="43" spans="1:16" x14ac:dyDescent="0.25">
      <c r="A43" t="s">
        <v>16</v>
      </c>
      <c r="B43">
        <v>1990</v>
      </c>
      <c r="E43">
        <v>0.75</v>
      </c>
      <c r="J43">
        <v>0.75</v>
      </c>
      <c r="K43">
        <f>1/J43</f>
        <v>1.3333333333333333</v>
      </c>
    </row>
    <row r="44" spans="1:16" x14ac:dyDescent="0.25">
      <c r="A44" t="s">
        <v>16</v>
      </c>
      <c r="B44">
        <v>1991</v>
      </c>
      <c r="H44">
        <v>3690137.5725492872</v>
      </c>
      <c r="I44">
        <f>2.1*10^6</f>
        <v>2100000</v>
      </c>
    </row>
    <row r="45" spans="1:16" x14ac:dyDescent="0.25">
      <c r="A45" t="s">
        <v>16</v>
      </c>
      <c r="B45">
        <v>1992</v>
      </c>
      <c r="D45">
        <v>0.5</v>
      </c>
      <c r="J45">
        <v>0.5</v>
      </c>
      <c r="K45">
        <f>1/J45</f>
        <v>2</v>
      </c>
    </row>
    <row r="46" spans="1:16" x14ac:dyDescent="0.25">
      <c r="A46" t="s">
        <v>16</v>
      </c>
      <c r="B46">
        <v>1993</v>
      </c>
      <c r="E46">
        <v>0.65</v>
      </c>
      <c r="H46" s="2">
        <v>4908766.4805796398</v>
      </c>
      <c r="I46" s="2">
        <v>3000000</v>
      </c>
      <c r="J46">
        <v>0.65</v>
      </c>
      <c r="K46">
        <f>1/J46</f>
        <v>1.5384615384615383</v>
      </c>
      <c r="O46">
        <f>1/(J46*H46)</f>
        <v>3.1341102587546044E-7</v>
      </c>
    </row>
    <row r="47" spans="1:16" x14ac:dyDescent="0.25">
      <c r="A47" t="s">
        <v>16</v>
      </c>
      <c r="B47">
        <v>1994</v>
      </c>
    </row>
    <row r="48" spans="1:16" x14ac:dyDescent="0.25">
      <c r="A48" t="s">
        <v>16</v>
      </c>
      <c r="B48">
        <v>1995</v>
      </c>
      <c r="D48">
        <v>0.35</v>
      </c>
      <c r="E48">
        <v>0.4</v>
      </c>
      <c r="H48">
        <v>6195821.6675099889</v>
      </c>
      <c r="I48">
        <f>4*10^6</f>
        <v>4000000</v>
      </c>
      <c r="J48">
        <v>0.375</v>
      </c>
      <c r="K48">
        <f>1/J48</f>
        <v>2.6666666666666665</v>
      </c>
      <c r="O48">
        <f>1/(J48*H48)</f>
        <v>4.3039758239819729E-7</v>
      </c>
    </row>
    <row r="49" spans="1:15" x14ac:dyDescent="0.25">
      <c r="A49" t="s">
        <v>16</v>
      </c>
      <c r="B49">
        <v>1996</v>
      </c>
    </row>
    <row r="50" spans="1:15" x14ac:dyDescent="0.25">
      <c r="A50" t="s">
        <v>16</v>
      </c>
      <c r="B50">
        <v>1997</v>
      </c>
      <c r="D50">
        <v>0.25</v>
      </c>
      <c r="E50">
        <v>0.28999999999999998</v>
      </c>
      <c r="J50">
        <v>0.27</v>
      </c>
      <c r="K50">
        <f>1/J50</f>
        <v>3.7037037037037033</v>
      </c>
    </row>
    <row r="51" spans="1:15" x14ac:dyDescent="0.25">
      <c r="A51" t="s">
        <v>16</v>
      </c>
      <c r="B51">
        <v>1998</v>
      </c>
      <c r="H51">
        <v>9869367.8226560075</v>
      </c>
      <c r="I51">
        <f>6.9*10^6</f>
        <v>6900000</v>
      </c>
    </row>
    <row r="52" spans="1:15" x14ac:dyDescent="0.25">
      <c r="A52" t="s">
        <v>16</v>
      </c>
      <c r="B52">
        <v>1999</v>
      </c>
      <c r="D52">
        <v>0.18</v>
      </c>
      <c r="E52">
        <v>0.2</v>
      </c>
      <c r="J52">
        <v>0.19</v>
      </c>
      <c r="K52">
        <f>1/J52</f>
        <v>5.2631578947368425</v>
      </c>
    </row>
    <row r="53" spans="1:15" x14ac:dyDescent="0.25">
      <c r="A53" t="s">
        <v>16</v>
      </c>
      <c r="B53">
        <v>2000</v>
      </c>
    </row>
    <row r="54" spans="1:15" x14ac:dyDescent="0.25">
      <c r="A54" t="s">
        <v>16</v>
      </c>
      <c r="B54">
        <v>2001</v>
      </c>
      <c r="D54">
        <v>0.13</v>
      </c>
      <c r="E54">
        <v>0.11</v>
      </c>
      <c r="H54">
        <v>13332980.061943509</v>
      </c>
      <c r="I54">
        <f>1*10^7</f>
        <v>10000000</v>
      </c>
      <c r="J54">
        <v>0.12</v>
      </c>
      <c r="K54">
        <f>1/J54</f>
        <v>8.3333333333333339</v>
      </c>
      <c r="O54">
        <f>1/(J54*H54)</f>
        <v>6.2501656003516201E-7</v>
      </c>
    </row>
    <row r="55" spans="1:15" x14ac:dyDescent="0.25">
      <c r="A55" t="s">
        <v>16</v>
      </c>
      <c r="B55">
        <v>2002</v>
      </c>
    </row>
    <row r="56" spans="1:15" x14ac:dyDescent="0.25">
      <c r="A56" t="s">
        <v>16</v>
      </c>
      <c r="B56">
        <v>2003</v>
      </c>
      <c r="D56">
        <v>0.09</v>
      </c>
      <c r="J56">
        <v>0.09</v>
      </c>
      <c r="K56">
        <f>1/J56</f>
        <v>11.111111111111111</v>
      </c>
    </row>
    <row r="57" spans="1:15" x14ac:dyDescent="0.25">
      <c r="A57" t="s">
        <v>16</v>
      </c>
      <c r="B57">
        <v>2004</v>
      </c>
      <c r="H57">
        <v>26209588.674971752</v>
      </c>
      <c r="I57">
        <f>2.1*10^7</f>
        <v>21000000</v>
      </c>
    </row>
    <row r="58" spans="1:15" x14ac:dyDescent="0.25">
      <c r="A58" t="s">
        <v>16</v>
      </c>
      <c r="B58">
        <v>2005</v>
      </c>
      <c r="D58">
        <v>6.5000000000000002E-2</v>
      </c>
      <c r="H58">
        <v>34034922.791846879</v>
      </c>
      <c r="I58">
        <f>2.8*10^7</f>
        <v>28000000</v>
      </c>
      <c r="J58">
        <v>6.5000000000000002E-2</v>
      </c>
      <c r="K58">
        <f>1/J58</f>
        <v>15.384615384615383</v>
      </c>
      <c r="O58">
        <f>1/(J58*H58)</f>
        <v>4.5202439502230323E-7</v>
      </c>
    </row>
    <row r="59" spans="1:15" x14ac:dyDescent="0.25">
      <c r="A59" t="s">
        <v>16</v>
      </c>
      <c r="B59">
        <v>2006</v>
      </c>
    </row>
    <row r="60" spans="1:15" x14ac:dyDescent="0.25">
      <c r="A60" t="s">
        <v>16</v>
      </c>
      <c r="B60">
        <v>2007</v>
      </c>
    </row>
    <row r="61" spans="1:15" x14ac:dyDescent="0.25">
      <c r="A61" t="s">
        <v>16</v>
      </c>
      <c r="B61">
        <v>2008</v>
      </c>
      <c r="M61" s="3"/>
    </row>
  </sheetData>
  <pageMargins left="0.75" right="0.75" top="1" bottom="1" header="0.5" footer="0.5"/>
  <pageSetup scale="95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" defaultRowHeight="15.7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50</v>
      </c>
      <c r="B2" s="13">
        <f>PRMallall!G1</f>
        <v>5.2948899088912538E-2</v>
      </c>
      <c r="C2" s="13">
        <f>PRMallND!G1</f>
        <v>9.0884176134535921E-2</v>
      </c>
      <c r="D2" s="13">
        <f>PRM70all!G1</f>
        <v>0.11640353068947971</v>
      </c>
      <c r="E2" s="13">
        <f>PRM70ND!G1</f>
        <v>0.24721899712111683</v>
      </c>
    </row>
    <row r="3" spans="1:5" x14ac:dyDescent="0.25">
      <c r="A3" t="s">
        <v>45</v>
      </c>
      <c r="B3">
        <f>PRMallall!B13</f>
        <v>6</v>
      </c>
      <c r="C3">
        <f>PRMallND!B9</f>
        <v>2</v>
      </c>
      <c r="D3">
        <f>PRM70all!B12</f>
        <v>5</v>
      </c>
      <c r="E3">
        <f>PRM70ND!B9</f>
        <v>2</v>
      </c>
    </row>
    <row r="4" spans="1:5" x14ac:dyDescent="0.25">
      <c r="A4" t="s">
        <v>19</v>
      </c>
      <c r="B4" s="12">
        <f>PRMallall!H1</f>
        <v>0.20973509814121505</v>
      </c>
      <c r="C4" s="12">
        <f>PRMallND!H1</f>
        <v>1</v>
      </c>
      <c r="D4" s="12">
        <f>PRM70all!H1</f>
        <v>0.44023213473284167</v>
      </c>
      <c r="E4" s="12">
        <f>PRM70ND!H1</f>
        <v>1</v>
      </c>
    </row>
    <row r="5" spans="1:5" x14ac:dyDescent="0.25">
      <c r="A5" t="s">
        <v>51</v>
      </c>
      <c r="B5" s="13">
        <f>PRMallall!H16</f>
        <v>0.14077195595309197</v>
      </c>
      <c r="C5" s="13" t="e">
        <f>PRMallND!H16</f>
        <v>#NUM!</v>
      </c>
      <c r="D5" s="13">
        <f>PRM70all!H16</f>
        <v>0.22687694506933526</v>
      </c>
      <c r="E5" s="13" t="e">
        <f>PRM70ND!H16</f>
        <v>#NUM!</v>
      </c>
    </row>
    <row r="6" spans="1:5" x14ac:dyDescent="0.25">
      <c r="A6" t="s">
        <v>52</v>
      </c>
      <c r="B6" s="13">
        <f>PRMallall!H26</f>
        <v>5.5701388557209866E-2</v>
      </c>
      <c r="C6" s="13" t="e">
        <f>PRMallND!H26</f>
        <v>#NUM!</v>
      </c>
      <c r="D6" s="13">
        <f>PRM70all!H26</f>
        <v>8.0914059945555034E-2</v>
      </c>
      <c r="E6" s="13" t="e">
        <f>PRM70ND!H26</f>
        <v>#NUM!</v>
      </c>
    </row>
    <row r="7" spans="1:5" x14ac:dyDescent="0.25">
      <c r="A7" t="s">
        <v>53</v>
      </c>
      <c r="B7" s="13">
        <f>SUM(B5:B6)/3</f>
        <v>6.5491114836767284E-2</v>
      </c>
      <c r="C7" s="13" t="e">
        <f>SUM(C5:C6)/3</f>
        <v>#NUM!</v>
      </c>
      <c r="D7" s="13">
        <f>SUM(D5:D6)/3</f>
        <v>0.10259700167163011</v>
      </c>
      <c r="E7" s="13" t="e">
        <f>SUM(E5:E6)/3</f>
        <v>#NUM!</v>
      </c>
    </row>
    <row r="8" spans="1:5" x14ac:dyDescent="0.25">
      <c r="A8" t="s">
        <v>54</v>
      </c>
      <c r="B8" s="14">
        <f>B7/B2</f>
        <v>1.2368739664783903</v>
      </c>
      <c r="C8" s="14" t="e">
        <f>C7/C2</f>
        <v>#NUM!</v>
      </c>
      <c r="D8" s="14">
        <f>D7/D2</f>
        <v>0.88139080545004966</v>
      </c>
      <c r="E8" s="14" t="e">
        <f>E7/E2</f>
        <v>#NUM!</v>
      </c>
    </row>
    <row r="9" spans="1:5" x14ac:dyDescent="0.25">
      <c r="A9" t="s">
        <v>55</v>
      </c>
      <c r="B9" s="13">
        <f>PRMallall!B8</f>
        <v>5.8132900262933475E-2</v>
      </c>
      <c r="C9" s="13">
        <f>PRMallND!B4</f>
        <v>0</v>
      </c>
      <c r="D9" s="13">
        <f>PRM70all!B7</f>
        <v>9.5213530458977874E-2</v>
      </c>
      <c r="E9" s="13">
        <f>PRM70ND!B4</f>
        <v>0</v>
      </c>
    </row>
    <row r="10" spans="1:5" x14ac:dyDescent="0.25">
      <c r="A10" t="s">
        <v>56</v>
      </c>
      <c r="B10" s="13">
        <f>PRMallall!B9</f>
        <v>3.3020982439428824E-2</v>
      </c>
      <c r="C10" s="13">
        <f>PRMallND!B5</f>
        <v>0</v>
      </c>
      <c r="D10" s="13">
        <f>PRM70all!B8</f>
        <v>6.7282215505725718E-2</v>
      </c>
      <c r="E10" s="13">
        <f>PRM70ND!B5</f>
        <v>0</v>
      </c>
    </row>
    <row r="11" spans="1:5" x14ac:dyDescent="0.25">
      <c r="A11" t="s">
        <v>58</v>
      </c>
      <c r="B11" s="13">
        <f>PRMallall!B11</f>
        <v>0.11640353068947971</v>
      </c>
      <c r="C11" s="13">
        <f>PRMallND!B7</f>
        <v>0</v>
      </c>
      <c r="D11" s="13">
        <f>PRM70all!B10</f>
        <v>0.1543323772559104</v>
      </c>
      <c r="E11" s="13">
        <f>PRM70ND!B7</f>
        <v>0</v>
      </c>
    </row>
    <row r="12" spans="1:5" x14ac:dyDescent="0.25">
      <c r="A12" t="s">
        <v>57</v>
      </c>
      <c r="B12" s="13">
        <f>PRMallall!B10</f>
        <v>2.0157046265066647E-2</v>
      </c>
      <c r="C12" s="13">
        <f>PRMallND!B6</f>
        <v>0</v>
      </c>
      <c r="D12" s="13">
        <f>PRM70all!B9</f>
        <v>-2.0140316949670726E-2</v>
      </c>
      <c r="E12" s="13">
        <f>PRM70ND!B6</f>
        <v>0</v>
      </c>
    </row>
    <row r="13" spans="1:5" x14ac:dyDescent="0.25">
      <c r="A13" t="s">
        <v>59</v>
      </c>
      <c r="B13">
        <f>PRMallall!E12</f>
        <v>17</v>
      </c>
      <c r="C13">
        <f>PRMallND!E8</f>
        <v>13</v>
      </c>
      <c r="D13">
        <f>PRM70all!E11</f>
        <v>13</v>
      </c>
      <c r="E13">
        <f>PRM70ND!E8</f>
        <v>9</v>
      </c>
    </row>
    <row r="14" spans="1:5" x14ac:dyDescent="0.25">
      <c r="A14" t="s">
        <v>60</v>
      </c>
    </row>
    <row r="15" spans="1:5" x14ac:dyDescent="0.25">
      <c r="A15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" defaultRowHeight="15.75" x14ac:dyDescent="0.25"/>
  <sheetData>
    <row r="1" spans="1:16" ht="17.25" thickTop="1" thickBot="1" x14ac:dyDescent="0.3">
      <c r="B1" s="6" t="s">
        <v>18</v>
      </c>
      <c r="C1" s="6" t="s">
        <v>19</v>
      </c>
      <c r="D1" s="6" t="s">
        <v>20</v>
      </c>
      <c r="E1" s="6" t="s">
        <v>1</v>
      </c>
      <c r="F1" s="6" t="s">
        <v>15</v>
      </c>
      <c r="G1" s="4">
        <f>LN(G2)</f>
        <v>0.24721899712111683</v>
      </c>
      <c r="H1" s="5">
        <f>G4</f>
        <v>1</v>
      </c>
      <c r="I1" t="s">
        <v>1</v>
      </c>
      <c r="J1" t="s">
        <v>15</v>
      </c>
      <c r="K1" s="7">
        <f>LN(K2)</f>
        <v>0</v>
      </c>
      <c r="L1" s="8">
        <f>K4</f>
        <v>1</v>
      </c>
      <c r="M1" t="s">
        <v>1</v>
      </c>
      <c r="N1" t="s">
        <v>15</v>
      </c>
      <c r="O1" s="7">
        <f>LN(O2)</f>
        <v>0</v>
      </c>
      <c r="P1" s="8">
        <f>O4</f>
        <v>1</v>
      </c>
    </row>
    <row r="2" spans="1:16" ht="16.5" thickTop="1" x14ac:dyDescent="0.25">
      <c r="B2">
        <v>0</v>
      </c>
      <c r="C2" s="9">
        <v>1</v>
      </c>
      <c r="D2" t="e">
        <v>#NUM!</v>
      </c>
      <c r="E2">
        <v>1973</v>
      </c>
      <c r="F2">
        <v>4.0235581815203111E-4</v>
      </c>
      <c r="G2">
        <f t="array" ref="G2:H6">LOGEST(F2:F3,E2:E3,TRUE, TRUE)</f>
        <v>1.2804594990192515</v>
      </c>
      <c r="H2">
        <v>5.912832716855618E-216</v>
      </c>
      <c r="I2">
        <v>1982</v>
      </c>
      <c r="J2">
        <v>3.7230845768356806E-3</v>
      </c>
      <c r="K2">
        <f t="array" ref="K2:L6">LOGEST(J2:J2,I2:I2,TRUE, TRUE)</f>
        <v>1</v>
      </c>
      <c r="L2">
        <v>3.723084576835681E-3</v>
      </c>
      <c r="M2">
        <v>1973</v>
      </c>
      <c r="N2">
        <v>4.0235581815203111E-4</v>
      </c>
      <c r="O2">
        <f t="array" ref="O2:P6">LOGEST(N2:N2,M2:M2,TRUE, TRUE)</f>
        <v>1</v>
      </c>
      <c r="P2">
        <v>4.0235581815203101E-4</v>
      </c>
    </row>
    <row r="3" spans="1:16" x14ac:dyDescent="0.25">
      <c r="B3">
        <v>0</v>
      </c>
      <c r="C3" s="9">
        <v>1</v>
      </c>
      <c r="D3" t="e">
        <v>#NUM!</v>
      </c>
      <c r="E3">
        <v>1982</v>
      </c>
      <c r="F3">
        <v>3.7230845768356806E-3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6.5" thickBot="1" x14ac:dyDescent="0.3">
      <c r="A4" t="s">
        <v>40</v>
      </c>
      <c r="B4" s="6">
        <f>AVERAGE(B2:B3)</f>
        <v>0</v>
      </c>
      <c r="C4" s="6">
        <f>AVERAGE(C2:C3)</f>
        <v>1</v>
      </c>
      <c r="D4" s="6" t="e">
        <f>AVERAGE(D2:D3)</f>
        <v>#NUM!</v>
      </c>
      <c r="E4" s="6">
        <f>AVERAGE(E2:E3)</f>
        <v>1977.5</v>
      </c>
      <c r="F4" s="6">
        <f>AVERAGE(F2:F3)</f>
        <v>2.062720197493856E-3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41</v>
      </c>
      <c r="B5" s="6">
        <f>STDEV(B2:B3)</f>
        <v>0</v>
      </c>
      <c r="C5" s="6">
        <f>STDEV(C2:C3)</f>
        <v>0</v>
      </c>
      <c r="D5" s="6" t="e">
        <f>STDEV(D2:D3)</f>
        <v>#NUM!</v>
      </c>
      <c r="E5" s="6">
        <f>STDEV(E2:E3)</f>
        <v>6.3639610306789276</v>
      </c>
      <c r="F5" s="6">
        <f>STDEV(F2:F3)</f>
        <v>2.3481098237463946E-3</v>
      </c>
      <c r="G5" t="e">
        <v>#NUM!</v>
      </c>
      <c r="H5">
        <v>0</v>
      </c>
      <c r="K5" s="5" t="e">
        <v>#NUM!</v>
      </c>
      <c r="L5">
        <v>0</v>
      </c>
      <c r="O5" s="5" t="e">
        <v>#NUM!</v>
      </c>
      <c r="P5">
        <v>0</v>
      </c>
    </row>
    <row r="6" spans="1:16" ht="16.5" thickTop="1" x14ac:dyDescent="0.25">
      <c r="A6" t="s">
        <v>42</v>
      </c>
      <c r="B6" s="6">
        <f>MIN(B2:B3)</f>
        <v>0</v>
      </c>
      <c r="C6" s="6">
        <f>MIN(C2:C3)</f>
        <v>1</v>
      </c>
      <c r="D6" s="6" t="e">
        <f>MIN(D2:D3)</f>
        <v>#NUM!</v>
      </c>
      <c r="E6" s="6">
        <f>MIN(E2:E3)</f>
        <v>1973</v>
      </c>
      <c r="F6" s="6">
        <f>MIN(F2:F3)</f>
        <v>4.0235581815203111E-4</v>
      </c>
      <c r="G6">
        <v>2.4752479177716178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43</v>
      </c>
      <c r="B7" s="6">
        <f>MAX(B2:B3)</f>
        <v>0</v>
      </c>
      <c r="C7" s="6">
        <f>MAX(C2:C3)</f>
        <v>1</v>
      </c>
      <c r="D7" s="6" t="e">
        <f>MAX(D2:D3)</f>
        <v>#NUM!</v>
      </c>
      <c r="E7" s="6">
        <f>MAX(E2:E3)</f>
        <v>1982</v>
      </c>
      <c r="F7" s="6">
        <f>MAX(F2:F3)</f>
        <v>3.7230845768356806E-3</v>
      </c>
      <c r="G7" t="s">
        <v>21</v>
      </c>
      <c r="H7" t="e">
        <f>TINV(0.0455,H5)</f>
        <v>#NUM!</v>
      </c>
      <c r="K7" t="s">
        <v>21</v>
      </c>
      <c r="L7" t="e">
        <f>TINV(0.0455,L5)</f>
        <v>#NUM!</v>
      </c>
    </row>
    <row r="8" spans="1:16" x14ac:dyDescent="0.25">
      <c r="A8" t="s">
        <v>44</v>
      </c>
      <c r="B8" s="6">
        <f>ABS(B7-B6)</f>
        <v>0</v>
      </c>
      <c r="C8" s="6">
        <f>ABS(C7-C6)</f>
        <v>0</v>
      </c>
      <c r="D8" s="6" t="e">
        <f>ABS(D7-D6)</f>
        <v>#NUM!</v>
      </c>
      <c r="E8" s="6">
        <f>ABS(E7-E6)</f>
        <v>9</v>
      </c>
      <c r="F8" s="6">
        <f>ABS(F7-F6)</f>
        <v>3.3207287586836495E-3</v>
      </c>
      <c r="G8" t="s">
        <v>22</v>
      </c>
      <c r="H8" t="e">
        <f>H7*G3</f>
        <v>#NUM!</v>
      </c>
      <c r="K8" t="s">
        <v>22</v>
      </c>
      <c r="L8" t="e">
        <f>L7*K3</f>
        <v>#NUM!</v>
      </c>
    </row>
    <row r="9" spans="1:16" x14ac:dyDescent="0.25">
      <c r="A9" t="s">
        <v>45</v>
      </c>
      <c r="B9" s="6">
        <f>COUNT(B2:B3)</f>
        <v>2</v>
      </c>
      <c r="G9" t="s">
        <v>23</v>
      </c>
      <c r="H9" t="e">
        <f>G2+H8</f>
        <v>#NUM!</v>
      </c>
      <c r="K9" t="s">
        <v>23</v>
      </c>
      <c r="L9" t="e">
        <f>K2+L8</f>
        <v>#NUM!</v>
      </c>
    </row>
    <row r="10" spans="1:16" x14ac:dyDescent="0.25">
      <c r="G10" t="s">
        <v>24</v>
      </c>
      <c r="H10" t="e">
        <f>G2-H8</f>
        <v>#NUM!</v>
      </c>
      <c r="K10" t="s">
        <v>24</v>
      </c>
      <c r="L10" t="e">
        <f>K2-L8</f>
        <v>#NUM!</v>
      </c>
    </row>
    <row r="11" spans="1:16" x14ac:dyDescent="0.25">
      <c r="G11" t="s">
        <v>25</v>
      </c>
      <c r="H11" s="10">
        <f>LN(G2)</f>
        <v>0.24721899712111683</v>
      </c>
      <c r="K11" t="s">
        <v>25</v>
      </c>
      <c r="L11" s="10">
        <f>LN(K2)</f>
        <v>0</v>
      </c>
    </row>
    <row r="12" spans="1:16" x14ac:dyDescent="0.25">
      <c r="G12" t="s">
        <v>26</v>
      </c>
      <c r="H12" s="10" t="e">
        <f>LN(H9)</f>
        <v>#NUM!</v>
      </c>
      <c r="K12" t="s">
        <v>26</v>
      </c>
      <c r="L12" s="10" t="e">
        <f>LN(L9)</f>
        <v>#NUM!</v>
      </c>
    </row>
    <row r="13" spans="1:16" x14ac:dyDescent="0.25">
      <c r="G13" t="s">
        <v>27</v>
      </c>
      <c r="H13" s="10" t="e">
        <f>LN(H10)</f>
        <v>#NUM!</v>
      </c>
      <c r="K13" t="s">
        <v>27</v>
      </c>
      <c r="L13" s="10" t="e">
        <f>LN(L10)</f>
        <v>#NUM!</v>
      </c>
    </row>
    <row r="14" spans="1:16" x14ac:dyDescent="0.25">
      <c r="G14" t="s">
        <v>28</v>
      </c>
      <c r="H14" s="10" t="e">
        <f>H12-H11</f>
        <v>#NUM!</v>
      </c>
      <c r="K14" t="s">
        <v>28</v>
      </c>
      <c r="L14" s="10" t="e">
        <f>L12-L11</f>
        <v>#NUM!</v>
      </c>
    </row>
    <row r="15" spans="1:16" x14ac:dyDescent="0.25">
      <c r="G15" t="s">
        <v>29</v>
      </c>
      <c r="H15" s="10" t="e">
        <f>H11-H13</f>
        <v>#NUM!</v>
      </c>
      <c r="K15" t="s">
        <v>29</v>
      </c>
      <c r="L15" s="10" t="e">
        <f>L11-L13</f>
        <v>#NUM!</v>
      </c>
    </row>
    <row r="16" spans="1:16" x14ac:dyDescent="0.25">
      <c r="G16" t="s">
        <v>30</v>
      </c>
      <c r="H16" s="11" t="e">
        <f>AVERAGE(H14:H15)</f>
        <v>#NUM!</v>
      </c>
      <c r="K16" t="s">
        <v>30</v>
      </c>
      <c r="L16" s="11" t="e">
        <f>AVERAGE(L14:L15)</f>
        <v>#NUM!</v>
      </c>
    </row>
    <row r="17" spans="7:12" x14ac:dyDescent="0.25">
      <c r="G17" t="s">
        <v>31</v>
      </c>
      <c r="H17" t="e">
        <f>TINV(0.3173,H5)</f>
        <v>#NUM!</v>
      </c>
      <c r="K17" t="s">
        <v>31</v>
      </c>
      <c r="L17" t="e">
        <f>TINV(0.3173,L5)</f>
        <v>#NUM!</v>
      </c>
    </row>
    <row r="18" spans="7:12" x14ac:dyDescent="0.25">
      <c r="G18" t="s">
        <v>32</v>
      </c>
      <c r="H18" t="e">
        <f>H17*G3</f>
        <v>#NUM!</v>
      </c>
      <c r="K18" t="s">
        <v>32</v>
      </c>
      <c r="L18" t="e">
        <f>L17*K3</f>
        <v>#NUM!</v>
      </c>
    </row>
    <row r="19" spans="7:12" x14ac:dyDescent="0.25">
      <c r="G19" t="s">
        <v>33</v>
      </c>
      <c r="H19" t="e">
        <f>G2+H18</f>
        <v>#NUM!</v>
      </c>
      <c r="K19" t="s">
        <v>33</v>
      </c>
      <c r="L19" t="e">
        <f>K2+L18</f>
        <v>#NUM!</v>
      </c>
    </row>
    <row r="20" spans="7:12" x14ac:dyDescent="0.25">
      <c r="G20" t="s">
        <v>34</v>
      </c>
      <c r="H20" t="e">
        <f>G2-H18</f>
        <v>#NUM!</v>
      </c>
      <c r="K20" t="s">
        <v>34</v>
      </c>
      <c r="L20" t="e">
        <f>K2-L18</f>
        <v>#NUM!</v>
      </c>
    </row>
    <row r="21" spans="7:12" x14ac:dyDescent="0.25">
      <c r="G21" t="s">
        <v>25</v>
      </c>
      <c r="H21" s="10">
        <f>LN(G2)</f>
        <v>0.24721899712111683</v>
      </c>
      <c r="K21" t="s">
        <v>25</v>
      </c>
      <c r="L21" s="10">
        <f>LN(K2)</f>
        <v>0</v>
      </c>
    </row>
    <row r="22" spans="7:12" x14ac:dyDescent="0.25">
      <c r="G22" t="s">
        <v>35</v>
      </c>
      <c r="H22" s="10" t="e">
        <f>LN(H19)</f>
        <v>#NUM!</v>
      </c>
      <c r="K22" t="s">
        <v>35</v>
      </c>
      <c r="L22" s="10" t="e">
        <f>LN(L19)</f>
        <v>#NUM!</v>
      </c>
    </row>
    <row r="23" spans="7:12" x14ac:dyDescent="0.25">
      <c r="G23" t="s">
        <v>36</v>
      </c>
      <c r="H23" s="10" t="e">
        <f>LN(H20)</f>
        <v>#NUM!</v>
      </c>
      <c r="K23" t="s">
        <v>36</v>
      </c>
      <c r="L23" s="10" t="e">
        <f>LN(L20)</f>
        <v>#NUM!</v>
      </c>
    </row>
    <row r="24" spans="7:12" x14ac:dyDescent="0.25">
      <c r="G24" t="s">
        <v>37</v>
      </c>
      <c r="H24" s="10" t="e">
        <f>H22-H21</f>
        <v>#NUM!</v>
      </c>
      <c r="K24" t="s">
        <v>37</v>
      </c>
      <c r="L24" s="10" t="e">
        <f>L22-L21</f>
        <v>#NUM!</v>
      </c>
    </row>
    <row r="25" spans="7:12" x14ac:dyDescent="0.25">
      <c r="G25" t="s">
        <v>38</v>
      </c>
      <c r="H25" s="10" t="e">
        <f>H21-H23</f>
        <v>#NUM!</v>
      </c>
      <c r="K25" t="s">
        <v>38</v>
      </c>
      <c r="L25" s="10" t="e">
        <f>L21-L23</f>
        <v>#NUM!</v>
      </c>
    </row>
    <row r="26" spans="7:12" x14ac:dyDescent="0.25">
      <c r="G26" t="s">
        <v>39</v>
      </c>
      <c r="H26" s="11" t="e">
        <f>AVERAGE(H24:H25)</f>
        <v>#NUM!</v>
      </c>
      <c r="K26" t="s">
        <v>39</v>
      </c>
      <c r="L26" s="11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" defaultRowHeight="15.75" x14ac:dyDescent="0.25"/>
  <sheetData>
    <row r="1" spans="1:16" ht="17.25" thickTop="1" thickBot="1" x14ac:dyDescent="0.3">
      <c r="B1" s="6" t="s">
        <v>18</v>
      </c>
      <c r="C1" s="6" t="s">
        <v>19</v>
      </c>
      <c r="D1" s="6" t="s">
        <v>20</v>
      </c>
      <c r="E1" s="6" t="s">
        <v>1</v>
      </c>
      <c r="F1" s="6" t="s">
        <v>15</v>
      </c>
      <c r="G1" s="4">
        <f>LN(G2)</f>
        <v>9.0884176134535921E-2</v>
      </c>
      <c r="H1" s="5">
        <f>G4</f>
        <v>1</v>
      </c>
      <c r="I1" t="s">
        <v>1</v>
      </c>
      <c r="J1" t="s">
        <v>15</v>
      </c>
      <c r="K1" s="7">
        <f>LN(K2)</f>
        <v>0</v>
      </c>
      <c r="L1" s="8">
        <f>K4</f>
        <v>1</v>
      </c>
      <c r="M1" t="s">
        <v>1</v>
      </c>
      <c r="N1" t="s">
        <v>15</v>
      </c>
      <c r="O1" s="7">
        <f>LN(O2)</f>
        <v>0</v>
      </c>
      <c r="P1" s="8">
        <f>O4</f>
        <v>1</v>
      </c>
    </row>
    <row r="2" spans="1:16" ht="16.5" thickTop="1" x14ac:dyDescent="0.25">
      <c r="B2">
        <v>0</v>
      </c>
      <c r="C2" s="9">
        <v>1</v>
      </c>
      <c r="D2" t="e">
        <v>#NUM!</v>
      </c>
      <c r="E2">
        <v>1969</v>
      </c>
      <c r="F2">
        <v>1.1423165046566092E-3</v>
      </c>
      <c r="G2">
        <f t="array" ref="G2:H6">LOGEST(F2:F3,E2:E3,TRUE, TRUE)</f>
        <v>1.0951421543148785</v>
      </c>
      <c r="H2">
        <v>2.1896739838083653E-81</v>
      </c>
      <c r="I2">
        <v>1982</v>
      </c>
      <c r="J2">
        <v>3.7230845768356806E-3</v>
      </c>
      <c r="K2">
        <f t="array" ref="K2:L6">LOGEST(J2:J2,I2:I2,TRUE, TRUE)</f>
        <v>1</v>
      </c>
      <c r="L2">
        <v>3.723084576835681E-3</v>
      </c>
      <c r="M2">
        <v>1969</v>
      </c>
      <c r="N2">
        <v>1.1423165046566092E-3</v>
      </c>
      <c r="O2">
        <f t="array" ref="O2:P6">LOGEST(N2:N2,M2:M2,TRUE, TRUE)</f>
        <v>1</v>
      </c>
      <c r="P2">
        <v>1.142316504656609E-3</v>
      </c>
    </row>
    <row r="3" spans="1:16" x14ac:dyDescent="0.25">
      <c r="B3">
        <v>0</v>
      </c>
      <c r="C3" s="9">
        <v>1</v>
      </c>
      <c r="D3" t="e">
        <v>#NUM!</v>
      </c>
      <c r="E3">
        <v>1982</v>
      </c>
      <c r="F3">
        <v>3.7230845768356806E-3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6.5" thickBot="1" x14ac:dyDescent="0.3">
      <c r="A4" t="s">
        <v>40</v>
      </c>
      <c r="B4" s="6">
        <f>AVERAGE(B2:B3)</f>
        <v>0</v>
      </c>
      <c r="C4" s="6">
        <f>AVERAGE(C2:C3)</f>
        <v>1</v>
      </c>
      <c r="D4" s="6" t="e">
        <f>AVERAGE(D2:D3)</f>
        <v>#NUM!</v>
      </c>
      <c r="E4" s="6">
        <f>AVERAGE(E2:E3)</f>
        <v>1975.5</v>
      </c>
      <c r="F4" s="6">
        <f>AVERAGE(F2:F3)</f>
        <v>2.4327005407461448E-3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41</v>
      </c>
      <c r="B5" s="6">
        <f>STDEV(B2:B3)</f>
        <v>0</v>
      </c>
      <c r="C5" s="6">
        <f>STDEV(C2:C3)</f>
        <v>0</v>
      </c>
      <c r="D5" s="6" t="e">
        <f>STDEV(D2:D3)</f>
        <v>#NUM!</v>
      </c>
      <c r="E5" s="6">
        <f>STDEV(E2:E3)</f>
        <v>9.1923881554251174</v>
      </c>
      <c r="F5" s="6">
        <f>STDEV(F2:F3)</f>
        <v>1.8248786045075547E-3</v>
      </c>
      <c r="G5" t="e">
        <v>#NUM!</v>
      </c>
      <c r="H5">
        <v>0</v>
      </c>
      <c r="K5" s="5" t="e">
        <v>#NUM!</v>
      </c>
      <c r="L5">
        <v>0</v>
      </c>
      <c r="O5" s="5" t="e">
        <v>#NUM!</v>
      </c>
      <c r="P5">
        <v>0</v>
      </c>
    </row>
    <row r="6" spans="1:16" ht="16.5" thickTop="1" x14ac:dyDescent="0.25">
      <c r="A6" t="s">
        <v>42</v>
      </c>
      <c r="B6" s="6">
        <f>MIN(B2:B3)</f>
        <v>0</v>
      </c>
      <c r="C6" s="6">
        <f>MIN(C2:C3)</f>
        <v>1</v>
      </c>
      <c r="D6" s="6" t="e">
        <f>MIN(D2:D3)</f>
        <v>#NUM!</v>
      </c>
      <c r="E6" s="6">
        <f>MIN(E2:E3)</f>
        <v>1969</v>
      </c>
      <c r="F6" s="6">
        <f>MIN(F2:F3)</f>
        <v>1.1423165046566092E-3</v>
      </c>
      <c r="G6">
        <v>0.69796437835470893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43</v>
      </c>
      <c r="B7" s="6">
        <f>MAX(B2:B3)</f>
        <v>0</v>
      </c>
      <c r="C7" s="6">
        <f>MAX(C2:C3)</f>
        <v>1</v>
      </c>
      <c r="D7" s="6" t="e">
        <f>MAX(D2:D3)</f>
        <v>#NUM!</v>
      </c>
      <c r="E7" s="6">
        <f>MAX(E2:E3)</f>
        <v>1982</v>
      </c>
      <c r="F7" s="6">
        <f>MAX(F2:F3)</f>
        <v>3.7230845768356806E-3</v>
      </c>
      <c r="G7" t="s">
        <v>21</v>
      </c>
      <c r="H7" t="e">
        <f>TINV(0.0455,H5)</f>
        <v>#NUM!</v>
      </c>
      <c r="K7" t="s">
        <v>21</v>
      </c>
      <c r="L7" t="e">
        <f>TINV(0.0455,L5)</f>
        <v>#NUM!</v>
      </c>
    </row>
    <row r="8" spans="1:16" x14ac:dyDescent="0.25">
      <c r="A8" t="s">
        <v>44</v>
      </c>
      <c r="B8" s="6">
        <f>ABS(B7-B6)</f>
        <v>0</v>
      </c>
      <c r="C8" s="6">
        <f>ABS(C7-C6)</f>
        <v>0</v>
      </c>
      <c r="D8" s="6" t="e">
        <f>ABS(D7-D6)</f>
        <v>#NUM!</v>
      </c>
      <c r="E8" s="6">
        <f>ABS(E7-E6)</f>
        <v>13</v>
      </c>
      <c r="F8" s="6">
        <f>ABS(F7-F6)</f>
        <v>2.5807680721790715E-3</v>
      </c>
      <c r="G8" t="s">
        <v>22</v>
      </c>
      <c r="H8" t="e">
        <f>H7*G3</f>
        <v>#NUM!</v>
      </c>
      <c r="K8" t="s">
        <v>22</v>
      </c>
      <c r="L8" t="e">
        <f>L7*K3</f>
        <v>#NUM!</v>
      </c>
    </row>
    <row r="9" spans="1:16" x14ac:dyDescent="0.25">
      <c r="A9" t="s">
        <v>45</v>
      </c>
      <c r="B9" s="6">
        <f>COUNT(B2:B3)</f>
        <v>2</v>
      </c>
      <c r="G9" t="s">
        <v>23</v>
      </c>
      <c r="H9" t="e">
        <f>G2+H8</f>
        <v>#NUM!</v>
      </c>
      <c r="K9" t="s">
        <v>23</v>
      </c>
      <c r="L9" t="e">
        <f>K2+L8</f>
        <v>#NUM!</v>
      </c>
    </row>
    <row r="10" spans="1:16" x14ac:dyDescent="0.25">
      <c r="G10" t="s">
        <v>24</v>
      </c>
      <c r="H10" t="e">
        <f>G2-H8</f>
        <v>#NUM!</v>
      </c>
      <c r="K10" t="s">
        <v>24</v>
      </c>
      <c r="L10" t="e">
        <f>K2-L8</f>
        <v>#NUM!</v>
      </c>
    </row>
    <row r="11" spans="1:16" x14ac:dyDescent="0.25">
      <c r="G11" t="s">
        <v>25</v>
      </c>
      <c r="H11" s="10">
        <f>LN(G2)</f>
        <v>9.0884176134535921E-2</v>
      </c>
      <c r="K11" t="s">
        <v>25</v>
      </c>
      <c r="L11" s="10">
        <f>LN(K2)</f>
        <v>0</v>
      </c>
    </row>
    <row r="12" spans="1:16" x14ac:dyDescent="0.25">
      <c r="G12" t="s">
        <v>26</v>
      </c>
      <c r="H12" s="10" t="e">
        <f>LN(H9)</f>
        <v>#NUM!</v>
      </c>
      <c r="K12" t="s">
        <v>26</v>
      </c>
      <c r="L12" s="10" t="e">
        <f>LN(L9)</f>
        <v>#NUM!</v>
      </c>
    </row>
    <row r="13" spans="1:16" x14ac:dyDescent="0.25">
      <c r="G13" t="s">
        <v>27</v>
      </c>
      <c r="H13" s="10" t="e">
        <f>LN(H10)</f>
        <v>#NUM!</v>
      </c>
      <c r="K13" t="s">
        <v>27</v>
      </c>
      <c r="L13" s="10" t="e">
        <f>LN(L10)</f>
        <v>#NUM!</v>
      </c>
    </row>
    <row r="14" spans="1:16" x14ac:dyDescent="0.25">
      <c r="G14" t="s">
        <v>28</v>
      </c>
      <c r="H14" s="10" t="e">
        <f>H12-H11</f>
        <v>#NUM!</v>
      </c>
      <c r="K14" t="s">
        <v>28</v>
      </c>
      <c r="L14" s="10" t="e">
        <f>L12-L11</f>
        <v>#NUM!</v>
      </c>
    </row>
    <row r="15" spans="1:16" x14ac:dyDescent="0.25">
      <c r="G15" t="s">
        <v>29</v>
      </c>
      <c r="H15" s="10" t="e">
        <f>H11-H13</f>
        <v>#NUM!</v>
      </c>
      <c r="K15" t="s">
        <v>29</v>
      </c>
      <c r="L15" s="10" t="e">
        <f>L11-L13</f>
        <v>#NUM!</v>
      </c>
    </row>
    <row r="16" spans="1:16" x14ac:dyDescent="0.25">
      <c r="G16" t="s">
        <v>30</v>
      </c>
      <c r="H16" s="11" t="e">
        <f>AVERAGE(H14:H15)</f>
        <v>#NUM!</v>
      </c>
      <c r="K16" t="s">
        <v>30</v>
      </c>
      <c r="L16" s="11" t="e">
        <f>AVERAGE(L14:L15)</f>
        <v>#NUM!</v>
      </c>
    </row>
    <row r="17" spans="7:12" x14ac:dyDescent="0.25">
      <c r="G17" t="s">
        <v>31</v>
      </c>
      <c r="H17" t="e">
        <f>TINV(0.3173,H5)</f>
        <v>#NUM!</v>
      </c>
      <c r="K17" t="s">
        <v>31</v>
      </c>
      <c r="L17" t="e">
        <f>TINV(0.3173,L5)</f>
        <v>#NUM!</v>
      </c>
    </row>
    <row r="18" spans="7:12" x14ac:dyDescent="0.25">
      <c r="G18" t="s">
        <v>32</v>
      </c>
      <c r="H18" t="e">
        <f>H17*G3</f>
        <v>#NUM!</v>
      </c>
      <c r="K18" t="s">
        <v>32</v>
      </c>
      <c r="L18" t="e">
        <f>L17*K3</f>
        <v>#NUM!</v>
      </c>
    </row>
    <row r="19" spans="7:12" x14ac:dyDescent="0.25">
      <c r="G19" t="s">
        <v>33</v>
      </c>
      <c r="H19" t="e">
        <f>G2+H18</f>
        <v>#NUM!</v>
      </c>
      <c r="K19" t="s">
        <v>33</v>
      </c>
      <c r="L19" t="e">
        <f>K2+L18</f>
        <v>#NUM!</v>
      </c>
    </row>
    <row r="20" spans="7:12" x14ac:dyDescent="0.25">
      <c r="G20" t="s">
        <v>34</v>
      </c>
      <c r="H20" t="e">
        <f>G2-H18</f>
        <v>#NUM!</v>
      </c>
      <c r="K20" t="s">
        <v>34</v>
      </c>
      <c r="L20" t="e">
        <f>K2-L18</f>
        <v>#NUM!</v>
      </c>
    </row>
    <row r="21" spans="7:12" x14ac:dyDescent="0.25">
      <c r="G21" t="s">
        <v>25</v>
      </c>
      <c r="H21" s="10">
        <f>LN(G2)</f>
        <v>9.0884176134535921E-2</v>
      </c>
      <c r="K21" t="s">
        <v>25</v>
      </c>
      <c r="L21" s="10">
        <f>LN(K2)</f>
        <v>0</v>
      </c>
    </row>
    <row r="22" spans="7:12" x14ac:dyDescent="0.25">
      <c r="G22" t="s">
        <v>35</v>
      </c>
      <c r="H22" s="10" t="e">
        <f>LN(H19)</f>
        <v>#NUM!</v>
      </c>
      <c r="K22" t="s">
        <v>35</v>
      </c>
      <c r="L22" s="10" t="e">
        <f>LN(L19)</f>
        <v>#NUM!</v>
      </c>
    </row>
    <row r="23" spans="7:12" x14ac:dyDescent="0.25">
      <c r="G23" t="s">
        <v>36</v>
      </c>
      <c r="H23" s="10" t="e">
        <f>LN(H20)</f>
        <v>#NUM!</v>
      </c>
      <c r="K23" t="s">
        <v>36</v>
      </c>
      <c r="L23" s="10" t="e">
        <f>LN(L20)</f>
        <v>#NUM!</v>
      </c>
    </row>
    <row r="24" spans="7:12" x14ac:dyDescent="0.25">
      <c r="G24" t="s">
        <v>37</v>
      </c>
      <c r="H24" s="10" t="e">
        <f>H22-H21</f>
        <v>#NUM!</v>
      </c>
      <c r="K24" t="s">
        <v>37</v>
      </c>
      <c r="L24" s="10" t="e">
        <f>L22-L21</f>
        <v>#NUM!</v>
      </c>
    </row>
    <row r="25" spans="7:12" x14ac:dyDescent="0.25">
      <c r="G25" t="s">
        <v>38</v>
      </c>
      <c r="H25" s="10" t="e">
        <f>H21-H23</f>
        <v>#NUM!</v>
      </c>
      <c r="K25" t="s">
        <v>38</v>
      </c>
      <c r="L25" s="10" t="e">
        <f>L21-L23</f>
        <v>#NUM!</v>
      </c>
    </row>
    <row r="26" spans="7:12" x14ac:dyDescent="0.25">
      <c r="G26" t="s">
        <v>39</v>
      </c>
      <c r="H26" s="11" t="e">
        <f>AVERAGE(H24:H25)</f>
        <v>#NUM!</v>
      </c>
      <c r="K26" t="s">
        <v>39</v>
      </c>
      <c r="L26" s="11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defaultColWidth="11" defaultRowHeight="15.75" x14ac:dyDescent="0.25"/>
  <sheetData>
    <row r="1" spans="1:28" ht="17.25" thickTop="1" thickBot="1" x14ac:dyDescent="0.3">
      <c r="B1" s="6" t="s">
        <v>18</v>
      </c>
      <c r="C1" s="6" t="s">
        <v>19</v>
      </c>
      <c r="D1" s="6" t="s">
        <v>20</v>
      </c>
      <c r="E1" s="6" t="s">
        <v>1</v>
      </c>
      <c r="F1" s="6" t="s">
        <v>15</v>
      </c>
      <c r="G1" s="4">
        <f>LN(G2)</f>
        <v>0.11640353068947971</v>
      </c>
      <c r="H1" s="5">
        <f>G4</f>
        <v>0.44023213473284167</v>
      </c>
      <c r="I1" t="s">
        <v>1</v>
      </c>
      <c r="J1" t="s">
        <v>15</v>
      </c>
      <c r="K1" s="7">
        <f>LN(K2)</f>
        <v>-2.0140316949670726E-2</v>
      </c>
      <c r="L1" s="8">
        <f>K4</f>
        <v>3.6525914907535942E-3</v>
      </c>
      <c r="M1" t="s">
        <v>1</v>
      </c>
      <c r="N1" t="s">
        <v>15</v>
      </c>
      <c r="O1" s="7">
        <f>LN(O2)</f>
        <v>0.10244366043165931</v>
      </c>
      <c r="P1" s="8">
        <f>O4</f>
        <v>0.77065299888204331</v>
      </c>
      <c r="Q1" t="s">
        <v>1</v>
      </c>
      <c r="R1" t="s">
        <v>15</v>
      </c>
      <c r="S1" s="7">
        <f>LN(S2)</f>
        <v>0.12486496967549246</v>
      </c>
      <c r="T1" s="8">
        <f>S4</f>
        <v>0.56107788088712618</v>
      </c>
      <c r="U1" t="s">
        <v>1</v>
      </c>
      <c r="V1" t="s">
        <v>15</v>
      </c>
      <c r="W1" s="7">
        <f>LN(W2)</f>
        <v>0.11456696188149786</v>
      </c>
      <c r="X1" s="8">
        <f>W4</f>
        <v>0.43256546588196859</v>
      </c>
      <c r="Y1" t="s">
        <v>1</v>
      </c>
      <c r="Z1" t="s">
        <v>15</v>
      </c>
      <c r="AA1" s="7">
        <f>LN(AA2)</f>
        <v>0.1543323772559104</v>
      </c>
      <c r="AB1" s="8">
        <f>AA4</f>
        <v>0.521479581181856</v>
      </c>
    </row>
    <row r="2" spans="1:28" ht="16.5" thickTop="1" x14ac:dyDescent="0.25">
      <c r="B2">
        <v>-2.0140316949670726E-2</v>
      </c>
      <c r="C2" s="9">
        <v>3.6525914907535942E-3</v>
      </c>
      <c r="D2">
        <v>7.3319636495440283E-3</v>
      </c>
      <c r="E2">
        <v>1973</v>
      </c>
      <c r="F2">
        <v>4.0235581815203111E-4</v>
      </c>
      <c r="G2">
        <f t="array" ref="G2:H6">LOGEST(F2:F6,E2:E6,TRUE, TRUE)</f>
        <v>1.1234491268767686</v>
      </c>
      <c r="H2">
        <v>8.5879709480151183E-104</v>
      </c>
      <c r="I2">
        <v>1982</v>
      </c>
      <c r="J2">
        <v>3.7230845768356806E-3</v>
      </c>
      <c r="K2">
        <f t="array" ref="K2:L6">LOGEST(J2:J5,I2:I5,TRUE, TRUE)</f>
        <v>0.98006114446788484</v>
      </c>
      <c r="L2">
        <v>349990052471807.25</v>
      </c>
      <c r="M2">
        <v>1973</v>
      </c>
      <c r="N2">
        <v>4.0235581815203111E-4</v>
      </c>
      <c r="O2">
        <f t="array" ref="O2:P6">LOGEST(N2:N5,M2:M5,TRUE, TRUE)</f>
        <v>1.1078748829588114</v>
      </c>
      <c r="P2">
        <v>6.8004089441714708E-92</v>
      </c>
      <c r="Q2">
        <v>1973</v>
      </c>
      <c r="R2">
        <v>4.0235581815203111E-4</v>
      </c>
      <c r="S2">
        <f t="array" ref="S2:T6">LOGEST(R2:R5,Q2:Q5,TRUE, TRUE)</f>
        <v>1.1329954539934832</v>
      </c>
      <c r="T2">
        <v>5.2700402187328933E-111</v>
      </c>
      <c r="U2">
        <v>1973</v>
      </c>
      <c r="V2">
        <v>4.0235581815203111E-4</v>
      </c>
      <c r="W2">
        <f t="array" ref="W2:X6">LOGEST(V2:V5,U2:U5,TRUE, TRUE)</f>
        <v>1.121387728782135</v>
      </c>
      <c r="X2">
        <v>3.1570632799649948E-102</v>
      </c>
      <c r="Y2">
        <v>1973</v>
      </c>
      <c r="Z2">
        <v>4.0235581815203111E-4</v>
      </c>
      <c r="AA2">
        <f t="array" ref="AA2:AB6">LOGEST(Z2:Z5,Y2:Y5,TRUE, TRUE)</f>
        <v>1.1668786662594013</v>
      </c>
      <c r="AB2">
        <v>2.3062402017348919E-136</v>
      </c>
    </row>
    <row r="3" spans="1:28" x14ac:dyDescent="0.25">
      <c r="B3">
        <v>0.10244366043165931</v>
      </c>
      <c r="C3" s="9">
        <v>0.77065299888204331</v>
      </c>
      <c r="D3">
        <v>6.7204105144211983</v>
      </c>
      <c r="E3">
        <v>1982</v>
      </c>
      <c r="F3">
        <v>3.7230845768356806E-3</v>
      </c>
      <c r="G3">
        <v>7.5782449224335718E-2</v>
      </c>
      <c r="H3">
        <v>150.12538385571881</v>
      </c>
      <c r="I3">
        <v>1982</v>
      </c>
      <c r="J3">
        <v>7.3107842599682454E-4</v>
      </c>
      <c r="K3">
        <v>0.2352101989314859</v>
      </c>
      <c r="L3">
        <v>466.42200240107155</v>
      </c>
      <c r="M3">
        <v>1982</v>
      </c>
      <c r="N3">
        <v>7.3107842599682454E-4</v>
      </c>
      <c r="O3">
        <v>3.9517292960696379E-2</v>
      </c>
      <c r="P3">
        <v>78.274104347004226</v>
      </c>
      <c r="Q3">
        <v>1982</v>
      </c>
      <c r="R3">
        <v>3.7230845768356806E-3</v>
      </c>
      <c r="S3">
        <v>7.8092221569782738E-2</v>
      </c>
      <c r="T3">
        <v>154.68161510764654</v>
      </c>
      <c r="U3">
        <v>1982</v>
      </c>
      <c r="V3">
        <v>3.7230845768356806E-3</v>
      </c>
      <c r="W3">
        <v>9.2784697939253827E-2</v>
      </c>
      <c r="X3">
        <v>183.78382182012803</v>
      </c>
      <c r="Y3">
        <v>1982</v>
      </c>
      <c r="Z3">
        <v>3.7230845768356806E-3</v>
      </c>
      <c r="AA3">
        <v>0.10453786619177152</v>
      </c>
      <c r="AB3">
        <v>206.9592415698751</v>
      </c>
    </row>
    <row r="4" spans="1:28" ht="16.5" thickBot="1" x14ac:dyDescent="0.3">
      <c r="B4">
        <v>0.12486496967549246</v>
      </c>
      <c r="C4" s="9">
        <v>0.56107788088712618</v>
      </c>
      <c r="D4">
        <v>2.5566170236357522</v>
      </c>
      <c r="E4">
        <v>1982</v>
      </c>
      <c r="F4">
        <v>7.3107842599682454E-4</v>
      </c>
      <c r="G4">
        <v>0.44023213473284167</v>
      </c>
      <c r="H4">
        <v>0.72687971780782945</v>
      </c>
      <c r="I4">
        <v>1982</v>
      </c>
      <c r="J4">
        <v>1.5440376357052936E-3</v>
      </c>
      <c r="K4">
        <v>3.6525914907535942E-3</v>
      </c>
      <c r="L4">
        <v>0.81479203001543288</v>
      </c>
      <c r="M4">
        <v>1982</v>
      </c>
      <c r="N4">
        <v>1.5440376357052936E-3</v>
      </c>
      <c r="O4">
        <v>0.77065299888204331</v>
      </c>
      <c r="P4">
        <v>0.37645277552030548</v>
      </c>
      <c r="Q4">
        <v>1982</v>
      </c>
      <c r="R4">
        <v>1.5440376357052936E-3</v>
      </c>
      <c r="S4">
        <v>0.56107788088712618</v>
      </c>
      <c r="T4">
        <v>0.74392832489134442</v>
      </c>
      <c r="U4">
        <v>1982</v>
      </c>
      <c r="V4">
        <v>7.3107842599682454E-4</v>
      </c>
      <c r="W4">
        <v>0.43256546588196859</v>
      </c>
      <c r="X4">
        <v>0.88389296047645438</v>
      </c>
      <c r="Y4">
        <v>1982</v>
      </c>
      <c r="Z4">
        <v>7.3107842599682454E-4</v>
      </c>
      <c r="AA4">
        <v>0.521479581181856</v>
      </c>
      <c r="AB4">
        <v>0.81479203001543299</v>
      </c>
    </row>
    <row r="5" spans="1:28" ht="17.25" thickTop="1" thickBot="1" x14ac:dyDescent="0.3">
      <c r="B5">
        <v>0.11456696188149786</v>
      </c>
      <c r="C5" s="9">
        <v>0.43256546588196859</v>
      </c>
      <c r="D5">
        <v>1.5246356711591724</v>
      </c>
      <c r="E5">
        <v>1982</v>
      </c>
      <c r="F5">
        <v>1.5440376357052936E-3</v>
      </c>
      <c r="G5">
        <v>2.359364454706955</v>
      </c>
      <c r="H5">
        <v>3</v>
      </c>
      <c r="I5">
        <v>1986</v>
      </c>
      <c r="J5">
        <v>1.4888613980219012E-3</v>
      </c>
      <c r="K5" s="5">
        <v>7.3319636495440283E-3</v>
      </c>
      <c r="L5">
        <v>2</v>
      </c>
      <c r="M5">
        <v>1986</v>
      </c>
      <c r="N5">
        <v>1.4888613980219012E-3</v>
      </c>
      <c r="O5" s="5">
        <v>6.7204105144211983</v>
      </c>
      <c r="P5">
        <v>2</v>
      </c>
      <c r="Q5">
        <v>1986</v>
      </c>
      <c r="R5">
        <v>1.4888613980219012E-3</v>
      </c>
      <c r="S5" s="5">
        <v>2.5566170236357522</v>
      </c>
      <c r="T5">
        <v>2</v>
      </c>
      <c r="U5">
        <v>1986</v>
      </c>
      <c r="V5">
        <v>1.4888613980219012E-3</v>
      </c>
      <c r="W5" s="5">
        <v>1.5246356711591724</v>
      </c>
      <c r="X5">
        <v>2</v>
      </c>
      <c r="Y5">
        <v>1982</v>
      </c>
      <c r="Z5">
        <v>1.5440376357052936E-3</v>
      </c>
      <c r="AA5" s="5">
        <v>2.1795499655785355</v>
      </c>
      <c r="AB5">
        <v>2</v>
      </c>
    </row>
    <row r="6" spans="1:28" ht="16.5" thickTop="1" x14ac:dyDescent="0.25">
      <c r="B6">
        <v>0.1543323772559104</v>
      </c>
      <c r="C6" s="9">
        <v>0.521479581181856</v>
      </c>
      <c r="D6">
        <v>2.1795499655785355</v>
      </c>
      <c r="E6">
        <v>1986</v>
      </c>
      <c r="F6">
        <v>1.4888613980219012E-3</v>
      </c>
      <c r="G6">
        <v>1.2465799400418489</v>
      </c>
      <c r="H6">
        <v>1.5850623724811697</v>
      </c>
      <c r="K6">
        <v>4.8675884019986349E-3</v>
      </c>
      <c r="L6">
        <v>1.3277721043533401</v>
      </c>
      <c r="O6">
        <v>0.95239434830931824</v>
      </c>
      <c r="P6">
        <v>0.28343338439388299</v>
      </c>
      <c r="S6">
        <v>1.4149069041745985</v>
      </c>
      <c r="T6">
        <v>1.1068587051512835</v>
      </c>
      <c r="W6">
        <v>1.1911471794941613</v>
      </c>
      <c r="X6">
        <v>1.5625335311596618</v>
      </c>
      <c r="AA6">
        <v>1.4469728221697316</v>
      </c>
      <c r="AB6">
        <v>1.3277721043533406</v>
      </c>
    </row>
    <row r="7" spans="1:28" x14ac:dyDescent="0.25">
      <c r="A7" t="s">
        <v>40</v>
      </c>
      <c r="B7" s="6">
        <f>AVERAGE(B2:B6)</f>
        <v>9.5213530458977874E-2</v>
      </c>
      <c r="C7" s="6">
        <f>AVERAGE(C2:C6)</f>
        <v>0.45788570366474951</v>
      </c>
      <c r="D7" s="6">
        <f>AVERAGE(D2:D6)</f>
        <v>2.5977090276888406</v>
      </c>
      <c r="E7" s="6">
        <f>AVERAGE(E2:E6)</f>
        <v>1981</v>
      </c>
      <c r="F7" s="6">
        <f>AVERAGE(F2:F6)</f>
        <v>1.5778835709423463E-3</v>
      </c>
      <c r="G7" t="s">
        <v>21</v>
      </c>
      <c r="H7">
        <f>TINV(0.0455,H5)</f>
        <v>3.3068299207201113</v>
      </c>
      <c r="K7" t="s">
        <v>21</v>
      </c>
      <c r="L7">
        <f>TINV(0.0455,L5)</f>
        <v>4.5265507600819905</v>
      </c>
      <c r="O7" t="s">
        <v>21</v>
      </c>
      <c r="P7">
        <f>TINV(0.0455,P5)</f>
        <v>4.5265507600819905</v>
      </c>
      <c r="S7" t="s">
        <v>21</v>
      </c>
      <c r="T7">
        <f>TINV(0.0455,T5)</f>
        <v>4.5265507600819905</v>
      </c>
      <c r="W7" t="s">
        <v>21</v>
      </c>
      <c r="X7">
        <f>TINV(0.0455,X5)</f>
        <v>4.5265507600819905</v>
      </c>
    </row>
    <row r="8" spans="1:28" x14ac:dyDescent="0.25">
      <c r="A8" t="s">
        <v>41</v>
      </c>
      <c r="B8" s="6">
        <f>STDEV(B2:B6)</f>
        <v>6.7282215505725718E-2</v>
      </c>
      <c r="C8" s="6">
        <f>STDEV(C2:C6)</f>
        <v>0.28261503069181748</v>
      </c>
      <c r="D8" s="6">
        <f>STDEV(D2:D6)</f>
        <v>2.5017370397946483</v>
      </c>
      <c r="E8" s="6">
        <f>STDEV(E2:E6)</f>
        <v>4.7958315233127191</v>
      </c>
      <c r="F8" s="6">
        <f>STDEV(F2:F6)</f>
        <v>1.2951739556306494E-3</v>
      </c>
      <c r="G8" t="s">
        <v>22</v>
      </c>
      <c r="H8">
        <f>H7*G3</f>
        <v>0.25059967056048593</v>
      </c>
      <c r="K8" t="s">
        <v>22</v>
      </c>
      <c r="L8">
        <f>L7*K3</f>
        <v>1.0646909047523536</v>
      </c>
      <c r="O8" t="s">
        <v>22</v>
      </c>
      <c r="P8">
        <f>P7*O3</f>
        <v>0.17887703248762288</v>
      </c>
      <c r="S8" t="s">
        <v>22</v>
      </c>
      <c r="T8">
        <f>T7*S3</f>
        <v>0.35348840490319128</v>
      </c>
      <c r="W8" t="s">
        <v>22</v>
      </c>
      <c r="X8">
        <f>X7*W3</f>
        <v>0.41999464498090733</v>
      </c>
    </row>
    <row r="9" spans="1:28" x14ac:dyDescent="0.25">
      <c r="A9" t="s">
        <v>42</v>
      </c>
      <c r="B9" s="6">
        <f>MIN(B2:B6)</f>
        <v>-2.0140316949670726E-2</v>
      </c>
      <c r="C9" s="6">
        <f>MIN(C2:C6)</f>
        <v>3.6525914907535942E-3</v>
      </c>
      <c r="D9" s="6">
        <f>MIN(D2:D6)</f>
        <v>7.3319636495440283E-3</v>
      </c>
      <c r="E9" s="6">
        <f>MIN(E2:E6)</f>
        <v>1973</v>
      </c>
      <c r="F9" s="6">
        <f>MIN(F2:F6)</f>
        <v>4.0235581815203111E-4</v>
      </c>
      <c r="G9" t="s">
        <v>23</v>
      </c>
      <c r="H9">
        <f>G2+H8</f>
        <v>1.3740487974372546</v>
      </c>
      <c r="K9" t="s">
        <v>23</v>
      </c>
      <c r="L9">
        <f>K2+L8</f>
        <v>2.0447520492202385</v>
      </c>
      <c r="O9" t="s">
        <v>23</v>
      </c>
      <c r="P9">
        <f>O2+P8</f>
        <v>1.2867519154464344</v>
      </c>
      <c r="S9" t="s">
        <v>23</v>
      </c>
      <c r="T9">
        <f>S2+T8</f>
        <v>1.4864838588966744</v>
      </c>
      <c r="W9" t="s">
        <v>23</v>
      </c>
      <c r="X9">
        <f>W2+X8</f>
        <v>1.5413823737630423</v>
      </c>
    </row>
    <row r="10" spans="1:28" x14ac:dyDescent="0.25">
      <c r="A10" t="s">
        <v>43</v>
      </c>
      <c r="B10" s="6">
        <f>MAX(B2:B6)</f>
        <v>0.1543323772559104</v>
      </c>
      <c r="C10" s="6">
        <f>MAX(C2:C6)</f>
        <v>0.77065299888204331</v>
      </c>
      <c r="D10" s="6">
        <f>MAX(D2:D6)</f>
        <v>6.7204105144211983</v>
      </c>
      <c r="E10" s="6">
        <f>MAX(E2:E6)</f>
        <v>1986</v>
      </c>
      <c r="F10" s="6">
        <f>MAX(F2:F6)</f>
        <v>3.7230845768356806E-3</v>
      </c>
      <c r="G10" t="s">
        <v>24</v>
      </c>
      <c r="H10">
        <f>G2-H8</f>
        <v>0.87284945631628263</v>
      </c>
      <c r="K10" t="s">
        <v>24</v>
      </c>
      <c r="L10">
        <f>K2-L8</f>
        <v>-8.462976028446878E-2</v>
      </c>
      <c r="O10" t="s">
        <v>24</v>
      </c>
      <c r="P10">
        <f>O2-P8</f>
        <v>0.92899785047118855</v>
      </c>
      <c r="S10" t="s">
        <v>24</v>
      </c>
      <c r="T10">
        <f>S2-T8</f>
        <v>0.779507049090292</v>
      </c>
      <c r="W10" t="s">
        <v>24</v>
      </c>
      <c r="X10">
        <f>W2-X8</f>
        <v>0.70139308380122767</v>
      </c>
    </row>
    <row r="11" spans="1:28" x14ac:dyDescent="0.25">
      <c r="A11" t="s">
        <v>44</v>
      </c>
      <c r="B11" s="6">
        <f>ABS(B10-B9)</f>
        <v>0.17447269420558112</v>
      </c>
      <c r="C11" s="6">
        <f>ABS(C10-C9)</f>
        <v>0.76700040739128972</v>
      </c>
      <c r="D11" s="6">
        <f>ABS(D10-D9)</f>
        <v>6.7130785507716544</v>
      </c>
      <c r="E11" s="6">
        <f>ABS(E10-E9)</f>
        <v>13</v>
      </c>
      <c r="F11" s="6">
        <f>ABS(F10-F9)</f>
        <v>3.3207287586836495E-3</v>
      </c>
      <c r="G11" t="s">
        <v>25</v>
      </c>
      <c r="H11" s="10">
        <f>LN(G2)</f>
        <v>0.11640353068947971</v>
      </c>
      <c r="K11" t="s">
        <v>25</v>
      </c>
      <c r="L11" s="10">
        <f>LN(K2)</f>
        <v>-2.0140316949670726E-2</v>
      </c>
      <c r="O11" t="s">
        <v>25</v>
      </c>
      <c r="P11" s="10">
        <f>LN(O2)</f>
        <v>0.10244366043165931</v>
      </c>
      <c r="S11" t="s">
        <v>25</v>
      </c>
      <c r="T11" s="10">
        <f>LN(S2)</f>
        <v>0.12486496967549246</v>
      </c>
      <c r="W11" t="s">
        <v>25</v>
      </c>
      <c r="X11" s="10">
        <f>LN(W2)</f>
        <v>0.11456696188149786</v>
      </c>
    </row>
    <row r="12" spans="1:28" x14ac:dyDescent="0.25">
      <c r="A12" t="s">
        <v>45</v>
      </c>
      <c r="B12" s="6">
        <f>COUNT(B2:B6)</f>
        <v>5</v>
      </c>
      <c r="G12" t="s">
        <v>26</v>
      </c>
      <c r="H12" s="10">
        <f>LN(H9)</f>
        <v>0.31776170804379494</v>
      </c>
      <c r="K12" t="s">
        <v>26</v>
      </c>
      <c r="L12" s="10">
        <f>LN(L9)</f>
        <v>0.71527653481864717</v>
      </c>
      <c r="O12" t="s">
        <v>26</v>
      </c>
      <c r="P12" s="10">
        <f>LN(P9)</f>
        <v>0.25212114814214615</v>
      </c>
      <c r="S12" t="s">
        <v>26</v>
      </c>
      <c r="T12" s="10">
        <f>LN(T9)</f>
        <v>0.3964135049353561</v>
      </c>
      <c r="W12" t="s">
        <v>26</v>
      </c>
      <c r="X12" s="10">
        <f>LN(X9)</f>
        <v>0.43267965908360717</v>
      </c>
    </row>
    <row r="13" spans="1:28" x14ac:dyDescent="0.25">
      <c r="G13" t="s">
        <v>27</v>
      </c>
      <c r="H13" s="10">
        <f>LN(H10)</f>
        <v>-0.1359921820948756</v>
      </c>
      <c r="K13" t="s">
        <v>27</v>
      </c>
      <c r="L13" s="10" t="e">
        <f>LN(L10)</f>
        <v>#NUM!</v>
      </c>
      <c r="O13" t="s">
        <v>27</v>
      </c>
      <c r="P13" s="10">
        <f>LN(P10)</f>
        <v>-7.3648853980244997E-2</v>
      </c>
      <c r="S13" t="s">
        <v>27</v>
      </c>
      <c r="T13" s="10">
        <f>LN(T10)</f>
        <v>-0.24909354743309428</v>
      </c>
      <c r="W13" t="s">
        <v>27</v>
      </c>
      <c r="X13" s="10">
        <f>LN(X10)</f>
        <v>-0.35468680188750978</v>
      </c>
    </row>
    <row r="14" spans="1:28" x14ac:dyDescent="0.25">
      <c r="G14" t="s">
        <v>28</v>
      </c>
      <c r="H14" s="10">
        <f>H12-H11</f>
        <v>0.20135817735431522</v>
      </c>
      <c r="K14" t="s">
        <v>28</v>
      </c>
      <c r="L14" s="10">
        <f>L12-L11</f>
        <v>0.73541685176831795</v>
      </c>
      <c r="O14" t="s">
        <v>28</v>
      </c>
      <c r="P14" s="10">
        <f>P12-P11</f>
        <v>0.14967748771048683</v>
      </c>
      <c r="S14" t="s">
        <v>28</v>
      </c>
      <c r="T14" s="10">
        <f>T12-T11</f>
        <v>0.27154853525986367</v>
      </c>
      <c r="W14" t="s">
        <v>28</v>
      </c>
      <c r="X14" s="10">
        <f>X12-X11</f>
        <v>0.31811269720210933</v>
      </c>
    </row>
    <row r="15" spans="1:28" x14ac:dyDescent="0.25">
      <c r="G15" t="s">
        <v>29</v>
      </c>
      <c r="H15" s="10">
        <f>H11-H13</f>
        <v>0.2523957127843553</v>
      </c>
      <c r="K15" t="s">
        <v>29</v>
      </c>
      <c r="L15" s="10" t="e">
        <f>L11-L13</f>
        <v>#NUM!</v>
      </c>
      <c r="O15" t="s">
        <v>29</v>
      </c>
      <c r="P15" s="10">
        <f>P11-P13</f>
        <v>0.17609251441190432</v>
      </c>
      <c r="S15" t="s">
        <v>29</v>
      </c>
      <c r="T15" s="10">
        <f>T11-T13</f>
        <v>0.37395851710858674</v>
      </c>
      <c r="W15" t="s">
        <v>29</v>
      </c>
      <c r="X15" s="10">
        <f>X11-X13</f>
        <v>0.46925376376900763</v>
      </c>
    </row>
    <row r="16" spans="1:28" x14ac:dyDescent="0.25">
      <c r="G16" t="s">
        <v>30</v>
      </c>
      <c r="H16" s="11">
        <f>AVERAGE(H14:H15)</f>
        <v>0.22687694506933526</v>
      </c>
      <c r="K16" t="s">
        <v>30</v>
      </c>
      <c r="L16" s="11" t="e">
        <f>AVERAGE(L14:L15)</f>
        <v>#NUM!</v>
      </c>
      <c r="O16" t="s">
        <v>30</v>
      </c>
      <c r="P16" s="11">
        <f>AVERAGE(P14:P15)</f>
        <v>0.16288500106119558</v>
      </c>
      <c r="S16" t="s">
        <v>30</v>
      </c>
      <c r="T16" s="11">
        <f>AVERAGE(T14:T15)</f>
        <v>0.3227535261842252</v>
      </c>
      <c r="W16" t="s">
        <v>30</v>
      </c>
      <c r="X16" s="11">
        <f>AVERAGE(X14:X15)</f>
        <v>0.39368323048555848</v>
      </c>
    </row>
    <row r="17" spans="7:24" x14ac:dyDescent="0.25">
      <c r="G17" t="s">
        <v>31</v>
      </c>
      <c r="H17">
        <f>TINV(0.3173,H5)</f>
        <v>1.1969125599716923</v>
      </c>
      <c r="K17" t="s">
        <v>31</v>
      </c>
      <c r="L17">
        <f>TINV(0.3173,L5)</f>
        <v>1.3213154624456929</v>
      </c>
      <c r="O17" t="s">
        <v>31</v>
      </c>
      <c r="P17">
        <f>TINV(0.3173,P5)</f>
        <v>1.3213154624456929</v>
      </c>
      <c r="S17" t="s">
        <v>31</v>
      </c>
      <c r="T17">
        <f>TINV(0.3173,T5)</f>
        <v>1.3213154624456929</v>
      </c>
      <c r="W17" t="s">
        <v>31</v>
      </c>
      <c r="X17">
        <f>TINV(0.3173,X5)</f>
        <v>1.3213154624456929</v>
      </c>
    </row>
    <row r="18" spans="7:24" x14ac:dyDescent="0.25">
      <c r="G18" t="s">
        <v>32</v>
      </c>
      <c r="H18">
        <f>H17*G3</f>
        <v>9.070496530202446E-2</v>
      </c>
      <c r="K18" t="s">
        <v>32</v>
      </c>
      <c r="L18">
        <f>L17*K3</f>
        <v>0.31078687277309969</v>
      </c>
      <c r="O18" t="s">
        <v>32</v>
      </c>
      <c r="P18">
        <f>P17*O3</f>
        <v>5.221481022296446E-2</v>
      </c>
      <c r="S18" t="s">
        <v>32</v>
      </c>
      <c r="T18">
        <f>T17*S3</f>
        <v>0.103184459856889</v>
      </c>
      <c r="W18" t="s">
        <v>32</v>
      </c>
      <c r="X18">
        <f>X17*W3</f>
        <v>0.12259785606548909</v>
      </c>
    </row>
    <row r="19" spans="7:24" x14ac:dyDescent="0.25">
      <c r="G19" t="s">
        <v>33</v>
      </c>
      <c r="H19">
        <f>G2+H18</f>
        <v>1.214154092178793</v>
      </c>
      <c r="K19" t="s">
        <v>33</v>
      </c>
      <c r="L19">
        <f>K2+L18</f>
        <v>1.2908480172409846</v>
      </c>
      <c r="O19" t="s">
        <v>33</v>
      </c>
      <c r="P19">
        <f>O2+P18</f>
        <v>1.1600896931817759</v>
      </c>
      <c r="S19" t="s">
        <v>33</v>
      </c>
      <c r="T19">
        <f>S2+T18</f>
        <v>1.2361799138503722</v>
      </c>
      <c r="W19" t="s">
        <v>33</v>
      </c>
      <c r="X19">
        <f>W2+X18</f>
        <v>1.243985584847624</v>
      </c>
    </row>
    <row r="20" spans="7:24" x14ac:dyDescent="0.25">
      <c r="G20" t="s">
        <v>34</v>
      </c>
      <c r="H20">
        <f>G2-H18</f>
        <v>1.0327441615747441</v>
      </c>
      <c r="K20" t="s">
        <v>34</v>
      </c>
      <c r="L20">
        <f>K2-L18</f>
        <v>0.66927427169478515</v>
      </c>
      <c r="O20" t="s">
        <v>34</v>
      </c>
      <c r="P20">
        <f>O2-P18</f>
        <v>1.0556600727358469</v>
      </c>
      <c r="S20" t="s">
        <v>34</v>
      </c>
      <c r="T20">
        <f>S2-T18</f>
        <v>1.0298109941365943</v>
      </c>
      <c r="W20" t="s">
        <v>34</v>
      </c>
      <c r="X20">
        <f>W2-X18</f>
        <v>0.99878987271664588</v>
      </c>
    </row>
    <row r="21" spans="7:24" x14ac:dyDescent="0.25">
      <c r="G21" t="s">
        <v>25</v>
      </c>
      <c r="H21" s="10">
        <f>LN(G2)</f>
        <v>0.11640353068947971</v>
      </c>
      <c r="K21" t="s">
        <v>25</v>
      </c>
      <c r="L21" s="10">
        <f>LN(K2)</f>
        <v>-2.0140316949670726E-2</v>
      </c>
      <c r="O21" t="s">
        <v>25</v>
      </c>
      <c r="P21" s="10">
        <f>LN(O2)</f>
        <v>0.10244366043165931</v>
      </c>
      <c r="S21" t="s">
        <v>25</v>
      </c>
      <c r="T21" s="10">
        <f>LN(S2)</f>
        <v>0.12486496967549246</v>
      </c>
      <c r="W21" t="s">
        <v>25</v>
      </c>
      <c r="X21" s="10">
        <f>LN(W2)</f>
        <v>0.11456696188149786</v>
      </c>
    </row>
    <row r="22" spans="7:24" x14ac:dyDescent="0.25">
      <c r="G22" t="s">
        <v>35</v>
      </c>
      <c r="H22" s="10">
        <f>LN(H19)</f>
        <v>0.19404761388954186</v>
      </c>
      <c r="K22" t="s">
        <v>35</v>
      </c>
      <c r="L22" s="10">
        <f>LN(L19)</f>
        <v>0.25529938010169367</v>
      </c>
      <c r="O22" t="s">
        <v>35</v>
      </c>
      <c r="P22" s="10">
        <f>LN(P19)</f>
        <v>0.14849732383753156</v>
      </c>
      <c r="S22" t="s">
        <v>35</v>
      </c>
      <c r="T22" s="10">
        <f>LN(T19)</f>
        <v>0.21202590981008612</v>
      </c>
      <c r="W22" t="s">
        <v>35</v>
      </c>
      <c r="X22" s="10">
        <f>LN(X19)</f>
        <v>0.21832040650678178</v>
      </c>
    </row>
    <row r="23" spans="7:24" x14ac:dyDescent="0.25">
      <c r="G23" t="s">
        <v>36</v>
      </c>
      <c r="H23" s="10">
        <f>LN(H20)</f>
        <v>3.2219493998431804E-2</v>
      </c>
      <c r="K23" t="s">
        <v>36</v>
      </c>
      <c r="L23" s="10">
        <f>LN(L20)</f>
        <v>-0.40156133023178359</v>
      </c>
      <c r="O23" t="s">
        <v>36</v>
      </c>
      <c r="P23" s="10">
        <f>LN(P20)</f>
        <v>5.4166232644553398E-2</v>
      </c>
      <c r="S23" t="s">
        <v>36</v>
      </c>
      <c r="T23" s="10">
        <f>LN(T20)</f>
        <v>2.9375284564947663E-2</v>
      </c>
      <c r="W23" t="s">
        <v>36</v>
      </c>
      <c r="X23" s="10">
        <f>LN(X20)</f>
        <v>-1.210860078618433E-3</v>
      </c>
    </row>
    <row r="24" spans="7:24" x14ac:dyDescent="0.25">
      <c r="G24" t="s">
        <v>37</v>
      </c>
      <c r="H24" s="10">
        <f>H22-H21</f>
        <v>7.764408320006215E-2</v>
      </c>
      <c r="K24" t="s">
        <v>37</v>
      </c>
      <c r="L24" s="10">
        <f>L22-L21</f>
        <v>0.2754396970513644</v>
      </c>
      <c r="O24" t="s">
        <v>37</v>
      </c>
      <c r="P24" s="10">
        <f>P22-P21</f>
        <v>4.6053663405872247E-2</v>
      </c>
      <c r="S24" t="s">
        <v>37</v>
      </c>
      <c r="T24" s="10">
        <f>T22-T21</f>
        <v>8.7160940134593662E-2</v>
      </c>
      <c r="W24" t="s">
        <v>37</v>
      </c>
      <c r="X24" s="10">
        <f>X22-X21</f>
        <v>0.10375344462528392</v>
      </c>
    </row>
    <row r="25" spans="7:24" x14ac:dyDescent="0.25">
      <c r="G25" t="s">
        <v>38</v>
      </c>
      <c r="H25" s="10">
        <f>H21-H23</f>
        <v>8.4184036691047903E-2</v>
      </c>
      <c r="K25" t="s">
        <v>38</v>
      </c>
      <c r="L25" s="10">
        <f>L21-L23</f>
        <v>0.38142101328211286</v>
      </c>
      <c r="O25" t="s">
        <v>38</v>
      </c>
      <c r="P25" s="10">
        <f>P21-P23</f>
        <v>4.8277427787105913E-2</v>
      </c>
      <c r="S25" t="s">
        <v>38</v>
      </c>
      <c r="T25" s="10">
        <f>T21-T23</f>
        <v>9.54896851105448E-2</v>
      </c>
      <c r="W25" t="s">
        <v>38</v>
      </c>
      <c r="X25" s="10">
        <f>X21-X23</f>
        <v>0.1157778219601163</v>
      </c>
    </row>
    <row r="26" spans="7:24" x14ac:dyDescent="0.25">
      <c r="G26" t="s">
        <v>39</v>
      </c>
      <c r="H26" s="11">
        <f>AVERAGE(H24:H25)</f>
        <v>8.0914059945555034E-2</v>
      </c>
      <c r="K26" t="s">
        <v>39</v>
      </c>
      <c r="L26" s="11">
        <f>AVERAGE(L24:L25)</f>
        <v>0.32843035516673863</v>
      </c>
      <c r="O26" t="s">
        <v>39</v>
      </c>
      <c r="P26" s="11">
        <f>AVERAGE(P24:P25)</f>
        <v>4.7165545596489084E-2</v>
      </c>
      <c r="S26" t="s">
        <v>39</v>
      </c>
      <c r="T26" s="11">
        <f>AVERAGE(T24:T25)</f>
        <v>9.1325312622569238E-2</v>
      </c>
      <c r="W26" t="s">
        <v>39</v>
      </c>
      <c r="X26" s="11">
        <f>AVERAGE(X24:X25)</f>
        <v>0.10976563329270012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" defaultRowHeight="15.75" x14ac:dyDescent="0.25"/>
  <sheetData>
    <row r="1" spans="1:32" ht="17.25" thickTop="1" thickBot="1" x14ac:dyDescent="0.3">
      <c r="B1" s="6" t="s">
        <v>18</v>
      </c>
      <c r="C1" s="6" t="s">
        <v>19</v>
      </c>
      <c r="D1" s="6" t="s">
        <v>20</v>
      </c>
      <c r="E1" s="6" t="s">
        <v>1</v>
      </c>
      <c r="F1" s="6" t="s">
        <v>15</v>
      </c>
      <c r="G1" s="7">
        <f>LN(G2)</f>
        <v>5.2948899088912538E-2</v>
      </c>
      <c r="H1" s="8">
        <f>G4</f>
        <v>0.20973509814121505</v>
      </c>
      <c r="I1" t="s">
        <v>1</v>
      </c>
      <c r="J1" t="s">
        <v>15</v>
      </c>
      <c r="K1" s="7">
        <f>LN(K2)</f>
        <v>0.11640353068947971</v>
      </c>
      <c r="L1" s="8">
        <f>K4</f>
        <v>0.44023213473284167</v>
      </c>
      <c r="M1" t="s">
        <v>1</v>
      </c>
      <c r="N1" t="s">
        <v>15</v>
      </c>
      <c r="O1" s="7">
        <f>LN(O2)</f>
        <v>2.0157046265066647E-2</v>
      </c>
      <c r="P1" s="8">
        <f>O4</f>
        <v>4.8389805003761388E-2</v>
      </c>
      <c r="Q1" t="s">
        <v>1</v>
      </c>
      <c r="R1" t="s">
        <v>15</v>
      </c>
      <c r="S1" s="7">
        <f>LN(S2)</f>
        <v>3.5420475640051532E-2</v>
      </c>
      <c r="T1" s="8">
        <f>S4</f>
        <v>0.19744535884569311</v>
      </c>
      <c r="U1" t="s">
        <v>1</v>
      </c>
      <c r="V1" t="s">
        <v>15</v>
      </c>
      <c r="W1" s="7">
        <f>LN(W2)</f>
        <v>6.4545890073293505E-2</v>
      </c>
      <c r="X1" s="8">
        <f>W4</f>
        <v>0.3291620833637916</v>
      </c>
      <c r="Y1" t="s">
        <v>1</v>
      </c>
      <c r="Z1" t="s">
        <v>15</v>
      </c>
      <c r="AA1" s="7">
        <f>LN(AA2)</f>
        <v>5.1168716529364666E-2</v>
      </c>
      <c r="AB1" s="8">
        <f>AA4</f>
        <v>0.19129721257255675</v>
      </c>
      <c r="AC1" t="s">
        <v>1</v>
      </c>
      <c r="AD1" t="s">
        <v>15</v>
      </c>
      <c r="AE1" s="7">
        <f>LN(AE2)</f>
        <v>6.1101742380344833E-2</v>
      </c>
      <c r="AF1" s="8">
        <f>AE4</f>
        <v>0.20613062153401832</v>
      </c>
    </row>
    <row r="2" spans="1:32" ht="16.5" thickTop="1" x14ac:dyDescent="0.25">
      <c r="B2">
        <v>0.11640353068947971</v>
      </c>
      <c r="C2" s="9">
        <v>0.44023213473284167</v>
      </c>
      <c r="D2">
        <v>2.359364454706955</v>
      </c>
      <c r="E2">
        <v>1969</v>
      </c>
      <c r="F2">
        <v>1.1423165046566092E-3</v>
      </c>
      <c r="G2">
        <f t="array" ref="G2:H6">LOGEST(F2:F7,E2:E7,TRUE, TRUE)</f>
        <v>1.0543757641805069</v>
      </c>
      <c r="H2">
        <v>3.7028570042314048E-49</v>
      </c>
      <c r="I2">
        <v>1973</v>
      </c>
      <c r="J2">
        <v>4.0235581815203111E-4</v>
      </c>
      <c r="K2">
        <f t="array" ref="K2:L6">LOGEST(J2:J6,I2:I6,TRUE, TRUE)</f>
        <v>1.1234491268767686</v>
      </c>
      <c r="L2">
        <v>8.5879709480151183E-104</v>
      </c>
      <c r="M2">
        <v>1969</v>
      </c>
      <c r="N2">
        <v>1.1423165046566092E-3</v>
      </c>
      <c r="O2">
        <f t="array" ref="O2:P6">LOGEST(N2:N6,M2:M6,TRUE, TRUE)</f>
        <v>1.0203615714183645</v>
      </c>
      <c r="P2">
        <v>6.8545070354316369E-21</v>
      </c>
      <c r="Q2">
        <v>1969</v>
      </c>
      <c r="R2">
        <v>1.1423165046566092E-3</v>
      </c>
      <c r="S2">
        <f t="array" ref="S2:T6">LOGEST(R2:R6,Q2:Q6,TRUE, TRUE)</f>
        <v>1.0360552532210234</v>
      </c>
      <c r="T2">
        <v>3.4995431072938372E-34</v>
      </c>
      <c r="U2">
        <v>1969</v>
      </c>
      <c r="V2">
        <v>1.1423165046566092E-3</v>
      </c>
      <c r="W2">
        <f t="array" ref="W2:X6">LOGEST(V2:V6,U2:U6,TRUE, TRUE)</f>
        <v>1.0666745268937312</v>
      </c>
      <c r="X2">
        <v>4.5772447747803144E-59</v>
      </c>
      <c r="Y2">
        <v>1969</v>
      </c>
      <c r="Z2">
        <v>1.1423165046566092E-3</v>
      </c>
      <c r="AA2">
        <f t="array" ref="AA2:AB6">LOGEST(Z2:Z6,Y2:Y6,TRUE, TRUE)</f>
        <v>1.0525004525276982</v>
      </c>
      <c r="AB2">
        <v>1.2286907723337684E-47</v>
      </c>
      <c r="AC2">
        <v>1969</v>
      </c>
      <c r="AD2">
        <v>1.1423165046566092E-3</v>
      </c>
      <c r="AE2">
        <f t="array" ref="AE2:AF6">LOGEST(AD2:AD6,AC2:AC6,TRUE, TRUE)</f>
        <v>1.0630070615542826</v>
      </c>
      <c r="AF2">
        <v>3.7957268061981565E-56</v>
      </c>
    </row>
    <row r="3" spans="1:32" x14ac:dyDescent="0.25">
      <c r="B3">
        <v>2.0157046265066647E-2</v>
      </c>
      <c r="C3" s="9">
        <v>4.8389805003761388E-2</v>
      </c>
      <c r="D3">
        <v>0.15255134484121197</v>
      </c>
      <c r="E3">
        <v>1973</v>
      </c>
      <c r="F3">
        <v>4.0235581815203111E-4</v>
      </c>
      <c r="G3">
        <v>5.1389894870056775E-2</v>
      </c>
      <c r="H3">
        <v>101.70106070787017</v>
      </c>
      <c r="I3">
        <v>1982</v>
      </c>
      <c r="J3">
        <v>3.7230845768356806E-3</v>
      </c>
      <c r="K3">
        <v>7.5782449224335718E-2</v>
      </c>
      <c r="L3">
        <v>150.12538385571881</v>
      </c>
      <c r="M3">
        <v>1982</v>
      </c>
      <c r="N3">
        <v>3.7230845768356806E-3</v>
      </c>
      <c r="O3">
        <v>5.160821905930088E-2</v>
      </c>
      <c r="P3">
        <v>102.19503530894333</v>
      </c>
      <c r="Q3">
        <v>1973</v>
      </c>
      <c r="R3">
        <v>4.0235581815203111E-4</v>
      </c>
      <c r="S3">
        <v>4.1229455745554054E-2</v>
      </c>
      <c r="T3">
        <v>81.568774542655945</v>
      </c>
      <c r="U3">
        <v>1973</v>
      </c>
      <c r="V3">
        <v>4.0235581815203111E-4</v>
      </c>
      <c r="W3">
        <v>5.320002865075682E-2</v>
      </c>
      <c r="X3">
        <v>105.25147771673804</v>
      </c>
      <c r="Y3">
        <v>1973</v>
      </c>
      <c r="Z3">
        <v>4.0235581815203111E-4</v>
      </c>
      <c r="AA3">
        <v>6.0741294798269327E-2</v>
      </c>
      <c r="AB3">
        <v>120.17119535620611</v>
      </c>
      <c r="AC3">
        <v>1973</v>
      </c>
      <c r="AD3">
        <v>4.0235581815203111E-4</v>
      </c>
      <c r="AE3">
        <v>6.923030361668521E-2</v>
      </c>
      <c r="AF3">
        <v>136.91038474211297</v>
      </c>
    </row>
    <row r="4" spans="1:32" ht="16.5" thickBot="1" x14ac:dyDescent="0.3">
      <c r="B4">
        <v>3.5420475640051532E-2</v>
      </c>
      <c r="C4" s="9">
        <v>0.19744535884569311</v>
      </c>
      <c r="D4">
        <v>0.73806323727083289</v>
      </c>
      <c r="E4">
        <v>1982</v>
      </c>
      <c r="F4">
        <v>3.7230845768356806E-3</v>
      </c>
      <c r="G4">
        <v>0.20973509814121505</v>
      </c>
      <c r="H4">
        <v>0.74824816370517311</v>
      </c>
      <c r="I4">
        <v>1982</v>
      </c>
      <c r="J4">
        <v>7.3107842599682454E-4</v>
      </c>
      <c r="K4">
        <v>0.44023213473284167</v>
      </c>
      <c r="L4">
        <v>0.72687971780782945</v>
      </c>
      <c r="M4">
        <v>1982</v>
      </c>
      <c r="N4">
        <v>7.3107842599682454E-4</v>
      </c>
      <c r="O4">
        <v>4.8389805003761388E-2</v>
      </c>
      <c r="P4">
        <v>0.67050974394933782</v>
      </c>
      <c r="Q4">
        <v>1982</v>
      </c>
      <c r="R4">
        <v>7.3107842599682454E-4</v>
      </c>
      <c r="S4">
        <v>0.19744535884569311</v>
      </c>
      <c r="T4">
        <v>0.58481915652636551</v>
      </c>
      <c r="U4">
        <v>1982</v>
      </c>
      <c r="V4">
        <v>3.7230845768356806E-3</v>
      </c>
      <c r="W4">
        <v>0.3291620833637916</v>
      </c>
      <c r="X4">
        <v>0.75461573091633805</v>
      </c>
      <c r="Y4">
        <v>1982</v>
      </c>
      <c r="Z4">
        <v>3.7230845768356806E-3</v>
      </c>
      <c r="AA4">
        <v>0.19129721257255675</v>
      </c>
      <c r="AB4">
        <v>0.86158480988616348</v>
      </c>
      <c r="AC4">
        <v>1982</v>
      </c>
      <c r="AD4">
        <v>3.7230845768356806E-3</v>
      </c>
      <c r="AE4">
        <v>0.20613062153401832</v>
      </c>
      <c r="AF4">
        <v>0.85689107396045927</v>
      </c>
    </row>
    <row r="5" spans="1:32" ht="17.25" thickTop="1" thickBot="1" x14ac:dyDescent="0.3">
      <c r="B5">
        <v>6.4545890073293505E-2</v>
      </c>
      <c r="C5" s="9">
        <v>0.3291620833637916</v>
      </c>
      <c r="D5">
        <v>1.4720191354760335</v>
      </c>
      <c r="E5">
        <v>1982</v>
      </c>
      <c r="F5">
        <v>7.3107842599682454E-4</v>
      </c>
      <c r="G5">
        <v>1.0615938916072136</v>
      </c>
      <c r="H5">
        <v>4</v>
      </c>
      <c r="I5">
        <v>1982</v>
      </c>
      <c r="J5">
        <v>1.5440376357052936E-3</v>
      </c>
      <c r="K5" s="5">
        <v>2.359364454706955</v>
      </c>
      <c r="L5">
        <v>3</v>
      </c>
      <c r="M5">
        <v>1982</v>
      </c>
      <c r="N5">
        <v>1.5440376357052936E-3</v>
      </c>
      <c r="O5" s="5">
        <v>0.15255134484121197</v>
      </c>
      <c r="P5">
        <v>3</v>
      </c>
      <c r="Q5">
        <v>1982</v>
      </c>
      <c r="R5">
        <v>1.5440376357052936E-3</v>
      </c>
      <c r="S5" s="5">
        <v>0.73806323727083289</v>
      </c>
      <c r="T5">
        <v>3</v>
      </c>
      <c r="U5">
        <v>1982</v>
      </c>
      <c r="V5">
        <v>1.5440376357052936E-3</v>
      </c>
      <c r="W5" s="5">
        <v>1.4720191354760335</v>
      </c>
      <c r="X5">
        <v>3</v>
      </c>
      <c r="Y5">
        <v>1982</v>
      </c>
      <c r="Z5">
        <v>7.3107842599682454E-4</v>
      </c>
      <c r="AA5" s="5">
        <v>0.70964468855520013</v>
      </c>
      <c r="AB5">
        <v>3</v>
      </c>
      <c r="AC5">
        <v>1982</v>
      </c>
      <c r="AD5">
        <v>7.3107842599682454E-4</v>
      </c>
      <c r="AE5" s="5">
        <v>0.77895921089309761</v>
      </c>
      <c r="AF5">
        <v>3</v>
      </c>
    </row>
    <row r="6" spans="1:32" ht="16.5" thickTop="1" x14ac:dyDescent="0.25">
      <c r="B6">
        <v>5.1168716529364666E-2</v>
      </c>
      <c r="C6" s="9">
        <v>0.19129721257255675</v>
      </c>
      <c r="D6">
        <v>0.70964468855520013</v>
      </c>
      <c r="E6">
        <v>1982</v>
      </c>
      <c r="F6">
        <v>1.5440376357052936E-3</v>
      </c>
      <c r="G6">
        <v>0.59436021392230209</v>
      </c>
      <c r="H6">
        <v>2.2395012579526541</v>
      </c>
      <c r="I6">
        <v>1986</v>
      </c>
      <c r="J6">
        <v>1.4888613980219012E-3</v>
      </c>
      <c r="K6">
        <v>1.2465799400418489</v>
      </c>
      <c r="L6">
        <v>1.5850623724811697</v>
      </c>
      <c r="M6">
        <v>1986</v>
      </c>
      <c r="N6">
        <v>1.4888613980219012E-3</v>
      </c>
      <c r="O6">
        <v>6.8584539585487603E-2</v>
      </c>
      <c r="P6">
        <v>1.3487499501930196</v>
      </c>
      <c r="Q6">
        <v>1986</v>
      </c>
      <c r="R6">
        <v>1.4888613980219012E-3</v>
      </c>
      <c r="S6">
        <v>0.25242755102697778</v>
      </c>
      <c r="T6">
        <v>1.0260403375206288</v>
      </c>
      <c r="U6">
        <v>1986</v>
      </c>
      <c r="V6">
        <v>1.4888613980219012E-3</v>
      </c>
      <c r="W6">
        <v>0.8382337913811615</v>
      </c>
      <c r="X6">
        <v>1.7083347040391972</v>
      </c>
      <c r="Y6">
        <v>1986</v>
      </c>
      <c r="Z6">
        <v>1.4888613980219012E-3</v>
      </c>
      <c r="AA6">
        <v>0.5267893953140117</v>
      </c>
      <c r="AB6">
        <v>2.2269851538797294</v>
      </c>
      <c r="AC6">
        <v>1982</v>
      </c>
      <c r="AD6">
        <v>1.5440376357052936E-3</v>
      </c>
      <c r="AE6">
        <v>0.57196039163722778</v>
      </c>
      <c r="AF6">
        <v>2.2027869378993281</v>
      </c>
    </row>
    <row r="7" spans="1:32" x14ac:dyDescent="0.25">
      <c r="B7">
        <v>6.1101742380344833E-2</v>
      </c>
      <c r="C7" s="9">
        <v>0.20613062153401832</v>
      </c>
      <c r="D7">
        <v>0.77895921089309761</v>
      </c>
      <c r="E7">
        <v>1986</v>
      </c>
      <c r="F7">
        <v>1.4888613980219012E-3</v>
      </c>
      <c r="G7" t="s">
        <v>21</v>
      </c>
      <c r="H7">
        <f>TINV(0.0455,H5)</f>
        <v>2.8693151696963848</v>
      </c>
      <c r="K7" t="s">
        <v>21</v>
      </c>
      <c r="L7">
        <f>TINV(0.0455,L5)</f>
        <v>3.3068299207201113</v>
      </c>
      <c r="O7" t="s">
        <v>21</v>
      </c>
      <c r="P7">
        <f>TINV(0.0455,P5)</f>
        <v>3.3068299207201113</v>
      </c>
      <c r="S7" t="s">
        <v>21</v>
      </c>
      <c r="T7">
        <f>TINV(0.0455,T5)</f>
        <v>3.3068299207201113</v>
      </c>
      <c r="W7" t="s">
        <v>21</v>
      </c>
      <c r="X7">
        <f>TINV(0.0455,X5)</f>
        <v>3.3068299207201113</v>
      </c>
      <c r="AA7" t="s">
        <v>21</v>
      </c>
      <c r="AB7">
        <f>TINV(0.0455,AB5)</f>
        <v>3.3068299207201113</v>
      </c>
    </row>
    <row r="8" spans="1:32" x14ac:dyDescent="0.25">
      <c r="A8" t="s">
        <v>40</v>
      </c>
      <c r="B8" s="6">
        <f>AVERAGE(B2:B7)</f>
        <v>5.8132900262933475E-2</v>
      </c>
      <c r="C8" s="6">
        <f>AVERAGE(C2:C7)</f>
        <v>0.23544286934211048</v>
      </c>
      <c r="D8" s="6">
        <f>AVERAGE(D2:D7)</f>
        <v>1.0351003452905552</v>
      </c>
      <c r="E8" s="6">
        <f>AVERAGE(E2:E7)</f>
        <v>1979</v>
      </c>
      <c r="F8" s="6">
        <f>AVERAGE(F2:F7)</f>
        <v>1.5052890598947234E-3</v>
      </c>
      <c r="G8" t="s">
        <v>22</v>
      </c>
      <c r="H8">
        <f>H7*G3</f>
        <v>0.14745380491975632</v>
      </c>
      <c r="K8" t="s">
        <v>22</v>
      </c>
      <c r="L8">
        <f>L7*K3</f>
        <v>0.25059967056048593</v>
      </c>
      <c r="O8" t="s">
        <v>22</v>
      </c>
      <c r="P8">
        <f>P7*O3</f>
        <v>0.17065960294037408</v>
      </c>
      <c r="S8" t="s">
        <v>22</v>
      </c>
      <c r="T8">
        <f>T7*S3</f>
        <v>0.13633879787440384</v>
      </c>
      <c r="W8" t="s">
        <v>22</v>
      </c>
      <c r="X8">
        <f>X7*W3</f>
        <v>0.17592344652548983</v>
      </c>
      <c r="AA8" t="s">
        <v>22</v>
      </c>
      <c r="AB8">
        <f>AB7*AA3</f>
        <v>0.20086113106219786</v>
      </c>
    </row>
    <row r="9" spans="1:32" x14ac:dyDescent="0.25">
      <c r="A9" t="s">
        <v>41</v>
      </c>
      <c r="B9" s="6">
        <f>STDEV(B2:B7)</f>
        <v>3.3020982439428824E-2</v>
      </c>
      <c r="C9" s="6">
        <f>STDEV(C2:C7)</f>
        <v>0.13413622990198221</v>
      </c>
      <c r="D9" s="6">
        <f>STDEV(D2:D7)</f>
        <v>0.77242823714204856</v>
      </c>
      <c r="E9" s="6">
        <f>STDEV(E2:E7)</f>
        <v>6.5115282384398823</v>
      </c>
      <c r="F9" s="6">
        <f>STDEV(F2:F7)</f>
        <v>1.1720069276589689E-3</v>
      </c>
      <c r="G9" t="s">
        <v>23</v>
      </c>
      <c r="H9">
        <f>G2+H8</f>
        <v>1.2018295691002632</v>
      </c>
      <c r="K9" t="s">
        <v>23</v>
      </c>
      <c r="L9">
        <f>K2+L8</f>
        <v>1.3740487974372546</v>
      </c>
      <c r="O9" t="s">
        <v>23</v>
      </c>
      <c r="P9">
        <f>O2+P8</f>
        <v>1.1910211743587387</v>
      </c>
      <c r="S9" t="s">
        <v>23</v>
      </c>
      <c r="T9">
        <f>S2+T8</f>
        <v>1.1723940510954272</v>
      </c>
      <c r="W9" t="s">
        <v>23</v>
      </c>
      <c r="X9">
        <f>W2+X8</f>
        <v>1.242597973419221</v>
      </c>
      <c r="AA9" t="s">
        <v>23</v>
      </c>
      <c r="AB9">
        <f>AA2+AB8</f>
        <v>1.2533615835898961</v>
      </c>
    </row>
    <row r="10" spans="1:32" x14ac:dyDescent="0.25">
      <c r="A10" t="s">
        <v>42</v>
      </c>
      <c r="B10" s="6">
        <f>MIN(B2:B7)</f>
        <v>2.0157046265066647E-2</v>
      </c>
      <c r="C10" s="6">
        <f>MIN(C2:C7)</f>
        <v>4.8389805003761388E-2</v>
      </c>
      <c r="D10" s="6">
        <f>MIN(D2:D7)</f>
        <v>0.15255134484121197</v>
      </c>
      <c r="E10" s="6">
        <f>MIN(E2:E7)</f>
        <v>1969</v>
      </c>
      <c r="F10" s="6">
        <f>MIN(F2:F7)</f>
        <v>4.0235581815203111E-4</v>
      </c>
      <c r="G10" t="s">
        <v>24</v>
      </c>
      <c r="H10">
        <f>G2-H8</f>
        <v>0.90692195926075059</v>
      </c>
      <c r="K10" t="s">
        <v>24</v>
      </c>
      <c r="L10">
        <f>K2-L8</f>
        <v>0.87284945631628263</v>
      </c>
      <c r="O10" t="s">
        <v>24</v>
      </c>
      <c r="P10">
        <f>O2-P8</f>
        <v>0.8497019684779904</v>
      </c>
      <c r="S10" t="s">
        <v>24</v>
      </c>
      <c r="T10">
        <f>S2-T8</f>
        <v>0.89971645534661959</v>
      </c>
      <c r="W10" t="s">
        <v>24</v>
      </c>
      <c r="X10">
        <f>W2-X8</f>
        <v>0.89075108036824135</v>
      </c>
      <c r="AA10" t="s">
        <v>24</v>
      </c>
      <c r="AB10">
        <f>AA2-AB8</f>
        <v>0.85163932146550037</v>
      </c>
    </row>
    <row r="11" spans="1:32" x14ac:dyDescent="0.25">
      <c r="A11" t="s">
        <v>43</v>
      </c>
      <c r="B11" s="6">
        <f>MAX(B2:B7)</f>
        <v>0.11640353068947971</v>
      </c>
      <c r="C11" s="6">
        <f>MAX(C2:C7)</f>
        <v>0.44023213473284167</v>
      </c>
      <c r="D11" s="6">
        <f>MAX(D2:D7)</f>
        <v>2.359364454706955</v>
      </c>
      <c r="E11" s="6">
        <f>MAX(E2:E7)</f>
        <v>1986</v>
      </c>
      <c r="F11" s="6">
        <f>MAX(F2:F7)</f>
        <v>3.7230845768356806E-3</v>
      </c>
      <c r="G11" t="s">
        <v>25</v>
      </c>
      <c r="H11" s="10">
        <f>LN(G2)</f>
        <v>5.2948899088912538E-2</v>
      </c>
      <c r="K11" t="s">
        <v>25</v>
      </c>
      <c r="L11" s="10">
        <f>LN(K2)</f>
        <v>0.11640353068947971</v>
      </c>
      <c r="O11" t="s">
        <v>25</v>
      </c>
      <c r="P11" s="10">
        <f>LN(O2)</f>
        <v>2.0157046265066647E-2</v>
      </c>
      <c r="S11" t="s">
        <v>25</v>
      </c>
      <c r="T11" s="10">
        <f>LN(S2)</f>
        <v>3.5420475640051532E-2</v>
      </c>
      <c r="W11" t="s">
        <v>25</v>
      </c>
      <c r="X11" s="10">
        <f>LN(W2)</f>
        <v>6.4545890073293505E-2</v>
      </c>
      <c r="AA11" t="s">
        <v>25</v>
      </c>
      <c r="AB11" s="10">
        <f>LN(AA2)</f>
        <v>5.1168716529364666E-2</v>
      </c>
    </row>
    <row r="12" spans="1:32" x14ac:dyDescent="0.25">
      <c r="A12" t="s">
        <v>44</v>
      </c>
      <c r="B12" s="6">
        <f>ABS(B11-B10)</f>
        <v>9.6246484424413067E-2</v>
      </c>
      <c r="C12" s="6">
        <f>ABS(C11-C10)</f>
        <v>0.39184232972908029</v>
      </c>
      <c r="D12" s="6">
        <f>ABS(D11-D10)</f>
        <v>2.2068131098657431</v>
      </c>
      <c r="E12" s="6">
        <f>ABS(E11-E10)</f>
        <v>17</v>
      </c>
      <c r="F12" s="6">
        <f>ABS(F11-F10)</f>
        <v>3.3207287586836495E-3</v>
      </c>
      <c r="G12" t="s">
        <v>26</v>
      </c>
      <c r="H12" s="10">
        <f>LN(H9)</f>
        <v>0.18384503662588647</v>
      </c>
      <c r="K12" t="s">
        <v>26</v>
      </c>
      <c r="L12" s="10">
        <f>LN(L9)</f>
        <v>0.31776170804379494</v>
      </c>
      <c r="O12" t="s">
        <v>26</v>
      </c>
      <c r="P12" s="10">
        <f>LN(P9)</f>
        <v>0.17481106885386435</v>
      </c>
      <c r="S12" t="s">
        <v>26</v>
      </c>
      <c r="T12" s="10">
        <f>LN(T9)</f>
        <v>0.15904785571636623</v>
      </c>
      <c r="W12" t="s">
        <v>26</v>
      </c>
      <c r="X12" s="10">
        <f>LN(X9)</f>
        <v>0.21720432772645881</v>
      </c>
      <c r="AA12" t="s">
        <v>26</v>
      </c>
      <c r="AB12" s="10">
        <f>LN(AB9)</f>
        <v>0.22582920857799063</v>
      </c>
    </row>
    <row r="13" spans="1:32" x14ac:dyDescent="0.25">
      <c r="A13" t="s">
        <v>45</v>
      </c>
      <c r="B13" s="6">
        <f>COUNT(B2:B7)</f>
        <v>6</v>
      </c>
      <c r="G13" t="s">
        <v>27</v>
      </c>
      <c r="H13" s="10">
        <f>LN(H10)</f>
        <v>-9.7698875280297484E-2</v>
      </c>
      <c r="K13" t="s">
        <v>27</v>
      </c>
      <c r="L13" s="10">
        <f>LN(L10)</f>
        <v>-0.1359921820948756</v>
      </c>
      <c r="O13" t="s">
        <v>27</v>
      </c>
      <c r="P13" s="10">
        <f>LN(P10)</f>
        <v>-0.16286961630121591</v>
      </c>
      <c r="S13" t="s">
        <v>27</v>
      </c>
      <c r="T13" s="10">
        <f>LN(T10)</f>
        <v>-0.10567561491124934</v>
      </c>
      <c r="W13" t="s">
        <v>27</v>
      </c>
      <c r="X13" s="10">
        <f>LN(X10)</f>
        <v>-0.11569026162211228</v>
      </c>
      <c r="AA13" t="s">
        <v>27</v>
      </c>
      <c r="AB13" s="10">
        <f>LN(AB10)</f>
        <v>-0.1605921733962076</v>
      </c>
    </row>
    <row r="14" spans="1:32" x14ac:dyDescent="0.25">
      <c r="G14" t="s">
        <v>28</v>
      </c>
      <c r="H14" s="10">
        <f>H12-H11</f>
        <v>0.13089613753697393</v>
      </c>
      <c r="K14" t="s">
        <v>28</v>
      </c>
      <c r="L14" s="10">
        <f>L12-L11</f>
        <v>0.20135817735431522</v>
      </c>
      <c r="O14" t="s">
        <v>28</v>
      </c>
      <c r="P14" s="10">
        <f>P12-P11</f>
        <v>0.15465402258879771</v>
      </c>
      <c r="S14" t="s">
        <v>28</v>
      </c>
      <c r="T14" s="10">
        <f>T12-T11</f>
        <v>0.1236273800763147</v>
      </c>
      <c r="W14" t="s">
        <v>28</v>
      </c>
      <c r="X14" s="10">
        <f>X12-X11</f>
        <v>0.15265843765316531</v>
      </c>
      <c r="AA14" t="s">
        <v>28</v>
      </c>
      <c r="AB14" s="10">
        <f>AB12-AB11</f>
        <v>0.17466049204862596</v>
      </c>
    </row>
    <row r="15" spans="1:32" x14ac:dyDescent="0.25">
      <c r="G15" t="s">
        <v>29</v>
      </c>
      <c r="H15" s="10">
        <f>H11-H13</f>
        <v>0.15064777436921001</v>
      </c>
      <c r="K15" t="s">
        <v>29</v>
      </c>
      <c r="L15" s="10">
        <f>L11-L13</f>
        <v>0.2523957127843553</v>
      </c>
      <c r="O15" t="s">
        <v>29</v>
      </c>
      <c r="P15" s="10">
        <f>P11-P13</f>
        <v>0.18302666256628256</v>
      </c>
      <c r="S15" t="s">
        <v>29</v>
      </c>
      <c r="T15" s="10">
        <f>T11-T13</f>
        <v>0.14109609055130087</v>
      </c>
      <c r="W15" t="s">
        <v>29</v>
      </c>
      <c r="X15" s="10">
        <f>X11-X13</f>
        <v>0.1802361516954058</v>
      </c>
      <c r="AA15" t="s">
        <v>29</v>
      </c>
      <c r="AB15" s="10">
        <f>AB11-AB13</f>
        <v>0.21176088992557227</v>
      </c>
    </row>
    <row r="16" spans="1:32" x14ac:dyDescent="0.25">
      <c r="G16" t="s">
        <v>30</v>
      </c>
      <c r="H16" s="11">
        <f>AVERAGE(H14:H15)</f>
        <v>0.14077195595309197</v>
      </c>
      <c r="K16" t="s">
        <v>30</v>
      </c>
      <c r="L16" s="11">
        <f>AVERAGE(L14:L15)</f>
        <v>0.22687694506933526</v>
      </c>
      <c r="O16" t="s">
        <v>30</v>
      </c>
      <c r="P16" s="11">
        <f>AVERAGE(P14:P15)</f>
        <v>0.16884034257754013</v>
      </c>
      <c r="S16" t="s">
        <v>30</v>
      </c>
      <c r="T16" s="11">
        <f>AVERAGE(T14:T15)</f>
        <v>0.13236173531380779</v>
      </c>
      <c r="W16" t="s">
        <v>30</v>
      </c>
      <c r="X16" s="11">
        <f>AVERAGE(X14:X15)</f>
        <v>0.16644729467428554</v>
      </c>
      <c r="AA16" t="s">
        <v>30</v>
      </c>
      <c r="AB16" s="11">
        <f>AVERAGE(AB14:AB15)</f>
        <v>0.19321069098709912</v>
      </c>
    </row>
    <row r="17" spans="7:28" x14ac:dyDescent="0.25">
      <c r="G17" t="s">
        <v>31</v>
      </c>
      <c r="H17">
        <f>TINV(0.3173,H5)</f>
        <v>1.1416549872215624</v>
      </c>
      <c r="K17" t="s">
        <v>31</v>
      </c>
      <c r="L17">
        <f>TINV(0.3173,L5)</f>
        <v>1.1969125599716923</v>
      </c>
      <c r="O17" t="s">
        <v>31</v>
      </c>
      <c r="P17">
        <f>TINV(0.3173,P5)</f>
        <v>1.1969125599716923</v>
      </c>
      <c r="S17" t="s">
        <v>31</v>
      </c>
      <c r="T17">
        <f>TINV(0.3173,T5)</f>
        <v>1.1969125599716923</v>
      </c>
      <c r="W17" t="s">
        <v>31</v>
      </c>
      <c r="X17">
        <f>TINV(0.3173,X5)</f>
        <v>1.1969125599716923</v>
      </c>
      <c r="AA17" t="s">
        <v>31</v>
      </c>
      <c r="AB17">
        <f>TINV(0.3173,AB5)</f>
        <v>1.1969125599716923</v>
      </c>
    </row>
    <row r="18" spans="7:28" x14ac:dyDescent="0.25">
      <c r="G18" t="s">
        <v>32</v>
      </c>
      <c r="H18">
        <f>H17*G3</f>
        <v>5.8669529771192108E-2</v>
      </c>
      <c r="K18" t="s">
        <v>32</v>
      </c>
      <c r="L18">
        <f>L17*K3</f>
        <v>9.070496530202446E-2</v>
      </c>
      <c r="O18" t="s">
        <v>32</v>
      </c>
      <c r="P18">
        <f>P17*O3</f>
        <v>6.1770525589847698E-2</v>
      </c>
      <c r="S18" t="s">
        <v>32</v>
      </c>
      <c r="T18">
        <f>T17*S3</f>
        <v>4.9348053422650702E-2</v>
      </c>
      <c r="W18" t="s">
        <v>32</v>
      </c>
      <c r="X18">
        <f>X17*W3</f>
        <v>6.3675782482944726E-2</v>
      </c>
      <c r="AA18" t="s">
        <v>32</v>
      </c>
      <c r="AB18">
        <f>AB17*AA3</f>
        <v>7.2702018652991779E-2</v>
      </c>
    </row>
    <row r="19" spans="7:28" x14ac:dyDescent="0.25">
      <c r="G19" t="s">
        <v>33</v>
      </c>
      <c r="H19">
        <f>G2+H18</f>
        <v>1.113045293951699</v>
      </c>
      <c r="K19" t="s">
        <v>33</v>
      </c>
      <c r="L19">
        <f>K2+L18</f>
        <v>1.214154092178793</v>
      </c>
      <c r="O19" t="s">
        <v>33</v>
      </c>
      <c r="P19">
        <f>O2+P18</f>
        <v>1.0821320970082122</v>
      </c>
      <c r="S19" t="s">
        <v>33</v>
      </c>
      <c r="T19">
        <f>S2+T18</f>
        <v>1.0854033066436741</v>
      </c>
      <c r="W19" t="s">
        <v>33</v>
      </c>
      <c r="X19">
        <f>W2+X18</f>
        <v>1.130350309376676</v>
      </c>
      <c r="AA19" t="s">
        <v>33</v>
      </c>
      <c r="AB19">
        <f>AA2+AB18</f>
        <v>1.1252024711806901</v>
      </c>
    </row>
    <row r="20" spans="7:28" x14ac:dyDescent="0.25">
      <c r="G20" t="s">
        <v>34</v>
      </c>
      <c r="H20">
        <f>G2-H18</f>
        <v>0.99570623440931483</v>
      </c>
      <c r="K20" t="s">
        <v>34</v>
      </c>
      <c r="L20">
        <f>K2-L18</f>
        <v>1.0327441615747441</v>
      </c>
      <c r="O20" t="s">
        <v>34</v>
      </c>
      <c r="P20">
        <f>O2-P18</f>
        <v>0.95859104582851673</v>
      </c>
      <c r="S20" t="s">
        <v>34</v>
      </c>
      <c r="T20">
        <f>S2-T18</f>
        <v>0.98670719979837274</v>
      </c>
      <c r="W20" t="s">
        <v>34</v>
      </c>
      <c r="X20">
        <f>W2-X18</f>
        <v>1.0029987444107864</v>
      </c>
      <c r="AA20" t="s">
        <v>34</v>
      </c>
      <c r="AB20">
        <f>AA2-AB18</f>
        <v>0.97979843387470644</v>
      </c>
    </row>
    <row r="21" spans="7:28" x14ac:dyDescent="0.25">
      <c r="G21" t="s">
        <v>25</v>
      </c>
      <c r="H21" s="10">
        <f>LN(G2)</f>
        <v>5.2948899088912538E-2</v>
      </c>
      <c r="K21" t="s">
        <v>25</v>
      </c>
      <c r="L21" s="10">
        <f>LN(K2)</f>
        <v>0.11640353068947971</v>
      </c>
      <c r="O21" t="s">
        <v>25</v>
      </c>
      <c r="P21" s="10">
        <f>LN(O2)</f>
        <v>2.0157046265066647E-2</v>
      </c>
      <c r="S21" t="s">
        <v>25</v>
      </c>
      <c r="T21" s="10">
        <f>LN(S2)</f>
        <v>3.5420475640051532E-2</v>
      </c>
      <c r="W21" t="s">
        <v>25</v>
      </c>
      <c r="X21" s="10">
        <f>LN(W2)</f>
        <v>6.4545890073293505E-2</v>
      </c>
      <c r="AA21" t="s">
        <v>25</v>
      </c>
      <c r="AB21" s="10">
        <f>LN(AA2)</f>
        <v>5.1168716529364666E-2</v>
      </c>
    </row>
    <row r="22" spans="7:28" x14ac:dyDescent="0.25">
      <c r="G22" t="s">
        <v>35</v>
      </c>
      <c r="H22" s="10">
        <f>LN(H19)</f>
        <v>0.10709976683976617</v>
      </c>
      <c r="K22" t="s">
        <v>35</v>
      </c>
      <c r="L22" s="10">
        <f>LN(L19)</f>
        <v>0.19404761388954186</v>
      </c>
      <c r="O22" t="s">
        <v>35</v>
      </c>
      <c r="P22" s="10">
        <f>LN(P19)</f>
        <v>7.8933258931936229E-2</v>
      </c>
      <c r="S22" t="s">
        <v>35</v>
      </c>
      <c r="T22" s="10">
        <f>LN(T19)</f>
        <v>8.1951629117258923E-2</v>
      </c>
      <c r="W22" t="s">
        <v>35</v>
      </c>
      <c r="X22" s="10">
        <f>LN(X19)</f>
        <v>0.122527592979549</v>
      </c>
      <c r="AA22" t="s">
        <v>35</v>
      </c>
      <c r="AB22" s="10">
        <f>LN(AB19)</f>
        <v>0.11796299384577273</v>
      </c>
    </row>
    <row r="23" spans="7:28" x14ac:dyDescent="0.25">
      <c r="G23" t="s">
        <v>36</v>
      </c>
      <c r="H23" s="10">
        <f>LN(H20)</f>
        <v>-4.3030102746535676E-3</v>
      </c>
      <c r="K23" t="s">
        <v>36</v>
      </c>
      <c r="L23" s="10">
        <f>LN(L20)</f>
        <v>3.2219493998431804E-2</v>
      </c>
      <c r="O23" t="s">
        <v>36</v>
      </c>
      <c r="P23" s="10">
        <f>LN(P20)</f>
        <v>-4.2290733184316837E-2</v>
      </c>
      <c r="S23" t="s">
        <v>36</v>
      </c>
      <c r="T23" s="10">
        <f>LN(T20)</f>
        <v>-1.3381940299207669E-2</v>
      </c>
      <c r="W23" t="s">
        <v>36</v>
      </c>
      <c r="X23" s="10">
        <f>LN(X20)</f>
        <v>2.9942571453024742E-3</v>
      </c>
      <c r="AA23" t="s">
        <v>36</v>
      </c>
      <c r="AB23" s="10">
        <f>LN(AB20)</f>
        <v>-2.0408408192181114E-2</v>
      </c>
    </row>
    <row r="24" spans="7:28" x14ac:dyDescent="0.25">
      <c r="G24" t="s">
        <v>37</v>
      </c>
      <c r="H24" s="10">
        <f>H22-H21</f>
        <v>5.4150867750853635E-2</v>
      </c>
      <c r="K24" t="s">
        <v>37</v>
      </c>
      <c r="L24" s="10">
        <f>L22-L21</f>
        <v>7.764408320006215E-2</v>
      </c>
      <c r="O24" t="s">
        <v>37</v>
      </c>
      <c r="P24" s="10">
        <f>P22-P21</f>
        <v>5.8776212666869582E-2</v>
      </c>
      <c r="S24" t="s">
        <v>37</v>
      </c>
      <c r="T24" s="10">
        <f>T22-T21</f>
        <v>4.653115347720739E-2</v>
      </c>
      <c r="W24" t="s">
        <v>37</v>
      </c>
      <c r="X24" s="10">
        <f>X22-X21</f>
        <v>5.7981702906255497E-2</v>
      </c>
      <c r="AA24" t="s">
        <v>37</v>
      </c>
      <c r="AB24" s="10">
        <f>AB22-AB21</f>
        <v>6.6794277316408066E-2</v>
      </c>
    </row>
    <row r="25" spans="7:28" x14ac:dyDescent="0.25">
      <c r="G25" t="s">
        <v>38</v>
      </c>
      <c r="H25" s="10">
        <f>H21-H23</f>
        <v>5.7251909363566104E-2</v>
      </c>
      <c r="K25" t="s">
        <v>38</v>
      </c>
      <c r="L25" s="10">
        <f>L21-L23</f>
        <v>8.4184036691047903E-2</v>
      </c>
      <c r="O25" t="s">
        <v>38</v>
      </c>
      <c r="P25" s="10">
        <f>P21-P23</f>
        <v>6.2447779449383484E-2</v>
      </c>
      <c r="S25" t="s">
        <v>38</v>
      </c>
      <c r="T25" s="10">
        <f>T21-T23</f>
        <v>4.88024159392592E-2</v>
      </c>
      <c r="W25" t="s">
        <v>38</v>
      </c>
      <c r="X25" s="10">
        <f>X21-X23</f>
        <v>6.1551632927991033E-2</v>
      </c>
      <c r="AA25" t="s">
        <v>38</v>
      </c>
      <c r="AB25" s="10">
        <f>AB21-AB23</f>
        <v>7.1577124721545787E-2</v>
      </c>
    </row>
    <row r="26" spans="7:28" x14ac:dyDescent="0.25">
      <c r="G26" t="s">
        <v>39</v>
      </c>
      <c r="H26" s="11">
        <f>AVERAGE(H24:H25)</f>
        <v>5.5701388557209866E-2</v>
      </c>
      <c r="K26" t="s">
        <v>39</v>
      </c>
      <c r="L26" s="11">
        <f>AVERAGE(L24:L25)</f>
        <v>8.0914059945555034E-2</v>
      </c>
      <c r="O26" t="s">
        <v>39</v>
      </c>
      <c r="P26" s="11">
        <f>AVERAGE(P24:P25)</f>
        <v>6.0611996058126533E-2</v>
      </c>
      <c r="S26" t="s">
        <v>39</v>
      </c>
      <c r="T26" s="11">
        <f>AVERAGE(T24:T25)</f>
        <v>4.7666784708233295E-2</v>
      </c>
      <c r="W26" t="s">
        <v>39</v>
      </c>
      <c r="X26" s="11">
        <f>AVERAGE(X24:X25)</f>
        <v>5.9766667917123262E-2</v>
      </c>
      <c r="AA26" t="s">
        <v>39</v>
      </c>
      <c r="AB26" s="11">
        <f>AVERAGE(AB24:AB25)</f>
        <v>6.9185701018976919E-2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ColWidth="11" defaultRowHeight="15.75" x14ac:dyDescent="0.25"/>
  <sheetData>
    <row r="1" spans="1:2" x14ac:dyDescent="0.25">
      <c r="A1" t="s">
        <v>1</v>
      </c>
      <c r="B1" t="s">
        <v>15</v>
      </c>
    </row>
    <row r="2" spans="1:2" x14ac:dyDescent="0.25">
      <c r="A2">
        <v>1969</v>
      </c>
      <c r="B2" s="15">
        <v>1.1423165046566092E-3</v>
      </c>
    </row>
    <row r="3" spans="1:2" x14ac:dyDescent="0.25">
      <c r="A3">
        <v>1973</v>
      </c>
      <c r="B3" s="15">
        <v>4.0235581815203111E-4</v>
      </c>
    </row>
    <row r="4" spans="1:2" x14ac:dyDescent="0.25">
      <c r="A4">
        <v>1982</v>
      </c>
      <c r="B4" s="15">
        <v>3.7230845768356806E-3</v>
      </c>
    </row>
    <row r="5" spans="1:2" x14ac:dyDescent="0.25">
      <c r="A5">
        <v>1982</v>
      </c>
      <c r="B5" s="15">
        <v>7.3107842599682454E-4</v>
      </c>
    </row>
    <row r="6" spans="1:2" x14ac:dyDescent="0.25">
      <c r="A6">
        <v>1982</v>
      </c>
      <c r="B6" s="15">
        <v>1.5440376357052936E-3</v>
      </c>
    </row>
    <row r="7" spans="1:2" x14ac:dyDescent="0.25">
      <c r="A7">
        <v>1986</v>
      </c>
      <c r="B7" s="15">
        <v>1.4888613980219012E-3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sbasnet</cp:lastModifiedBy>
  <dcterms:created xsi:type="dcterms:W3CDTF">2013-11-05T17:07:08Z</dcterms:created>
  <dcterms:modified xsi:type="dcterms:W3CDTF">2014-01-06T15:52:05Z</dcterms:modified>
</cp:coreProperties>
</file>