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6318FCF-FBD1-4F24-84B5-D601C004EDEA}" xr6:coauthVersionLast="47" xr6:coauthVersionMax="47" xr10:uidLastSave="{00000000-0000-0000-0000-000000000000}"/>
  <bookViews>
    <workbookView xWindow="-52155" yWindow="1815" windowWidth="26610" windowHeight="1341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14" i="2" l="1"/>
  <c r="BL15" i="2"/>
  <c r="BL16" i="2"/>
  <c r="BL31" i="2"/>
  <c r="BL29" i="2"/>
  <c r="BL26" i="2"/>
  <c r="BL25" i="2"/>
  <c r="BL22" i="2"/>
  <c r="BL21" i="2"/>
  <c r="BL19" i="2"/>
  <c r="BL18" i="2"/>
  <c r="BM34" i="2"/>
  <c r="BL34" i="2"/>
  <c r="BK34" i="2"/>
  <c r="BK31" i="2"/>
  <c r="BK29" i="2"/>
  <c r="BK26" i="2"/>
  <c r="BK25" i="2"/>
  <c r="BK22" i="2"/>
  <c r="BK21" i="2"/>
  <c r="BK18" i="2"/>
  <c r="BK19" i="2"/>
  <c r="AF18" i="2"/>
  <c r="AF19" i="2"/>
  <c r="AF38" i="2" s="1"/>
  <c r="AH31" i="2"/>
  <c r="AG31" i="2"/>
  <c r="AH34" i="2"/>
  <c r="AG34" i="2"/>
  <c r="AF34" i="2"/>
  <c r="AH36" i="2"/>
  <c r="AG36" i="2"/>
  <c r="AF36" i="2"/>
  <c r="AH43" i="2"/>
  <c r="AG43" i="2"/>
  <c r="AH42" i="2"/>
  <c r="AG42" i="2"/>
  <c r="AH41" i="2"/>
  <c r="AG41" i="2"/>
  <c r="AF41" i="2"/>
  <c r="AH40" i="2"/>
  <c r="AG40" i="2"/>
  <c r="AF40" i="2"/>
  <c r="AH39" i="2"/>
  <c r="AG39" i="2"/>
  <c r="AF39" i="2"/>
  <c r="AH38" i="2"/>
  <c r="AG38" i="2"/>
  <c r="AH32" i="2"/>
  <c r="AH33" i="2" s="1"/>
  <c r="AG32" i="2"/>
  <c r="AG33" i="2" s="1"/>
  <c r="AH30" i="2"/>
  <c r="AG30" i="2"/>
  <c r="AH26" i="2"/>
  <c r="AG26" i="2"/>
  <c r="AF26" i="2"/>
  <c r="AH25" i="2"/>
  <c r="AG25" i="2"/>
  <c r="AF25" i="2"/>
  <c r="AH27" i="2"/>
  <c r="AH28" i="2" s="1"/>
  <c r="AG27" i="2"/>
  <c r="AG28" i="2" s="1"/>
  <c r="AF27" i="2"/>
  <c r="AH24" i="2"/>
  <c r="AG24" i="2"/>
  <c r="AF24" i="2"/>
  <c r="AH19" i="2"/>
  <c r="AH20" i="2" s="1"/>
  <c r="AG19" i="2"/>
  <c r="AG20" i="2" s="1"/>
  <c r="AH18" i="2"/>
  <c r="AG18" i="2"/>
  <c r="AF20" i="2"/>
  <c r="AE85" i="2"/>
  <c r="AE83" i="2"/>
  <c r="AE81" i="2"/>
  <c r="AE76" i="2"/>
  <c r="AE73" i="2"/>
  <c r="AE71" i="2"/>
  <c r="AE70" i="2"/>
  <c r="AE65" i="2"/>
  <c r="AE60" i="2"/>
  <c r="AE63" i="2" s="1"/>
  <c r="AE48" i="2"/>
  <c r="AE55" i="2"/>
  <c r="AE47" i="2"/>
  <c r="AE43" i="2"/>
  <c r="AE42" i="2"/>
  <c r="AE41" i="2"/>
  <c r="AE40" i="2"/>
  <c r="AE39" i="2"/>
  <c r="AE38" i="2"/>
  <c r="AE20" i="2"/>
  <c r="AE27" i="2"/>
  <c r="AE23" i="2"/>
  <c r="AE36" i="2"/>
  <c r="AD43" i="2"/>
  <c r="AC43" i="2"/>
  <c r="AB43" i="2"/>
  <c r="AA43" i="2"/>
  <c r="AD42" i="2"/>
  <c r="AC42" i="2"/>
  <c r="AB42" i="2"/>
  <c r="AA42" i="2"/>
  <c r="AD41" i="2"/>
  <c r="AC41" i="2"/>
  <c r="AB41" i="2"/>
  <c r="AA41" i="2"/>
  <c r="AD40" i="2"/>
  <c r="AC40" i="2"/>
  <c r="AB40" i="2"/>
  <c r="AA40" i="2"/>
  <c r="AD39" i="2"/>
  <c r="AC39" i="2"/>
  <c r="AB39" i="2"/>
  <c r="AA39" i="2"/>
  <c r="AD38" i="2"/>
  <c r="AC38" i="2"/>
  <c r="AB38" i="2"/>
  <c r="AA38" i="2"/>
  <c r="AD36" i="2"/>
  <c r="AC36" i="2"/>
  <c r="AB36" i="2"/>
  <c r="AA36" i="2"/>
  <c r="AA27" i="2"/>
  <c r="AA23" i="2"/>
  <c r="AA20" i="2"/>
  <c r="AA24" i="2" s="1"/>
  <c r="AB27" i="2"/>
  <c r="AB23" i="2"/>
  <c r="AB20" i="2"/>
  <c r="Y24" i="2"/>
  <c r="AC27" i="2"/>
  <c r="AC23" i="2"/>
  <c r="AC20" i="2"/>
  <c r="AD33" i="2"/>
  <c r="AD32" i="2"/>
  <c r="AD30" i="2"/>
  <c r="AD27" i="2"/>
  <c r="AD28" i="2" s="1"/>
  <c r="AD24" i="2"/>
  <c r="Z24" i="2"/>
  <c r="AD23" i="2"/>
  <c r="AD20" i="2"/>
  <c r="AH2" i="2"/>
  <c r="AG2" i="2"/>
  <c r="AF2" i="2"/>
  <c r="AE2" i="2"/>
  <c r="AB2" i="2"/>
  <c r="AA2" i="2"/>
  <c r="BK20" i="2" l="1"/>
  <c r="AF28" i="2"/>
  <c r="AE24" i="2"/>
  <c r="AE28" i="2" s="1"/>
  <c r="AE30" i="2" s="1"/>
  <c r="AE32" i="2" s="1"/>
  <c r="AE33" i="2" s="1"/>
  <c r="AA28" i="2"/>
  <c r="AA30" i="2" s="1"/>
  <c r="AA32" i="2" s="1"/>
  <c r="AA33" i="2" s="1"/>
  <c r="AB24" i="2"/>
  <c r="AB28" i="2" s="1"/>
  <c r="AB30" i="2" s="1"/>
  <c r="AB32" i="2" s="1"/>
  <c r="AB33" i="2" s="1"/>
  <c r="AC24" i="2"/>
  <c r="AC28" i="2" s="1"/>
  <c r="AC30" i="2" s="1"/>
  <c r="AC32" i="2" s="1"/>
  <c r="AC33" i="2" s="1"/>
  <c r="X82" i="2"/>
  <c r="X80" i="2"/>
  <c r="X79" i="2"/>
  <c r="X78" i="2"/>
  <c r="W81" i="2"/>
  <c r="W83" i="2" s="1"/>
  <c r="X75" i="2"/>
  <c r="X74" i="2"/>
  <c r="W73" i="2"/>
  <c r="X73" i="2" s="1"/>
  <c r="X69" i="2"/>
  <c r="X68" i="2"/>
  <c r="X67" i="2"/>
  <c r="X66" i="2"/>
  <c r="W70" i="2"/>
  <c r="W71" i="2" s="1"/>
  <c r="W60" i="2"/>
  <c r="W63" i="2" s="1"/>
  <c r="W48" i="2"/>
  <c r="W55" i="2"/>
  <c r="Y2" i="2"/>
  <c r="Z40" i="2"/>
  <c r="Y40" i="2"/>
  <c r="Z38" i="2"/>
  <c r="Y38" i="2"/>
  <c r="Z27" i="2"/>
  <c r="Y27" i="2"/>
  <c r="Z23" i="2"/>
  <c r="Y23" i="2"/>
  <c r="X60" i="2"/>
  <c r="X63" i="2" s="1"/>
  <c r="X48" i="2"/>
  <c r="X55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K16" i="2" s="1"/>
  <c r="BJ15" i="2"/>
  <c r="BK15" i="2" s="1"/>
  <c r="BJ14" i="2"/>
  <c r="BK14" i="2" s="1"/>
  <c r="BJ10" i="2"/>
  <c r="T18" i="2"/>
  <c r="T20" i="2" s="1"/>
  <c r="S18" i="2"/>
  <c r="S20" i="2" s="1"/>
  <c r="W20" i="2"/>
  <c r="BI10" i="2"/>
  <c r="X20" i="2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F30" i="2" l="1"/>
  <c r="AF31" i="2" s="1"/>
  <c r="AF42" i="2"/>
  <c r="Z2" i="2"/>
  <c r="AC2" i="2"/>
  <c r="X76" i="2"/>
  <c r="X70" i="2"/>
  <c r="X24" i="2"/>
  <c r="X71" i="2"/>
  <c r="W76" i="2"/>
  <c r="W85" i="2" s="1"/>
  <c r="X81" i="2"/>
  <c r="X83" i="2" s="1"/>
  <c r="X85" i="2" s="1"/>
  <c r="U20" i="2"/>
  <c r="X47" i="2"/>
  <c r="W47" i="2"/>
  <c r="AN20" i="2"/>
  <c r="AN41" i="2"/>
  <c r="X28" i="2"/>
  <c r="X39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AW28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F32" i="2" l="1"/>
  <c r="AF33" i="2" s="1"/>
  <c r="AF43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Z39" i="2" l="1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Z30" i="2" l="1"/>
  <c r="Z43" i="2" s="1"/>
  <c r="Z42" i="2"/>
  <c r="X33" i="2"/>
  <c r="X65" i="2"/>
  <c r="Y39" i="2"/>
  <c r="Y28" i="2"/>
  <c r="W33" i="2"/>
  <c r="W65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Z32" i="2" l="1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K10" i="2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L10" i="2" l="1"/>
  <c r="BM11" i="2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<sst xmlns="http://schemas.openxmlformats.org/spreadsheetml/2006/main" count="171" uniqueCount="160">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</sst>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106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46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75988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topLeftCell="B1" zoomScale="160" zoomScaleNormal="160" workbookViewId="0">
      <selection activeCell="P3" sqref="P3"/>
    </sheetView>
  </sheetViews>
  <sheetFormatPr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238</v>
      </c>
    </row>
    <row r="3" spans="14:16" x14ac:dyDescent="0.2">
      <c r="N3" t="s">
        <v>1</v>
      </c>
      <c r="O3" s="2">
        <v>15151</v>
      </c>
      <c r="P3" s="1" t="s">
        <v>159</v>
      </c>
    </row>
    <row r="4" spans="14:16" x14ac:dyDescent="0.2">
      <c r="N4" t="s">
        <v>2</v>
      </c>
      <c r="O4" s="2">
        <f>+O2*O3</f>
        <v>3605938</v>
      </c>
    </row>
    <row r="5" spans="14:16" x14ac:dyDescent="0.2">
      <c r="N5" t="s">
        <v>3</v>
      </c>
      <c r="O5" s="2">
        <v>141368</v>
      </c>
      <c r="P5" s="1" t="s">
        <v>159</v>
      </c>
    </row>
    <row r="6" spans="14:16" x14ac:dyDescent="0.2">
      <c r="N6" t="s">
        <v>4</v>
      </c>
      <c r="O6" s="2">
        <v>96799</v>
      </c>
      <c r="P6" s="1" t="s">
        <v>159</v>
      </c>
    </row>
    <row r="7" spans="14:16" x14ac:dyDescent="0.2">
      <c r="N7" t="s">
        <v>5</v>
      </c>
      <c r="O7" s="2">
        <f>+O4-O5+O6</f>
        <v>3561369</v>
      </c>
    </row>
    <row r="10" spans="14:16" x14ac:dyDescent="0.2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85"/>
  <sheetViews>
    <sheetView tabSelected="1" zoomScale="145" zoomScaleNormal="145" workbookViewId="0">
      <pane xSplit="2" ySplit="3" topLeftCell="AY12" activePane="bottomRight" state="frozen"/>
      <selection pane="topRight" activeCell="C1" sqref="C1"/>
      <selection pane="bottomLeft" activeCell="A3" sqref="A3"/>
      <selection pane="bottomRight" activeCell="BL16" sqref="BL14:BL16"/>
    </sheetView>
  </sheetViews>
  <sheetFormatPr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3" max="63" width="9.85546875" bestFit="1" customWidth="1"/>
    <col min="80" max="80" width="9.5703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1" customFormat="1" x14ac:dyDescent="0.2">
      <c r="B4" s="17" t="s">
        <v>144</v>
      </c>
      <c r="T4" s="7">
        <v>40882</v>
      </c>
      <c r="U4" s="7"/>
      <c r="V4" s="7"/>
      <c r="W4" s="7"/>
      <c r="X4" s="7">
        <v>37784</v>
      </c>
    </row>
    <row r="5" spans="1:80" s="1" customFormat="1" x14ac:dyDescent="0.2">
      <c r="B5" s="17" t="s">
        <v>145</v>
      </c>
      <c r="T5" s="7">
        <v>23287</v>
      </c>
      <c r="U5" s="7"/>
      <c r="V5" s="7"/>
      <c r="W5" s="7"/>
      <c r="X5" s="7">
        <v>23945</v>
      </c>
    </row>
    <row r="6" spans="1:80" s="1" customFormat="1" x14ac:dyDescent="0.2">
      <c r="B6" s="17" t="s">
        <v>146</v>
      </c>
      <c r="T6" s="7">
        <v>18343</v>
      </c>
      <c r="U6" s="7"/>
      <c r="V6" s="7"/>
      <c r="W6" s="7"/>
      <c r="X6" s="7">
        <v>17812</v>
      </c>
    </row>
    <row r="7" spans="1:80" s="1" customFormat="1" x14ac:dyDescent="0.2">
      <c r="B7" s="17" t="s">
        <v>147</v>
      </c>
      <c r="T7" s="7">
        <v>7724</v>
      </c>
      <c r="U7" s="7"/>
      <c r="V7" s="7"/>
      <c r="W7" s="7"/>
      <c r="X7" s="7">
        <v>7176</v>
      </c>
    </row>
    <row r="8" spans="1:80" s="1" customFormat="1" x14ac:dyDescent="0.2">
      <c r="B8" s="17" t="s">
        <v>148</v>
      </c>
      <c r="T8" s="7">
        <v>7042</v>
      </c>
      <c r="U8" s="7"/>
      <c r="V8" s="7"/>
      <c r="W8" s="7"/>
      <c r="X8" s="7">
        <v>8119</v>
      </c>
    </row>
    <row r="9" spans="1:80" s="1" customFormat="1" x14ac:dyDescent="0.2"/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AA10" s="7">
        <v>69702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f>+BK11*BK12/1000</f>
        <v>209619.32889999999</v>
      </c>
      <c r="BL10" s="7">
        <f>+BL11*BL12/1000</f>
        <v>213832.67741089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2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">
      <c r="B13" s="2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AA14" s="7">
        <v>7780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f t="shared" ref="BK14:BL16" si="10">+BJ14*1.03</f>
        <v>41382.31</v>
      </c>
      <c r="BL14" s="7">
        <f t="shared" si="10"/>
        <v>42623.779300000002</v>
      </c>
      <c r="BM14" s="7">
        <f t="shared" ref="BM14:BQ14" si="11">+BL14*1.07</f>
        <v>45607.443851000004</v>
      </c>
      <c r="BN14" s="7">
        <f t="shared" si="11"/>
        <v>48799.964920570004</v>
      </c>
      <c r="BO14" s="7">
        <f t="shared" si="11"/>
        <v>52215.962465009907</v>
      </c>
      <c r="BP14" s="7">
        <f t="shared" si="11"/>
        <v>55871.079837560603</v>
      </c>
      <c r="BQ14" s="7">
        <f t="shared" si="11"/>
        <v>59782.055426189851</v>
      </c>
      <c r="BR14" s="7">
        <f>+BQ14*1.06</f>
        <v>63368.978751761242</v>
      </c>
      <c r="BS14" s="7">
        <f t="shared" ref="BS14:BV14" si="12">+BR14*1.06</f>
        <v>67171.117476866915</v>
      </c>
      <c r="BT14" s="7">
        <f t="shared" si="12"/>
        <v>71201.384525478934</v>
      </c>
      <c r="BU14" s="7">
        <f t="shared" si="12"/>
        <v>75473.467597007679</v>
      </c>
      <c r="BV14" s="7">
        <f t="shared" si="12"/>
        <v>80001.875652828137</v>
      </c>
      <c r="BW14" s="7">
        <f>+BV14*1.05</f>
        <v>84001.969435469553</v>
      </c>
      <c r="BX14" s="7">
        <f t="shared" ref="BX14:CB14" si="13">+BW14*1.05</f>
        <v>88202.067907243036</v>
      </c>
      <c r="BY14" s="7">
        <f t="shared" si="13"/>
        <v>92612.171302605188</v>
      </c>
      <c r="BZ14" s="7">
        <f t="shared" si="13"/>
        <v>97242.779867735444</v>
      </c>
      <c r="CA14" s="7">
        <f t="shared" si="13"/>
        <v>102104.91886112222</v>
      </c>
      <c r="CB14" s="7">
        <f t="shared" si="13"/>
        <v>107210.16480417833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AA15" s="7">
        <v>7023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f t="shared" si="10"/>
        <v>30170.760000000002</v>
      </c>
      <c r="BL15" s="7">
        <f t="shared" si="10"/>
        <v>31075.882800000003</v>
      </c>
      <c r="BM15" s="7">
        <f t="shared" ref="BM15:CB15" si="14">+BL15*1.04</f>
        <v>32318.918112000003</v>
      </c>
      <c r="BN15" s="7">
        <f t="shared" si="14"/>
        <v>33611.674836480008</v>
      </c>
      <c r="BO15" s="7">
        <f t="shared" si="14"/>
        <v>34956.14182993921</v>
      </c>
      <c r="BP15" s="7">
        <f t="shared" si="14"/>
        <v>36354.387503136779</v>
      </c>
      <c r="BQ15" s="7">
        <f t="shared" si="14"/>
        <v>37808.56300326225</v>
      </c>
      <c r="BR15" s="7">
        <f t="shared" si="14"/>
        <v>39320.905523392743</v>
      </c>
      <c r="BS15" s="7">
        <f t="shared" si="14"/>
        <v>40893.741744328458</v>
      </c>
      <c r="BT15" s="7">
        <f t="shared" si="14"/>
        <v>42529.491414101598</v>
      </c>
      <c r="BU15" s="7">
        <f t="shared" si="14"/>
        <v>44230.671070665667</v>
      </c>
      <c r="BV15" s="7">
        <f t="shared" si="14"/>
        <v>45999.897913492292</v>
      </c>
      <c r="BW15" s="7">
        <f t="shared" si="14"/>
        <v>47839.893830031986</v>
      </c>
      <c r="BX15" s="7">
        <f t="shared" si="14"/>
        <v>49753.48958323327</v>
      </c>
      <c r="BY15" s="7">
        <f t="shared" si="14"/>
        <v>51743.629166562605</v>
      </c>
      <c r="BZ15" s="7">
        <f t="shared" si="14"/>
        <v>53813.374333225111</v>
      </c>
      <c r="CA15" s="7">
        <f t="shared" si="14"/>
        <v>55965.909306554116</v>
      </c>
      <c r="CB15" s="7">
        <f t="shared" si="14"/>
        <v>58204.545678816285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AA16" s="7">
        <v>11953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5">SUM(K16:N16)</f>
        <v>30620</v>
      </c>
      <c r="BI16" s="7">
        <f t="shared" ref="BI16" si="16">SUM(O16:R16)</f>
        <v>38367</v>
      </c>
      <c r="BJ16" s="7">
        <f>SUM(S16:V16)</f>
        <v>41241</v>
      </c>
      <c r="BK16" s="7">
        <f t="shared" si="10"/>
        <v>42478.23</v>
      </c>
      <c r="BL16" s="7">
        <f t="shared" si="10"/>
        <v>43752.576900000007</v>
      </c>
      <c r="BM16" s="7">
        <f t="shared" ref="BM16:CB16" si="17">+BL16*1.04</f>
        <v>45502.679976000007</v>
      </c>
      <c r="BN16" s="7">
        <f t="shared" si="17"/>
        <v>47322.787175040008</v>
      </c>
      <c r="BO16" s="7">
        <f t="shared" si="17"/>
        <v>49215.698662041614</v>
      </c>
      <c r="BP16" s="7">
        <f t="shared" si="17"/>
        <v>51184.326608523283</v>
      </c>
      <c r="BQ16" s="7">
        <f t="shared" si="17"/>
        <v>53231.699672864219</v>
      </c>
      <c r="BR16" s="7">
        <f t="shared" si="17"/>
        <v>55360.967659778791</v>
      </c>
      <c r="BS16" s="7">
        <f t="shared" si="17"/>
        <v>57575.406366169947</v>
      </c>
      <c r="BT16" s="7">
        <f t="shared" si="17"/>
        <v>59878.422620816746</v>
      </c>
      <c r="BU16" s="7">
        <f t="shared" si="17"/>
        <v>62273.55952564942</v>
      </c>
      <c r="BV16" s="7">
        <f t="shared" si="17"/>
        <v>64764.501906675396</v>
      </c>
      <c r="BW16" s="7">
        <f t="shared" si="17"/>
        <v>67355.081982942414</v>
      </c>
      <c r="BX16" s="7">
        <f t="shared" si="17"/>
        <v>70049.28526226012</v>
      </c>
      <c r="BY16" s="7">
        <f t="shared" si="17"/>
        <v>72851.256672750533</v>
      </c>
      <c r="BZ16" s="7">
        <f t="shared" si="17"/>
        <v>75765.306939660557</v>
      </c>
      <c r="CA16" s="7">
        <f t="shared" si="17"/>
        <v>78795.919217246977</v>
      </c>
      <c r="CB16" s="7">
        <f t="shared" si="17"/>
        <v>81947.755985936863</v>
      </c>
    </row>
    <row r="17" spans="2:192" s="7" customFormat="1" x14ac:dyDescent="0.2">
      <c r="B17" s="2"/>
    </row>
    <row r="18" spans="2:192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8">SUM(K14:K16)+K10</f>
        <v>79104</v>
      </c>
      <c r="L18" s="2">
        <f t="shared" si="18"/>
        <v>44965</v>
      </c>
      <c r="M18" s="2">
        <f t="shared" si="18"/>
        <v>46529</v>
      </c>
      <c r="N18" s="2">
        <f t="shared" si="18"/>
        <v>50149</v>
      </c>
      <c r="O18" s="2">
        <f t="shared" si="18"/>
        <v>95678</v>
      </c>
      <c r="P18" s="2">
        <f t="shared" si="18"/>
        <v>72683</v>
      </c>
      <c r="Q18" s="2">
        <f t="shared" si="18"/>
        <v>63948</v>
      </c>
      <c r="R18" s="2">
        <f t="shared" si="18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9">+AC18*1.01</f>
        <v>62179.64</v>
      </c>
      <c r="AH18" s="2">
        <f t="shared" si="19"/>
        <v>70657.58</v>
      </c>
      <c r="AN18" s="2">
        <f t="shared" ref="AN18:AW18" si="20">SUM(AN14:AN16)+AN10</f>
        <v>6885</v>
      </c>
      <c r="AO18" s="2">
        <f t="shared" si="20"/>
        <v>4790</v>
      </c>
      <c r="AP18" s="2">
        <f t="shared" si="20"/>
        <v>5208</v>
      </c>
      <c r="AQ18" s="2">
        <f t="shared" si="20"/>
        <v>5527</v>
      </c>
      <c r="AR18" s="2">
        <f t="shared" si="20"/>
        <v>7180</v>
      </c>
      <c r="AS18" s="2">
        <f t="shared" si="20"/>
        <v>11941</v>
      </c>
      <c r="AT18" s="2">
        <f t="shared" si="20"/>
        <v>16151</v>
      </c>
      <c r="AU18" s="2">
        <f t="shared" si="20"/>
        <v>20002</v>
      </c>
      <c r="AV18" s="2">
        <f t="shared" si="20"/>
        <v>31943</v>
      </c>
      <c r="AW18" s="2">
        <f t="shared" si="20"/>
        <v>36458</v>
      </c>
      <c r="AX18" s="2">
        <f t="shared" ref="AX18:BI18" si="21">SUM(AX14:AX16)+AX10</f>
        <v>57704</v>
      </c>
      <c r="AY18" s="2">
        <f t="shared" si="21"/>
        <v>98876</v>
      </c>
      <c r="AZ18" s="2">
        <f t="shared" si="21"/>
        <v>143618</v>
      </c>
      <c r="BA18" s="2">
        <f t="shared" si="21"/>
        <v>154859</v>
      </c>
      <c r="BB18" s="2">
        <f t="shared" si="21"/>
        <v>164732</v>
      </c>
      <c r="BC18" s="2">
        <f t="shared" si="21"/>
        <v>213806</v>
      </c>
      <c r="BD18" s="2">
        <f t="shared" si="21"/>
        <v>191291</v>
      </c>
      <c r="BE18" s="2">
        <f t="shared" si="21"/>
        <v>199254</v>
      </c>
      <c r="BF18" s="2">
        <f t="shared" si="21"/>
        <v>225847</v>
      </c>
      <c r="BG18" s="2">
        <f t="shared" si="21"/>
        <v>213883</v>
      </c>
      <c r="BH18" s="2">
        <f t="shared" si="21"/>
        <v>220747</v>
      </c>
      <c r="BI18" s="2">
        <f t="shared" si="21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L18:CB18" si="22">SUM(BM14:BM16)+BM10</f>
        <v>351545.74220093753</v>
      </c>
      <c r="BN18" s="2">
        <f t="shared" si="22"/>
        <v>370771.65709686367</v>
      </c>
      <c r="BO18" s="2">
        <f t="shared" si="22"/>
        <v>391077.38183829712</v>
      </c>
      <c r="BP18" s="2">
        <f t="shared" si="22"/>
        <v>412524.99057836435</v>
      </c>
      <c r="BQ18" s="2">
        <f t="shared" si="22"/>
        <v>435180.19946853467</v>
      </c>
      <c r="BR18" s="2">
        <f t="shared" si="22"/>
        <v>455625.68762705289</v>
      </c>
      <c r="BS18" s="2">
        <f t="shared" si="22"/>
        <v>477046.37964245526</v>
      </c>
      <c r="BT18" s="2">
        <f t="shared" si="22"/>
        <v>499489.56879676774</v>
      </c>
      <c r="BU18" s="2">
        <f t="shared" si="22"/>
        <v>523004.88339027978</v>
      </c>
      <c r="BV18" s="2">
        <f t="shared" si="22"/>
        <v>544179.56803630642</v>
      </c>
      <c r="BW18" s="2">
        <f t="shared" si="22"/>
        <v>565446.20859765401</v>
      </c>
      <c r="BX18" s="2">
        <f t="shared" si="22"/>
        <v>587556.2793467897</v>
      </c>
      <c r="BY18" s="2">
        <f t="shared" si="22"/>
        <v>610543.8019130677</v>
      </c>
      <c r="BZ18" s="2">
        <f t="shared" si="22"/>
        <v>634444.19648185861</v>
      </c>
      <c r="CA18" s="2">
        <f t="shared" si="22"/>
        <v>659294.34047375456</v>
      </c>
      <c r="CB18" s="2">
        <f t="shared" si="22"/>
        <v>685132.62973874912</v>
      </c>
    </row>
    <row r="19" spans="2:192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3">+AC19*1.05</f>
        <v>25423.65</v>
      </c>
      <c r="AH19" s="2">
        <f t="shared" si="23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4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5">+BQ19*1.05</f>
        <v>162289.19053462506</v>
      </c>
      <c r="BS19" s="7">
        <f t="shared" si="25"/>
        <v>170403.65006135631</v>
      </c>
      <c r="BT19" s="7">
        <f t="shared" si="25"/>
        <v>178923.83256442414</v>
      </c>
      <c r="BU19" s="7">
        <f t="shared" si="25"/>
        <v>187870.02419264536</v>
      </c>
      <c r="BV19" s="7">
        <f t="shared" si="25"/>
        <v>197263.52540227765</v>
      </c>
      <c r="BW19" s="7">
        <f t="shared" si="25"/>
        <v>207126.70167239153</v>
      </c>
      <c r="BX19" s="7">
        <f t="shared" si="25"/>
        <v>217483.0367560111</v>
      </c>
      <c r="BY19" s="7">
        <f t="shared" si="25"/>
        <v>228357.18859381168</v>
      </c>
      <c r="BZ19" s="7">
        <f t="shared" si="25"/>
        <v>239775.04802350226</v>
      </c>
      <c r="CA19" s="7">
        <f t="shared" si="25"/>
        <v>251763.80042467738</v>
      </c>
      <c r="CB19" s="7">
        <f t="shared" si="25"/>
        <v>264351.99044591124</v>
      </c>
    </row>
    <row r="20" spans="2:192" s="8" customFormat="1" x14ac:dyDescent="0.2">
      <c r="B20" s="8" t="s">
        <v>7</v>
      </c>
      <c r="C20" s="8">
        <f t="shared" ref="C20:F20" si="26">+C18+C19</f>
        <v>88293</v>
      </c>
      <c r="D20" s="8">
        <f t="shared" si="26"/>
        <v>61137</v>
      </c>
      <c r="E20" s="8">
        <f t="shared" si="26"/>
        <v>53265</v>
      </c>
      <c r="F20" s="8">
        <f t="shared" si="26"/>
        <v>62900</v>
      </c>
      <c r="K20" s="8">
        <f t="shared" ref="K20:N20" si="27">+K18+K19</f>
        <v>91819</v>
      </c>
      <c r="L20" s="8">
        <f t="shared" si="27"/>
        <v>58313</v>
      </c>
      <c r="M20" s="8">
        <f t="shared" si="27"/>
        <v>59685</v>
      </c>
      <c r="N20" s="8">
        <f t="shared" si="27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8">+R18+R19</f>
        <v>83360</v>
      </c>
      <c r="S20" s="8">
        <f t="shared" ref="S20" si="29">+S18+S19</f>
        <v>123945</v>
      </c>
      <c r="T20" s="8">
        <f>+T18+T19</f>
        <v>97278</v>
      </c>
      <c r="U20" s="8">
        <f t="shared" ref="U20" si="30">+U18+U19</f>
        <v>82959</v>
      </c>
      <c r="V20" s="8">
        <f>+V18+V19</f>
        <v>90146</v>
      </c>
      <c r="W20" s="8">
        <f>+W19+W18</f>
        <v>117154</v>
      </c>
      <c r="X20" s="8">
        <f t="shared" ref="X20:Z20" si="31">+X19+X18</f>
        <v>94836</v>
      </c>
      <c r="Y20" s="8">
        <f t="shared" si="31"/>
        <v>81797</v>
      </c>
      <c r="Z20" s="8">
        <f t="shared" si="31"/>
        <v>89498</v>
      </c>
      <c r="AA20" s="8">
        <f t="shared" ref="AA20:AB20" si="32">+AA19+AA18</f>
        <v>119575</v>
      </c>
      <c r="AB20" s="8">
        <f t="shared" si="32"/>
        <v>90753</v>
      </c>
      <c r="AC20" s="8">
        <f t="shared" ref="AC20:AF20" si="33">+AC19+AC18</f>
        <v>85777</v>
      </c>
      <c r="AD20" s="8">
        <f t="shared" si="33"/>
        <v>94930</v>
      </c>
      <c r="AE20" s="8">
        <f t="shared" si="33"/>
        <v>124300</v>
      </c>
      <c r="AF20" s="8">
        <f t="shared" si="33"/>
        <v>94047.23000000001</v>
      </c>
      <c r="AG20" s="8">
        <f t="shared" ref="AG20:AH20" si="34">+AG19+AG18</f>
        <v>87603.290000000008</v>
      </c>
      <c r="AH20" s="8">
        <f t="shared" si="34"/>
        <v>96878.180000000008</v>
      </c>
      <c r="AL20" s="8">
        <v>5941</v>
      </c>
      <c r="AM20" s="8">
        <v>6134</v>
      </c>
      <c r="AN20" s="8">
        <f t="shared" ref="AN20:BF20" si="35">+AN18+AN19</f>
        <v>7983</v>
      </c>
      <c r="AO20" s="8">
        <f t="shared" si="35"/>
        <v>5363</v>
      </c>
      <c r="AP20" s="8">
        <f t="shared" si="35"/>
        <v>5742</v>
      </c>
      <c r="AQ20" s="8">
        <f t="shared" si="35"/>
        <v>6207</v>
      </c>
      <c r="AR20" s="8">
        <f t="shared" si="35"/>
        <v>8279</v>
      </c>
      <c r="AS20" s="8">
        <f t="shared" si="35"/>
        <v>13931</v>
      </c>
      <c r="AT20" s="8">
        <f t="shared" si="35"/>
        <v>19315</v>
      </c>
      <c r="AU20" s="16">
        <f t="shared" si="35"/>
        <v>24006</v>
      </c>
      <c r="AV20" s="8">
        <f t="shared" si="35"/>
        <v>37491</v>
      </c>
      <c r="AW20" s="8">
        <f t="shared" si="35"/>
        <v>42905</v>
      </c>
      <c r="AX20" s="8">
        <f t="shared" si="35"/>
        <v>65225</v>
      </c>
      <c r="AY20" s="8">
        <f t="shared" si="35"/>
        <v>108249</v>
      </c>
      <c r="AZ20" s="8">
        <f t="shared" si="35"/>
        <v>156508</v>
      </c>
      <c r="BA20" s="8">
        <f t="shared" si="35"/>
        <v>170910</v>
      </c>
      <c r="BB20" s="8">
        <f t="shared" si="35"/>
        <v>182795</v>
      </c>
      <c r="BC20" s="8">
        <f t="shared" si="35"/>
        <v>233715</v>
      </c>
      <c r="BD20" s="8">
        <f t="shared" si="35"/>
        <v>215639</v>
      </c>
      <c r="BE20" s="8">
        <f t="shared" si="35"/>
        <v>229234</v>
      </c>
      <c r="BF20" s="8">
        <f t="shared" si="35"/>
        <v>265595</v>
      </c>
      <c r="BG20" s="8">
        <f t="shared" ref="BG20" si="36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7">+BL18+BL19</f>
        <v>391035</v>
      </c>
      <c r="BM20" s="8">
        <f t="shared" si="37"/>
        <v>462140.09220093751</v>
      </c>
      <c r="BN20" s="8">
        <f t="shared" si="37"/>
        <v>492425.44209686364</v>
      </c>
      <c r="BO20" s="8">
        <f t="shared" si="37"/>
        <v>524896.54533829715</v>
      </c>
      <c r="BP20" s="8">
        <f t="shared" si="37"/>
        <v>559726.07042836444</v>
      </c>
      <c r="BQ20" s="8">
        <f t="shared" si="37"/>
        <v>589741.33331103472</v>
      </c>
      <c r="BR20" s="8">
        <f t="shared" si="37"/>
        <v>617914.87816167797</v>
      </c>
      <c r="BS20" s="8">
        <f t="shared" si="37"/>
        <v>647450.02970381151</v>
      </c>
      <c r="BT20" s="8">
        <f t="shared" si="37"/>
        <v>678413.40136119188</v>
      </c>
      <c r="BU20" s="8">
        <f t="shared" si="37"/>
        <v>710874.90758292517</v>
      </c>
      <c r="BV20" s="8">
        <f t="shared" si="37"/>
        <v>741443.09343858412</v>
      </c>
      <c r="BW20" s="8">
        <f t="shared" si="37"/>
        <v>772572.91027004551</v>
      </c>
      <c r="BX20" s="8">
        <f t="shared" si="37"/>
        <v>805039.31610280077</v>
      </c>
      <c r="BY20" s="8">
        <f t="shared" si="37"/>
        <v>838900.9905068794</v>
      </c>
      <c r="BZ20" s="8">
        <f t="shared" si="37"/>
        <v>874219.24450536084</v>
      </c>
      <c r="CA20" s="8">
        <f t="shared" si="37"/>
        <v>911058.14089843188</v>
      </c>
      <c r="CB20" s="8">
        <f t="shared" si="37"/>
        <v>949484.62018466042</v>
      </c>
    </row>
    <row r="21" spans="2:192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8">SUM(O21:R21)</f>
        <v>192266</v>
      </c>
      <c r="BJ21" s="7">
        <f t="shared" ref="BJ21:BJ22" si="39">SUM(S21:V21)</f>
        <v>201471</v>
      </c>
      <c r="BK21" s="2">
        <f>SUM(W21:Z21)</f>
        <v>189282</v>
      </c>
      <c r="BL21" s="2">
        <f t="shared" ref="BL21:BL22" si="40">SUM(AA21:AD21)</f>
        <v>185233</v>
      </c>
      <c r="BM21" s="2">
        <f t="shared" ref="BL21:CB21" si="41">+BM18*0.64</f>
        <v>224989.27500860003</v>
      </c>
      <c r="BN21" s="2">
        <f t="shared" si="41"/>
        <v>237293.86054199276</v>
      </c>
      <c r="BO21" s="2">
        <f t="shared" si="41"/>
        <v>250289.52437651018</v>
      </c>
      <c r="BP21" s="2">
        <f t="shared" si="41"/>
        <v>264015.99397015321</v>
      </c>
      <c r="BQ21" s="2">
        <f t="shared" si="41"/>
        <v>278515.32765986217</v>
      </c>
      <c r="BR21" s="2">
        <f t="shared" si="41"/>
        <v>291600.44008131383</v>
      </c>
      <c r="BS21" s="2">
        <f t="shared" si="41"/>
        <v>305309.68297117139</v>
      </c>
      <c r="BT21" s="2">
        <f t="shared" si="41"/>
        <v>319673.32402993133</v>
      </c>
      <c r="BU21" s="2">
        <f t="shared" si="41"/>
        <v>334723.12536977907</v>
      </c>
      <c r="BV21" s="2">
        <f t="shared" si="41"/>
        <v>348274.9235432361</v>
      </c>
      <c r="BW21" s="2">
        <f t="shared" si="41"/>
        <v>361885.57350249856</v>
      </c>
      <c r="BX21" s="2">
        <f t="shared" si="41"/>
        <v>376036.0187819454</v>
      </c>
      <c r="BY21" s="2">
        <f t="shared" si="41"/>
        <v>390748.03322436335</v>
      </c>
      <c r="BZ21" s="2">
        <f t="shared" si="41"/>
        <v>406044.28574838955</v>
      </c>
      <c r="CA21" s="2">
        <f t="shared" si="41"/>
        <v>421948.37790320296</v>
      </c>
      <c r="CB21" s="2">
        <f t="shared" si="41"/>
        <v>438484.88303279947</v>
      </c>
    </row>
    <row r="22" spans="2:192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8"/>
        <v>20715</v>
      </c>
      <c r="BJ22" s="7">
        <f t="shared" si="39"/>
        <v>22075</v>
      </c>
      <c r="BK22" s="2">
        <f>SUM(W22:Z22)</f>
        <v>24855</v>
      </c>
      <c r="BL22" s="2">
        <f t="shared" si="40"/>
        <v>25119</v>
      </c>
      <c r="BM22" s="2">
        <f t="shared" ref="BL22:CB22" si="42">+BM19*0.27</f>
        <v>29860.4745</v>
      </c>
      <c r="BN22" s="2">
        <f t="shared" si="42"/>
        <v>32846.521950000002</v>
      </c>
      <c r="BO22" s="2">
        <f t="shared" si="42"/>
        <v>36131.174145000012</v>
      </c>
      <c r="BP22" s="2">
        <f t="shared" si="42"/>
        <v>39744.291559500016</v>
      </c>
      <c r="BQ22" s="2">
        <f t="shared" si="42"/>
        <v>41731.506137475015</v>
      </c>
      <c r="BR22" s="2">
        <f t="shared" si="42"/>
        <v>43818.081444348769</v>
      </c>
      <c r="BS22" s="2">
        <f t="shared" si="42"/>
        <v>46008.985516566208</v>
      </c>
      <c r="BT22" s="2">
        <f t="shared" si="42"/>
        <v>48309.434792394524</v>
      </c>
      <c r="BU22" s="2">
        <f t="shared" si="42"/>
        <v>50724.906532014247</v>
      </c>
      <c r="BV22" s="2">
        <f t="shared" si="42"/>
        <v>53261.151858614969</v>
      </c>
      <c r="BW22" s="2">
        <f t="shared" si="42"/>
        <v>55924.209451545714</v>
      </c>
      <c r="BX22" s="2">
        <f t="shared" si="42"/>
        <v>58720.419924123002</v>
      </c>
      <c r="BY22" s="2">
        <f t="shared" si="42"/>
        <v>61656.440920329158</v>
      </c>
      <c r="BZ22" s="2">
        <f t="shared" si="42"/>
        <v>64739.26296634561</v>
      </c>
      <c r="CA22" s="2">
        <f t="shared" si="42"/>
        <v>67976.226114662903</v>
      </c>
      <c r="CB22" s="2">
        <f t="shared" si="42"/>
        <v>71375.037420396038</v>
      </c>
    </row>
    <row r="23" spans="2:192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3">+K21+K22</f>
        <v>56602</v>
      </c>
      <c r="L23" s="2">
        <f t="shared" si="43"/>
        <v>35943</v>
      </c>
      <c r="M23" s="2">
        <f t="shared" si="43"/>
        <v>37005</v>
      </c>
      <c r="N23" s="2">
        <f t="shared" si="43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4">+R21+R22</f>
        <v>48186</v>
      </c>
      <c r="S23" s="2">
        <f t="shared" ref="S23" si="45">+S21+S22</f>
        <v>69702</v>
      </c>
      <c r="T23" s="2">
        <f>+T21+T22</f>
        <v>54719</v>
      </c>
      <c r="U23" s="2">
        <f t="shared" ref="U23" si="46">+U21+U22</f>
        <v>47074</v>
      </c>
      <c r="V23" s="2">
        <f t="shared" ref="V23" si="47">+V21+V22</f>
        <v>52051</v>
      </c>
      <c r="W23" s="2">
        <f t="shared" ref="W23:AE23" si="48">+W21+W22</f>
        <v>66822</v>
      </c>
      <c r="X23" s="2">
        <f t="shared" si="48"/>
        <v>52860</v>
      </c>
      <c r="Y23" s="2">
        <f t="shared" si="48"/>
        <v>45384</v>
      </c>
      <c r="Z23" s="2">
        <f t="shared" si="48"/>
        <v>49071</v>
      </c>
      <c r="AA23" s="2">
        <f t="shared" si="48"/>
        <v>64720</v>
      </c>
      <c r="AB23" s="2">
        <f t="shared" si="48"/>
        <v>48482</v>
      </c>
      <c r="AC23" s="2">
        <f t="shared" si="48"/>
        <v>46099</v>
      </c>
      <c r="AD23" s="2">
        <f t="shared" si="48"/>
        <v>51051</v>
      </c>
      <c r="AE23" s="2">
        <f t="shared" si="48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9">+BF21+BF22</f>
        <v>163756</v>
      </c>
      <c r="BG23" s="2">
        <f t="shared" si="49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50">+BK21+BK22</f>
        <v>214137</v>
      </c>
      <c r="BL23" s="2">
        <f t="shared" si="50"/>
        <v>210352</v>
      </c>
      <c r="BM23" s="2">
        <f t="shared" si="50"/>
        <v>254849.74950860004</v>
      </c>
      <c r="BN23" s="2">
        <f t="shared" si="50"/>
        <v>270140.38249199279</v>
      </c>
      <c r="BO23" s="2">
        <f t="shared" si="50"/>
        <v>286420.69852151017</v>
      </c>
      <c r="BP23" s="2">
        <f t="shared" si="50"/>
        <v>303760.28552965325</v>
      </c>
      <c r="BQ23" s="2">
        <f t="shared" si="50"/>
        <v>320246.8337973372</v>
      </c>
      <c r="BR23" s="2">
        <f t="shared" si="50"/>
        <v>335418.52152566263</v>
      </c>
      <c r="BS23" s="2">
        <f t="shared" si="50"/>
        <v>351318.6684877376</v>
      </c>
      <c r="BT23" s="2">
        <f t="shared" si="50"/>
        <v>367982.75882232585</v>
      </c>
      <c r="BU23" s="2">
        <f t="shared" si="50"/>
        <v>385448.03190179332</v>
      </c>
      <c r="BV23" s="2">
        <f t="shared" si="50"/>
        <v>401536.07540185109</v>
      </c>
      <c r="BW23" s="2">
        <f t="shared" si="50"/>
        <v>417809.78295404429</v>
      </c>
      <c r="BX23" s="2">
        <f t="shared" si="50"/>
        <v>434756.43870606838</v>
      </c>
      <c r="BY23" s="2">
        <f t="shared" si="50"/>
        <v>452404.47414469253</v>
      </c>
      <c r="BZ23" s="2">
        <f t="shared" si="50"/>
        <v>470783.54871473514</v>
      </c>
      <c r="CA23" s="2">
        <f t="shared" si="50"/>
        <v>489924.60401786584</v>
      </c>
      <c r="CB23" s="2">
        <f t="shared" si="50"/>
        <v>509859.92045319552</v>
      </c>
    </row>
    <row r="24" spans="2:192" s="2" customFormat="1" x14ac:dyDescent="0.2">
      <c r="B24" s="2" t="s">
        <v>22</v>
      </c>
      <c r="C24" s="2">
        <f t="shared" ref="C24" si="51">+C20-C23</f>
        <v>33912</v>
      </c>
      <c r="D24" s="2">
        <f t="shared" ref="D24:F24" si="52">+D20-D23</f>
        <v>23422</v>
      </c>
      <c r="E24" s="2">
        <f t="shared" si="52"/>
        <v>20421</v>
      </c>
      <c r="F24" s="2">
        <f t="shared" si="52"/>
        <v>24084</v>
      </c>
      <c r="K24" s="2">
        <f t="shared" ref="K24:N24" si="53">+K20-K23</f>
        <v>35217</v>
      </c>
      <c r="L24" s="2">
        <f t="shared" si="53"/>
        <v>22370</v>
      </c>
      <c r="M24" s="2">
        <f t="shared" si="53"/>
        <v>22680</v>
      </c>
      <c r="N24" s="2">
        <f t="shared" si="53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4">+R20-R23</f>
        <v>35174</v>
      </c>
      <c r="S24" s="2">
        <f t="shared" ref="S24" si="55">+S20-S23</f>
        <v>54243</v>
      </c>
      <c r="T24" s="2">
        <f>+T20-T23</f>
        <v>42559</v>
      </c>
      <c r="U24" s="2">
        <f t="shared" ref="U24" si="56">+U20-U23</f>
        <v>35885</v>
      </c>
      <c r="V24" s="2">
        <f t="shared" ref="V24" si="57">+V20-V23</f>
        <v>38095</v>
      </c>
      <c r="W24" s="2">
        <f t="shared" ref="W24:AE24" si="58">+W20-W23</f>
        <v>50332</v>
      </c>
      <c r="X24" s="2">
        <f t="shared" si="58"/>
        <v>41976</v>
      </c>
      <c r="Y24" s="2">
        <f t="shared" si="58"/>
        <v>36413</v>
      </c>
      <c r="Z24" s="2">
        <f t="shared" si="58"/>
        <v>40427</v>
      </c>
      <c r="AA24" s="2">
        <f t="shared" si="58"/>
        <v>54855</v>
      </c>
      <c r="AB24" s="2">
        <f t="shared" si="58"/>
        <v>42271</v>
      </c>
      <c r="AC24" s="2">
        <f t="shared" si="58"/>
        <v>39678</v>
      </c>
      <c r="AD24" s="2">
        <f t="shared" si="58"/>
        <v>43879</v>
      </c>
      <c r="AE24" s="2">
        <f t="shared" si="58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9">+AN20-AN23</f>
        <v>2166</v>
      </c>
      <c r="AO24" s="2">
        <f t="shared" si="59"/>
        <v>1235</v>
      </c>
      <c r="AP24" s="2">
        <f>+AP20-AP23</f>
        <v>1603</v>
      </c>
      <c r="AQ24" s="2">
        <f t="shared" ref="AQ24:AR24" si="60">+AQ20-AQ23</f>
        <v>1708</v>
      </c>
      <c r="AR24" s="2">
        <f t="shared" si="60"/>
        <v>2259</v>
      </c>
      <c r="AS24" s="2">
        <f t="shared" ref="AS24:AT24" si="61">+AS20-AS23</f>
        <v>4043</v>
      </c>
      <c r="AT24" s="2">
        <f t="shared" si="61"/>
        <v>5598</v>
      </c>
      <c r="AU24" s="2">
        <f t="shared" ref="AU24:AV24" si="62">+AU20-AU23</f>
        <v>8154</v>
      </c>
      <c r="AV24" s="2">
        <f t="shared" si="62"/>
        <v>13197</v>
      </c>
      <c r="AW24" s="2">
        <f t="shared" ref="AW24:AY24" si="63">+AW20-AW23</f>
        <v>17222</v>
      </c>
      <c r="AX24" s="2">
        <f t="shared" si="63"/>
        <v>25684</v>
      </c>
      <c r="AY24" s="2">
        <f t="shared" si="63"/>
        <v>43818</v>
      </c>
      <c r="AZ24" s="2">
        <f t="shared" ref="AZ24:BE24" si="64">+AZ20-AZ23</f>
        <v>68662</v>
      </c>
      <c r="BA24" s="2">
        <f t="shared" si="64"/>
        <v>64304</v>
      </c>
      <c r="BB24" s="2">
        <f t="shared" si="64"/>
        <v>70537</v>
      </c>
      <c r="BC24" s="2">
        <f t="shared" si="64"/>
        <v>93626</v>
      </c>
      <c r="BD24" s="2">
        <f t="shared" si="64"/>
        <v>84263</v>
      </c>
      <c r="BE24" s="2">
        <f t="shared" si="64"/>
        <v>88186</v>
      </c>
      <c r="BF24" s="2">
        <f t="shared" ref="BF24:BG24" si="65">+BF20-BF23</f>
        <v>101839</v>
      </c>
      <c r="BG24" s="2">
        <f t="shared" si="65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6">+BK20-BK23</f>
        <v>169148</v>
      </c>
      <c r="BL24" s="2">
        <f t="shared" si="66"/>
        <v>180683</v>
      </c>
      <c r="BM24" s="2">
        <f t="shared" si="66"/>
        <v>207290.34269233746</v>
      </c>
      <c r="BN24" s="2">
        <f t="shared" si="66"/>
        <v>222285.05960487085</v>
      </c>
      <c r="BO24" s="2">
        <f t="shared" si="66"/>
        <v>238475.84681678697</v>
      </c>
      <c r="BP24" s="2">
        <f t="shared" si="66"/>
        <v>255965.78489871119</v>
      </c>
      <c r="BQ24" s="2">
        <f t="shared" si="66"/>
        <v>269494.49951369752</v>
      </c>
      <c r="BR24" s="2">
        <f t="shared" si="66"/>
        <v>282496.35663601535</v>
      </c>
      <c r="BS24" s="2">
        <f t="shared" si="66"/>
        <v>296131.36121607391</v>
      </c>
      <c r="BT24" s="2">
        <f t="shared" si="66"/>
        <v>310430.64253886603</v>
      </c>
      <c r="BU24" s="2">
        <f t="shared" si="66"/>
        <v>325426.87568113185</v>
      </c>
      <c r="BV24" s="2">
        <f t="shared" si="66"/>
        <v>339907.01803673303</v>
      </c>
      <c r="BW24" s="2">
        <f t="shared" si="66"/>
        <v>354763.12731600122</v>
      </c>
      <c r="BX24" s="2">
        <f t="shared" si="66"/>
        <v>370282.87739673239</v>
      </c>
      <c r="BY24" s="2">
        <f t="shared" si="66"/>
        <v>386496.51636218687</v>
      </c>
      <c r="BZ24" s="2">
        <f t="shared" si="66"/>
        <v>403435.6957906257</v>
      </c>
      <c r="CA24" s="2">
        <f t="shared" si="66"/>
        <v>421133.53688056604</v>
      </c>
      <c r="CB24" s="2">
        <f t="shared" si="66"/>
        <v>439624.69973146491</v>
      </c>
    </row>
    <row r="25" spans="2:192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7">+AC25</f>
        <v>8006</v>
      </c>
      <c r="AH25" s="2">
        <f t="shared" ref="AH25:AH26" si="68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9">SUM(O25:R25)</f>
        <v>21914</v>
      </c>
      <c r="BJ25" s="7">
        <f t="shared" ref="BJ25:BJ26" si="70">SUM(S25:V25)</f>
        <v>26251</v>
      </c>
      <c r="BK25" s="2">
        <f>SUM(W25:Z25)</f>
        <v>29915</v>
      </c>
      <c r="BL25" s="2">
        <f t="shared" ref="BL25:BL26" si="71">SUM(AA25:AD25)</f>
        <v>31370</v>
      </c>
      <c r="BM25" s="2">
        <f t="shared" ref="BL25:CB25" si="72">+BL25*1.03</f>
        <v>32311.100000000002</v>
      </c>
      <c r="BN25" s="2">
        <f t="shared" si="72"/>
        <v>33280.433000000005</v>
      </c>
      <c r="BO25" s="2">
        <f t="shared" si="72"/>
        <v>34278.845990000009</v>
      </c>
      <c r="BP25" s="2">
        <f t="shared" si="72"/>
        <v>35307.21136970001</v>
      </c>
      <c r="BQ25" s="2">
        <f t="shared" si="72"/>
        <v>36366.427710791009</v>
      </c>
      <c r="BR25" s="2">
        <f t="shared" si="72"/>
        <v>37457.420542114742</v>
      </c>
      <c r="BS25" s="2">
        <f t="shared" si="72"/>
        <v>38581.143158378181</v>
      </c>
      <c r="BT25" s="2">
        <f t="shared" si="72"/>
        <v>39738.577453129525</v>
      </c>
      <c r="BU25" s="2">
        <f t="shared" si="72"/>
        <v>40930.73477672341</v>
      </c>
      <c r="BV25" s="2">
        <f t="shared" si="72"/>
        <v>42158.656820025113</v>
      </c>
      <c r="BW25" s="2">
        <f t="shared" si="72"/>
        <v>43423.416524625871</v>
      </c>
      <c r="BX25" s="2">
        <f t="shared" si="72"/>
        <v>44726.119020364647</v>
      </c>
      <c r="BY25" s="2">
        <f t="shared" si="72"/>
        <v>46067.902590975587</v>
      </c>
      <c r="BZ25" s="2">
        <f t="shared" si="72"/>
        <v>47449.939668704857</v>
      </c>
      <c r="CA25" s="2">
        <f t="shared" si="72"/>
        <v>48873.437858766003</v>
      </c>
      <c r="CB25" s="2">
        <f t="shared" si="72"/>
        <v>50339.640994528985</v>
      </c>
    </row>
    <row r="26" spans="2:192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3">+AB26</f>
        <v>6468</v>
      </c>
      <c r="AG26" s="2">
        <f t="shared" si="67"/>
        <v>6320</v>
      </c>
      <c r="AH26" s="2">
        <f t="shared" si="68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9"/>
        <v>21973</v>
      </c>
      <c r="BJ26" s="7">
        <f t="shared" si="70"/>
        <v>25094</v>
      </c>
      <c r="BK26" s="2">
        <f>SUM(W26:Z26)</f>
        <v>24932</v>
      </c>
      <c r="BL26" s="2">
        <f t="shared" si="71"/>
        <v>26097</v>
      </c>
      <c r="BM26" s="2">
        <f t="shared" ref="BK26:CB26" si="74">+BL26*1.03</f>
        <v>26879.91</v>
      </c>
      <c r="BN26" s="2">
        <f t="shared" si="74"/>
        <v>27686.3073</v>
      </c>
      <c r="BO26" s="2">
        <f t="shared" si="74"/>
        <v>28516.896519000002</v>
      </c>
      <c r="BP26" s="2">
        <f t="shared" si="74"/>
        <v>29372.403414570002</v>
      </c>
      <c r="BQ26" s="2">
        <f t="shared" si="74"/>
        <v>30253.575517007102</v>
      </c>
      <c r="BR26" s="2">
        <f t="shared" si="74"/>
        <v>31161.182782517317</v>
      </c>
      <c r="BS26" s="2">
        <f t="shared" si="74"/>
        <v>32096.018265992836</v>
      </c>
      <c r="BT26" s="2">
        <f t="shared" si="74"/>
        <v>33058.898813972621</v>
      </c>
      <c r="BU26" s="2">
        <f t="shared" si="74"/>
        <v>34050.665778391798</v>
      </c>
      <c r="BV26" s="2">
        <f t="shared" si="74"/>
        <v>35072.185751743556</v>
      </c>
      <c r="BW26" s="2">
        <f t="shared" si="74"/>
        <v>36124.351324295865</v>
      </c>
      <c r="BX26" s="2">
        <f t="shared" si="74"/>
        <v>37208.081864024745</v>
      </c>
      <c r="BY26" s="2">
        <f t="shared" si="74"/>
        <v>38324.324319945488</v>
      </c>
      <c r="BZ26" s="2">
        <f t="shared" si="74"/>
        <v>39474.054049543854</v>
      </c>
      <c r="CA26" s="2">
        <f t="shared" si="74"/>
        <v>40658.275671030169</v>
      </c>
      <c r="CB26" s="2">
        <f t="shared" si="74"/>
        <v>41878.023941161075</v>
      </c>
    </row>
    <row r="27" spans="2:192" s="2" customFormat="1" x14ac:dyDescent="0.2">
      <c r="B27" s="2" t="s">
        <v>28</v>
      </c>
      <c r="C27" s="2">
        <f t="shared" ref="C27" si="75">+C25+C26</f>
        <v>7638</v>
      </c>
      <c r="D27" s="2">
        <f t="shared" ref="D27:F27" si="76">+D25+D26</f>
        <v>7528</v>
      </c>
      <c r="E27" s="2">
        <f t="shared" si="76"/>
        <v>7809</v>
      </c>
      <c r="F27" s="2">
        <f t="shared" si="76"/>
        <v>7966</v>
      </c>
      <c r="K27" s="2">
        <f t="shared" ref="K27:N27" si="77">+K25+K26</f>
        <v>9648</v>
      </c>
      <c r="L27" s="2">
        <f t="shared" si="77"/>
        <v>9517</v>
      </c>
      <c r="M27" s="2">
        <f t="shared" si="77"/>
        <v>9589</v>
      </c>
      <c r="N27" s="2">
        <f t="shared" si="77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8">+R25+R26</f>
        <v>11388</v>
      </c>
      <c r="S27" s="2">
        <f t="shared" ref="S27" si="79">+S25+S26</f>
        <v>12755</v>
      </c>
      <c r="T27" s="2">
        <f>+T25+T26</f>
        <v>12580</v>
      </c>
      <c r="U27" s="2">
        <f t="shared" ref="U27" si="80">+U25+U26</f>
        <v>12809</v>
      </c>
      <c r="V27" s="2">
        <f t="shared" ref="V27:Z27" si="81">+V25+V26</f>
        <v>13201</v>
      </c>
      <c r="W27" s="2">
        <f t="shared" si="81"/>
        <v>14316</v>
      </c>
      <c r="X27" s="2">
        <f t="shared" si="81"/>
        <v>13658</v>
      </c>
      <c r="Y27" s="2">
        <f t="shared" si="81"/>
        <v>13415</v>
      </c>
      <c r="Z27" s="2">
        <f t="shared" si="81"/>
        <v>13458</v>
      </c>
      <c r="AA27" s="2">
        <f t="shared" ref="AA27:AB27" si="82">+AA25+AA26</f>
        <v>14482</v>
      </c>
      <c r="AB27" s="2">
        <f t="shared" si="82"/>
        <v>14371</v>
      </c>
      <c r="AC27" s="2">
        <f t="shared" ref="AC27:AD27" si="83">+AC25+AC26</f>
        <v>14326</v>
      </c>
      <c r="AD27" s="2">
        <f t="shared" si="83"/>
        <v>14288</v>
      </c>
      <c r="AE27" s="2">
        <f t="shared" ref="AE27:AH27" si="84">+AE25+AE26</f>
        <v>15443</v>
      </c>
      <c r="AF27" s="2">
        <f t="shared" si="84"/>
        <v>14371</v>
      </c>
      <c r="AG27" s="2">
        <f t="shared" si="84"/>
        <v>14326</v>
      </c>
      <c r="AH27" s="2">
        <f t="shared" si="84"/>
        <v>14288</v>
      </c>
      <c r="AN27" s="2">
        <f t="shared" ref="AN27:AO27" si="85">+AN25+AN26</f>
        <v>1546</v>
      </c>
      <c r="AO27" s="2">
        <f t="shared" si="85"/>
        <v>1568</v>
      </c>
      <c r="AP27" s="2">
        <f t="shared" ref="AP27:AR27" si="86">+AP25+AP26</f>
        <v>1555</v>
      </c>
      <c r="AQ27" s="2">
        <f t="shared" si="86"/>
        <v>1683</v>
      </c>
      <c r="AR27" s="2">
        <f t="shared" si="86"/>
        <v>1910</v>
      </c>
      <c r="AS27" s="2">
        <f t="shared" ref="AS27:AT27" si="87">+AS25+AS26</f>
        <v>2393</v>
      </c>
      <c r="AT27" s="2">
        <f t="shared" si="87"/>
        <v>3145</v>
      </c>
      <c r="AU27" s="2">
        <f t="shared" ref="AU27:AV27" si="88">+AU25+AU26</f>
        <v>3745</v>
      </c>
      <c r="AV27" s="2">
        <f t="shared" si="88"/>
        <v>4870</v>
      </c>
      <c r="AW27" s="2">
        <f t="shared" ref="AW27:AY27" si="89">+AW25+AW26</f>
        <v>5482</v>
      </c>
      <c r="AX27" s="2">
        <f t="shared" si="89"/>
        <v>7299</v>
      </c>
      <c r="AY27" s="2">
        <f t="shared" si="89"/>
        <v>10028</v>
      </c>
      <c r="AZ27" s="2">
        <f t="shared" ref="AZ27:BE27" si="90">+AZ25+AZ26</f>
        <v>13421</v>
      </c>
      <c r="BA27" s="2">
        <f t="shared" si="90"/>
        <v>15305</v>
      </c>
      <c r="BB27" s="2">
        <f t="shared" si="90"/>
        <v>18034</v>
      </c>
      <c r="BC27" s="2">
        <f t="shared" si="90"/>
        <v>22396</v>
      </c>
      <c r="BD27" s="2">
        <f t="shared" si="90"/>
        <v>24239</v>
      </c>
      <c r="BE27" s="2">
        <f t="shared" si="90"/>
        <v>26842</v>
      </c>
      <c r="BF27" s="2">
        <f t="shared" ref="BF27:BG27" si="91">+BF25+BF26</f>
        <v>30941</v>
      </c>
      <c r="BG27" s="2">
        <f t="shared" si="91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2">+BK25+BK26</f>
        <v>54847</v>
      </c>
      <c r="BL27" s="2">
        <f t="shared" si="92"/>
        <v>57467</v>
      </c>
      <c r="BM27" s="2">
        <f t="shared" si="92"/>
        <v>59191.01</v>
      </c>
      <c r="BN27" s="2">
        <f t="shared" si="92"/>
        <v>60966.740300000005</v>
      </c>
      <c r="BO27" s="2">
        <f t="shared" si="92"/>
        <v>62795.742509000011</v>
      </c>
      <c r="BP27" s="2">
        <f t="shared" si="92"/>
        <v>64679.614784270016</v>
      </c>
      <c r="BQ27" s="2">
        <f t="shared" si="92"/>
        <v>66620.003227798108</v>
      </c>
      <c r="BR27" s="2">
        <f t="shared" si="92"/>
        <v>68618.603324632059</v>
      </c>
      <c r="BS27" s="2">
        <f t="shared" si="92"/>
        <v>70677.161424371021</v>
      </c>
      <c r="BT27" s="2">
        <f t="shared" si="92"/>
        <v>72797.476267102145</v>
      </c>
      <c r="BU27" s="2">
        <f t="shared" si="92"/>
        <v>74981.400555115208</v>
      </c>
      <c r="BV27" s="2">
        <f t="shared" si="92"/>
        <v>77230.842571768677</v>
      </c>
      <c r="BW27" s="2">
        <f t="shared" si="92"/>
        <v>79547.767848921736</v>
      </c>
      <c r="BX27" s="2">
        <f t="shared" si="92"/>
        <v>81934.2008843894</v>
      </c>
      <c r="BY27" s="2">
        <f t="shared" si="92"/>
        <v>84392.226910921076</v>
      </c>
      <c r="BZ27" s="2">
        <f t="shared" si="92"/>
        <v>86923.993718248705</v>
      </c>
      <c r="CA27" s="2">
        <f t="shared" si="92"/>
        <v>89531.713529796165</v>
      </c>
      <c r="CB27" s="2">
        <f t="shared" si="92"/>
        <v>92217.66493569006</v>
      </c>
    </row>
    <row r="28" spans="2:192" s="2" customFormat="1" x14ac:dyDescent="0.2">
      <c r="B28" s="2" t="s">
        <v>29</v>
      </c>
      <c r="C28" s="2">
        <f t="shared" ref="C28" si="93">+C24-C27</f>
        <v>26274</v>
      </c>
      <c r="D28" s="2">
        <f t="shared" ref="D28:F28" si="94">+D24-D27</f>
        <v>15894</v>
      </c>
      <c r="E28" s="2">
        <f t="shared" si="94"/>
        <v>12612</v>
      </c>
      <c r="F28" s="2">
        <f t="shared" si="94"/>
        <v>16118</v>
      </c>
      <c r="K28" s="2">
        <f t="shared" ref="K28:N28" si="95">+K24-K27</f>
        <v>25569</v>
      </c>
      <c r="L28" s="2">
        <f t="shared" si="95"/>
        <v>12853</v>
      </c>
      <c r="M28" s="2">
        <f t="shared" si="95"/>
        <v>13091</v>
      </c>
      <c r="N28" s="2">
        <f t="shared" si="95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6">+R24-R27</f>
        <v>23786</v>
      </c>
      <c r="S28" s="2">
        <f t="shared" ref="S28" si="97">+S24-S27</f>
        <v>41488</v>
      </c>
      <c r="T28" s="2">
        <f>+T24-T27</f>
        <v>29979</v>
      </c>
      <c r="U28" s="2">
        <f t="shared" ref="U28" si="98">+U24-U27</f>
        <v>23076</v>
      </c>
      <c r="V28" s="2">
        <f t="shared" ref="V28:Z28" si="99">+V24-V27</f>
        <v>24894</v>
      </c>
      <c r="W28" s="2">
        <f t="shared" si="99"/>
        <v>36016</v>
      </c>
      <c r="X28" s="2">
        <f t="shared" si="99"/>
        <v>28318</v>
      </c>
      <c r="Y28" s="2">
        <f t="shared" si="99"/>
        <v>22998</v>
      </c>
      <c r="Z28" s="2">
        <f t="shared" si="99"/>
        <v>26969</v>
      </c>
      <c r="AA28" s="2">
        <f t="shared" ref="AA28:AB28" si="100">+AA24-AA27</f>
        <v>40373</v>
      </c>
      <c r="AB28" s="2">
        <f t="shared" si="100"/>
        <v>27900</v>
      </c>
      <c r="AC28" s="2">
        <f t="shared" ref="AC28:AD28" si="101">+AC24-AC27</f>
        <v>25352</v>
      </c>
      <c r="AD28" s="2">
        <f t="shared" si="101"/>
        <v>29591</v>
      </c>
      <c r="AE28" s="2">
        <f t="shared" ref="AE28:AH28" si="102">+AE24-AE27</f>
        <v>42832</v>
      </c>
      <c r="AF28" s="2">
        <f t="shared" si="102"/>
        <v>29831.198100000001</v>
      </c>
      <c r="AG28" s="2">
        <f t="shared" si="102"/>
        <v>26847.546300000002</v>
      </c>
      <c r="AH28" s="2">
        <f t="shared" si="102"/>
        <v>31244.744599999998</v>
      </c>
      <c r="AN28" s="2">
        <f t="shared" ref="AN28:AO28" si="103">+AN24-AN27</f>
        <v>620</v>
      </c>
      <c r="AO28" s="2">
        <f t="shared" si="103"/>
        <v>-333</v>
      </c>
      <c r="AP28" s="2">
        <f t="shared" ref="AP28:AR28" si="104">+AP24-AP27</f>
        <v>48</v>
      </c>
      <c r="AQ28" s="2">
        <f t="shared" si="104"/>
        <v>25</v>
      </c>
      <c r="AR28" s="2">
        <f t="shared" si="104"/>
        <v>349</v>
      </c>
      <c r="AS28" s="2">
        <f t="shared" ref="AS28:AT28" si="105">+AS24-AS27</f>
        <v>1650</v>
      </c>
      <c r="AT28" s="2">
        <f t="shared" si="105"/>
        <v>2453</v>
      </c>
      <c r="AU28" s="2">
        <f t="shared" ref="AU28:AV28" si="106">+AU24-AU27</f>
        <v>4409</v>
      </c>
      <c r="AV28" s="2">
        <f t="shared" si="106"/>
        <v>8327</v>
      </c>
      <c r="AW28" s="2">
        <f t="shared" ref="AW28:AY28" si="107">+AW24-AW27</f>
        <v>11740</v>
      </c>
      <c r="AX28" s="2">
        <f t="shared" si="107"/>
        <v>18385</v>
      </c>
      <c r="AY28" s="2">
        <f t="shared" si="107"/>
        <v>33790</v>
      </c>
      <c r="AZ28" s="2">
        <f t="shared" ref="AZ28:BE28" si="108">+AZ24-AZ27</f>
        <v>55241</v>
      </c>
      <c r="BA28" s="2">
        <f t="shared" si="108"/>
        <v>48999</v>
      </c>
      <c r="BB28" s="2">
        <f t="shared" si="108"/>
        <v>52503</v>
      </c>
      <c r="BC28" s="2">
        <f t="shared" si="108"/>
        <v>71230</v>
      </c>
      <c r="BD28" s="2">
        <f t="shared" si="108"/>
        <v>60024</v>
      </c>
      <c r="BE28" s="2">
        <f t="shared" si="108"/>
        <v>61344</v>
      </c>
      <c r="BF28" s="2">
        <f t="shared" ref="BF28:BG28" si="109">+BF24-BF27</f>
        <v>70898</v>
      </c>
      <c r="BG28" s="2">
        <f t="shared" si="109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10">+BK24-BK27</f>
        <v>114301</v>
      </c>
      <c r="BL28" s="2">
        <f t="shared" si="110"/>
        <v>123216</v>
      </c>
      <c r="BM28" s="2">
        <f t="shared" si="110"/>
        <v>148099.33269233746</v>
      </c>
      <c r="BN28" s="2">
        <f t="shared" si="110"/>
        <v>161318.31930487085</v>
      </c>
      <c r="BO28" s="2">
        <f t="shared" si="110"/>
        <v>175680.10430778697</v>
      </c>
      <c r="BP28" s="2">
        <f t="shared" si="110"/>
        <v>191286.17011444119</v>
      </c>
      <c r="BQ28" s="2">
        <f t="shared" si="110"/>
        <v>202874.49628589943</v>
      </c>
      <c r="BR28" s="2">
        <f t="shared" si="110"/>
        <v>213877.75331138331</v>
      </c>
      <c r="BS28" s="2">
        <f t="shared" si="110"/>
        <v>225454.19979170291</v>
      </c>
      <c r="BT28" s="2">
        <f t="shared" si="110"/>
        <v>237633.16627176388</v>
      </c>
      <c r="BU28" s="2">
        <f t="shared" si="110"/>
        <v>250445.47512601665</v>
      </c>
      <c r="BV28" s="2">
        <f t="shared" si="110"/>
        <v>262676.17546496436</v>
      </c>
      <c r="BW28" s="2">
        <f t="shared" si="110"/>
        <v>275215.35946707951</v>
      </c>
      <c r="BX28" s="2">
        <f t="shared" si="110"/>
        <v>288348.67651234299</v>
      </c>
      <c r="BY28" s="2">
        <f t="shared" si="110"/>
        <v>302104.28945126582</v>
      </c>
      <c r="BZ28" s="2">
        <f t="shared" si="110"/>
        <v>316511.70207237697</v>
      </c>
      <c r="CA28" s="2">
        <f t="shared" si="110"/>
        <v>331601.82335076988</v>
      </c>
      <c r="CB28" s="2">
        <f t="shared" si="110"/>
        <v>347407.03479577485</v>
      </c>
    </row>
    <row r="29" spans="2:192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1">SUM(O29:R29)</f>
        <v>258</v>
      </c>
      <c r="BJ29" s="7">
        <f t="shared" ref="BJ29" si="112">SUM(S29:V29)</f>
        <v>-334</v>
      </c>
      <c r="BK29" s="2">
        <f>SUM(W29:Z29)</f>
        <v>-565</v>
      </c>
      <c r="BL29" s="2">
        <f t="shared" ref="BL29:BL31" si="113">SUM(AA29:AD29)</f>
        <v>269</v>
      </c>
    </row>
    <row r="30" spans="2:192" s="2" customFormat="1" x14ac:dyDescent="0.2">
      <c r="B30" s="2" t="s">
        <v>34</v>
      </c>
      <c r="C30" s="2">
        <f t="shared" ref="C30" si="114">+C28+C29</f>
        <v>27030</v>
      </c>
      <c r="D30" s="2">
        <f t="shared" ref="D30:F30" si="115">+D28+D29</f>
        <v>16168</v>
      </c>
      <c r="E30" s="2">
        <f t="shared" si="115"/>
        <v>13284</v>
      </c>
      <c r="F30" s="2">
        <f t="shared" si="115"/>
        <v>16421</v>
      </c>
      <c r="K30" s="2">
        <f t="shared" ref="K30:N30" si="116">+K28+K29</f>
        <v>25918</v>
      </c>
      <c r="L30" s="2">
        <f t="shared" si="116"/>
        <v>13135</v>
      </c>
      <c r="M30" s="2">
        <f t="shared" si="116"/>
        <v>13137</v>
      </c>
      <c r="N30" s="2">
        <f t="shared" si="116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7">+R28+R29</f>
        <v>23248</v>
      </c>
      <c r="S30" s="2">
        <f t="shared" ref="S30" si="118">+S28+S29</f>
        <v>41241</v>
      </c>
      <c r="T30" s="2">
        <f>+T28+T29</f>
        <v>30139</v>
      </c>
      <c r="U30" s="2">
        <f t="shared" ref="U30:Z30" si="119">+U28+U29</f>
        <v>23066</v>
      </c>
      <c r="V30" s="2">
        <f t="shared" si="119"/>
        <v>24657</v>
      </c>
      <c r="W30" s="2">
        <f t="shared" si="119"/>
        <v>35623</v>
      </c>
      <c r="X30" s="2">
        <f t="shared" si="119"/>
        <v>28382</v>
      </c>
      <c r="Y30" s="2">
        <f t="shared" si="119"/>
        <v>22733</v>
      </c>
      <c r="Z30" s="2">
        <f t="shared" si="119"/>
        <v>26998</v>
      </c>
      <c r="AA30" s="2">
        <f t="shared" ref="AA30:AB30" si="120">+AA28+AA29</f>
        <v>40323</v>
      </c>
      <c r="AB30" s="2">
        <f t="shared" si="120"/>
        <v>28058</v>
      </c>
      <c r="AC30" s="2">
        <f t="shared" ref="AC30:AD30" si="121">+AC28+AC29</f>
        <v>25494</v>
      </c>
      <c r="AD30" s="2">
        <f t="shared" si="121"/>
        <v>29610</v>
      </c>
      <c r="AE30" s="2">
        <f t="shared" ref="AE30:AH30" si="122">+AE28+AE29</f>
        <v>42584</v>
      </c>
      <c r="AF30" s="2">
        <f t="shared" si="122"/>
        <v>29831.198100000001</v>
      </c>
      <c r="AG30" s="2">
        <f t="shared" si="122"/>
        <v>26847.546300000002</v>
      </c>
      <c r="AH30" s="2">
        <f t="shared" si="122"/>
        <v>31244.744599999998</v>
      </c>
      <c r="AN30" s="2">
        <f t="shared" ref="AN30:AO30" si="123">+AN28+AN29</f>
        <v>823</v>
      </c>
      <c r="AO30" s="2">
        <f t="shared" si="123"/>
        <v>-116</v>
      </c>
      <c r="AP30" s="2">
        <f t="shared" ref="AP30:AR30" si="124">+AP28+AP29</f>
        <v>118</v>
      </c>
      <c r="AQ30" s="2">
        <f t="shared" si="124"/>
        <v>118</v>
      </c>
      <c r="AR30" s="2">
        <f t="shared" si="124"/>
        <v>406</v>
      </c>
      <c r="AS30" s="2">
        <f t="shared" ref="AS30:AT30" si="125">+AS28+AS29</f>
        <v>1815</v>
      </c>
      <c r="AT30" s="2">
        <f t="shared" si="125"/>
        <v>2818</v>
      </c>
      <c r="AU30" s="2">
        <f t="shared" ref="AU30:AV30" si="126">+AU28+AU29</f>
        <v>5008</v>
      </c>
      <c r="AV30" s="2">
        <f t="shared" si="126"/>
        <v>8947</v>
      </c>
      <c r="AW30" s="2">
        <f t="shared" ref="AW30:AY30" si="127">+AW28+AW29</f>
        <v>12066</v>
      </c>
      <c r="AX30" s="2">
        <f t="shared" si="127"/>
        <v>18540</v>
      </c>
      <c r="AY30" s="2">
        <f t="shared" si="127"/>
        <v>34205</v>
      </c>
      <c r="AZ30" s="2">
        <f t="shared" ref="AZ30:BE30" si="128">+AZ28+AZ29</f>
        <v>55763</v>
      </c>
      <c r="BA30" s="2">
        <f t="shared" si="128"/>
        <v>50155</v>
      </c>
      <c r="BB30" s="2">
        <f t="shared" si="128"/>
        <v>53483</v>
      </c>
      <c r="BC30" s="2">
        <f t="shared" si="128"/>
        <v>72515</v>
      </c>
      <c r="BD30" s="2">
        <f t="shared" si="128"/>
        <v>61372</v>
      </c>
      <c r="BE30" s="2">
        <f t="shared" si="128"/>
        <v>64089</v>
      </c>
      <c r="BF30" s="2">
        <f t="shared" ref="BF30:BG30" si="129">+BF28+BF29</f>
        <v>72903</v>
      </c>
      <c r="BG30" s="2">
        <f t="shared" si="129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30">+BK28+BK29</f>
        <v>113736</v>
      </c>
      <c r="BL30" s="2">
        <f t="shared" si="130"/>
        <v>123485</v>
      </c>
      <c r="BM30" s="2">
        <f t="shared" si="130"/>
        <v>148099.33269233746</v>
      </c>
      <c r="BN30" s="2">
        <f t="shared" si="130"/>
        <v>161318.31930487085</v>
      </c>
      <c r="BO30" s="2">
        <f t="shared" si="130"/>
        <v>175680.10430778697</v>
      </c>
      <c r="BP30" s="2">
        <f t="shared" si="130"/>
        <v>191286.17011444119</v>
      </c>
      <c r="BQ30" s="2">
        <f t="shared" si="130"/>
        <v>202874.49628589943</v>
      </c>
      <c r="BR30" s="2">
        <f t="shared" si="130"/>
        <v>213877.75331138331</v>
      </c>
      <c r="BS30" s="2">
        <f t="shared" si="130"/>
        <v>225454.19979170291</v>
      </c>
      <c r="BT30" s="2">
        <f t="shared" si="130"/>
        <v>237633.16627176388</v>
      </c>
      <c r="BU30" s="2">
        <f t="shared" si="130"/>
        <v>250445.47512601665</v>
      </c>
      <c r="BV30" s="2">
        <f t="shared" si="130"/>
        <v>262676.17546496436</v>
      </c>
      <c r="BW30" s="2">
        <f t="shared" si="130"/>
        <v>275215.35946707951</v>
      </c>
      <c r="BX30" s="2">
        <f t="shared" si="130"/>
        <v>288348.67651234299</v>
      </c>
      <c r="BY30" s="2">
        <f t="shared" si="130"/>
        <v>302104.28945126582</v>
      </c>
      <c r="BZ30" s="2">
        <f t="shared" si="130"/>
        <v>316511.70207237697</v>
      </c>
      <c r="CA30" s="2">
        <f t="shared" si="130"/>
        <v>331601.82335076988</v>
      </c>
      <c r="CB30" s="2">
        <f t="shared" si="130"/>
        <v>347407.03479577485</v>
      </c>
    </row>
    <row r="31" spans="2:192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1">SUM(O31:R31)</f>
        <v>14527</v>
      </c>
      <c r="BJ31" s="7">
        <f t="shared" ref="BJ31" si="132">SUM(S31:V31)</f>
        <v>19300</v>
      </c>
      <c r="BK31" s="2">
        <f>SUM(W31:Z31)</f>
        <v>16741</v>
      </c>
      <c r="BL31" s="2">
        <f t="shared" si="113"/>
        <v>29749</v>
      </c>
      <c r="BM31" s="2">
        <f t="shared" ref="BL31:CB31" si="133">+BM30*0.2</f>
        <v>29619.866538467493</v>
      </c>
      <c r="BN31" s="2">
        <f t="shared" si="133"/>
        <v>32263.663860974171</v>
      </c>
      <c r="BO31" s="2">
        <f t="shared" si="133"/>
        <v>35136.020861557394</v>
      </c>
      <c r="BP31" s="2">
        <f t="shared" si="133"/>
        <v>38257.234022888239</v>
      </c>
      <c r="BQ31" s="2">
        <f t="shared" si="133"/>
        <v>40574.899257179888</v>
      </c>
      <c r="BR31" s="2">
        <f t="shared" si="133"/>
        <v>42775.550662276662</v>
      </c>
      <c r="BS31" s="2">
        <f t="shared" si="133"/>
        <v>45090.839958340584</v>
      </c>
      <c r="BT31" s="2">
        <f t="shared" si="133"/>
        <v>47526.633254352782</v>
      </c>
      <c r="BU31" s="2">
        <f t="shared" si="133"/>
        <v>50089.095025203336</v>
      </c>
      <c r="BV31" s="2">
        <f t="shared" si="133"/>
        <v>52535.235092992873</v>
      </c>
      <c r="BW31" s="2">
        <f t="shared" si="133"/>
        <v>55043.071893415909</v>
      </c>
      <c r="BX31" s="2">
        <f t="shared" si="133"/>
        <v>57669.735302468602</v>
      </c>
      <c r="BY31" s="2">
        <f t="shared" si="133"/>
        <v>60420.857890253166</v>
      </c>
      <c r="BZ31" s="2">
        <f t="shared" si="133"/>
        <v>63302.340414475395</v>
      </c>
      <c r="CA31" s="2">
        <f t="shared" si="133"/>
        <v>66320.364670153984</v>
      </c>
      <c r="CB31" s="2">
        <f t="shared" si="133"/>
        <v>69481.406959154978</v>
      </c>
    </row>
    <row r="32" spans="2:192" s="2" customFormat="1" x14ac:dyDescent="0.2">
      <c r="B32" s="2" t="s">
        <v>32</v>
      </c>
      <c r="C32" s="2">
        <f t="shared" ref="C32" si="134">+C30-C31</f>
        <v>20065</v>
      </c>
      <c r="D32" s="2">
        <f t="shared" ref="D32:F32" si="135">+D30-D31</f>
        <v>13822</v>
      </c>
      <c r="E32" s="2">
        <f t="shared" si="135"/>
        <v>11519</v>
      </c>
      <c r="F32" s="2">
        <f t="shared" si="135"/>
        <v>14125</v>
      </c>
      <c r="K32" s="2">
        <f t="shared" ref="K32:N32" si="136">+K30-K31</f>
        <v>22236</v>
      </c>
      <c r="L32" s="2">
        <f t="shared" si="136"/>
        <v>11249</v>
      </c>
      <c r="M32" s="2">
        <f t="shared" si="136"/>
        <v>11253</v>
      </c>
      <c r="N32" s="2">
        <f t="shared" si="136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7">+R30-R31</f>
        <v>20551</v>
      </c>
      <c r="S32" s="2">
        <f t="shared" ref="S32" si="138">+S30-S31</f>
        <v>34630</v>
      </c>
      <c r="T32" s="2">
        <f>+T30-T31</f>
        <v>25010</v>
      </c>
      <c r="U32" s="2">
        <f t="shared" ref="U32:AA32" si="139">+U30-U31</f>
        <v>19442</v>
      </c>
      <c r="V32" s="2">
        <f t="shared" si="139"/>
        <v>20721</v>
      </c>
      <c r="W32" s="2">
        <f t="shared" si="139"/>
        <v>29998</v>
      </c>
      <c r="X32" s="2">
        <f t="shared" si="139"/>
        <v>24160</v>
      </c>
      <c r="Y32" s="2">
        <f t="shared" si="139"/>
        <v>19881</v>
      </c>
      <c r="Z32" s="2">
        <f t="shared" si="139"/>
        <v>22956</v>
      </c>
      <c r="AA32" s="2">
        <f t="shared" si="139"/>
        <v>33916</v>
      </c>
      <c r="AB32" s="2">
        <f t="shared" ref="AB32:AC32" si="140">+AB30-AB31</f>
        <v>23636</v>
      </c>
      <c r="AC32" s="2">
        <f t="shared" si="140"/>
        <v>21448</v>
      </c>
      <c r="AD32" s="2">
        <f t="shared" ref="AD32:AH32" si="141">+AD30-AD31</f>
        <v>14736</v>
      </c>
      <c r="AE32" s="2">
        <f t="shared" si="141"/>
        <v>36330</v>
      </c>
      <c r="AF32" s="2">
        <f t="shared" si="141"/>
        <v>25356.518385000003</v>
      </c>
      <c r="AG32" s="2">
        <f t="shared" si="141"/>
        <v>22820.414355000001</v>
      </c>
      <c r="AH32" s="2">
        <f t="shared" si="141"/>
        <v>26558.032909999998</v>
      </c>
      <c r="AN32" s="2">
        <f t="shared" ref="AN32:AO32" si="142">+AN30-AN31</f>
        <v>517</v>
      </c>
      <c r="AO32" s="2">
        <f t="shared" si="142"/>
        <v>-116</v>
      </c>
      <c r="AP32" s="2">
        <f t="shared" ref="AP32:AR32" si="143">+AP30-AP31</f>
        <v>96</v>
      </c>
      <c r="AQ32" s="2">
        <f t="shared" si="143"/>
        <v>94</v>
      </c>
      <c r="AR32" s="2">
        <f t="shared" si="143"/>
        <v>299</v>
      </c>
      <c r="AS32" s="2">
        <f t="shared" ref="AS32:AT32" si="144">+AS30-AS31</f>
        <v>1335</v>
      </c>
      <c r="AT32" s="2">
        <f t="shared" si="144"/>
        <v>1989</v>
      </c>
      <c r="AU32" s="2">
        <f t="shared" ref="AU32:AV32" si="145">+AU30-AU31</f>
        <v>3496</v>
      </c>
      <c r="AV32" s="2">
        <f t="shared" si="145"/>
        <v>6119</v>
      </c>
      <c r="AW32" s="2">
        <f t="shared" ref="AW32:AY32" si="146">+AW30-AW31</f>
        <v>8235</v>
      </c>
      <c r="AX32" s="2">
        <f t="shared" si="146"/>
        <v>14013</v>
      </c>
      <c r="AY32" s="2">
        <f t="shared" si="146"/>
        <v>25922</v>
      </c>
      <c r="AZ32" s="2">
        <f t="shared" ref="AZ32:BE32" si="147">+AZ30-AZ31</f>
        <v>41733</v>
      </c>
      <c r="BA32" s="2">
        <f t="shared" si="147"/>
        <v>37037</v>
      </c>
      <c r="BB32" s="2">
        <f t="shared" si="147"/>
        <v>39510</v>
      </c>
      <c r="BC32" s="2">
        <f t="shared" si="147"/>
        <v>53394</v>
      </c>
      <c r="BD32" s="2">
        <f t="shared" si="147"/>
        <v>45687</v>
      </c>
      <c r="BE32" s="2">
        <f t="shared" si="147"/>
        <v>48351</v>
      </c>
      <c r="BF32" s="2">
        <f t="shared" ref="BF32:BG32" si="148">+BF30-BF31</f>
        <v>59531</v>
      </c>
      <c r="BG32" s="2">
        <f t="shared" si="148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9">+BL30-BL31</f>
        <v>93736</v>
      </c>
      <c r="BM32" s="2">
        <f t="shared" si="149"/>
        <v>118479.46615386996</v>
      </c>
      <c r="BN32" s="2">
        <f t="shared" si="149"/>
        <v>129054.65544389669</v>
      </c>
      <c r="BO32" s="2">
        <f t="shared" si="149"/>
        <v>140544.08344622958</v>
      </c>
      <c r="BP32" s="2">
        <f t="shared" si="149"/>
        <v>153028.93609155295</v>
      </c>
      <c r="BQ32" s="2">
        <f t="shared" si="149"/>
        <v>162299.59702871955</v>
      </c>
      <c r="BR32" s="2">
        <f t="shared" si="149"/>
        <v>171102.20264910665</v>
      </c>
      <c r="BS32" s="2">
        <f t="shared" si="149"/>
        <v>180363.35983336234</v>
      </c>
      <c r="BT32" s="2">
        <f t="shared" si="149"/>
        <v>190106.5330174111</v>
      </c>
      <c r="BU32" s="2">
        <f t="shared" si="149"/>
        <v>200356.38010081332</v>
      </c>
      <c r="BV32" s="2">
        <f t="shared" si="149"/>
        <v>210140.94037197149</v>
      </c>
      <c r="BW32" s="2">
        <f t="shared" si="149"/>
        <v>220172.28757366361</v>
      </c>
      <c r="BX32" s="2">
        <f t="shared" si="149"/>
        <v>230678.94120987441</v>
      </c>
      <c r="BY32" s="2">
        <f t="shared" si="149"/>
        <v>241683.43156101267</v>
      </c>
      <c r="BZ32" s="2">
        <f t="shared" si="149"/>
        <v>253209.36165790158</v>
      </c>
      <c r="CA32" s="2">
        <f t="shared" si="149"/>
        <v>265281.45868061588</v>
      </c>
      <c r="CB32" s="2">
        <f t="shared" si="149"/>
        <v>277925.62783661985</v>
      </c>
      <c r="CC32" s="2">
        <f>+CB32*(1+$CE$37)</f>
        <v>275146.37155825365</v>
      </c>
      <c r="CD32" s="2">
        <f t="shared" ref="CD32:EO32" si="150">+CC32*(1+$CE$37)</f>
        <v>272394.90784267109</v>
      </c>
      <c r="CE32" s="2">
        <f t="shared" si="150"/>
        <v>269670.95876424439</v>
      </c>
      <c r="CF32" s="2">
        <f t="shared" si="150"/>
        <v>266974.24917660194</v>
      </c>
      <c r="CG32" s="2">
        <f t="shared" si="150"/>
        <v>264304.50668483594</v>
      </c>
      <c r="CH32" s="2">
        <f t="shared" si="150"/>
        <v>261661.46161798757</v>
      </c>
      <c r="CI32" s="2">
        <f t="shared" si="150"/>
        <v>259044.84700180771</v>
      </c>
      <c r="CJ32" s="2">
        <f t="shared" si="150"/>
        <v>256454.39853178963</v>
      </c>
      <c r="CK32" s="2">
        <f t="shared" si="150"/>
        <v>253889.85454647173</v>
      </c>
      <c r="CL32" s="2">
        <f t="shared" si="150"/>
        <v>251350.956001007</v>
      </c>
      <c r="CM32" s="2">
        <f t="shared" si="150"/>
        <v>248837.44644099692</v>
      </c>
      <c r="CN32" s="2">
        <f t="shared" si="150"/>
        <v>246349.07197658694</v>
      </c>
      <c r="CO32" s="2">
        <f t="shared" si="150"/>
        <v>243885.58125682108</v>
      </c>
      <c r="CP32" s="2">
        <f t="shared" si="150"/>
        <v>241446.72544425286</v>
      </c>
      <c r="CQ32" s="2">
        <f t="shared" si="150"/>
        <v>239032.25818981032</v>
      </c>
      <c r="CR32" s="2">
        <f t="shared" si="150"/>
        <v>236641.93560791222</v>
      </c>
      <c r="CS32" s="2">
        <f t="shared" si="150"/>
        <v>234275.51625183309</v>
      </c>
      <c r="CT32" s="2">
        <f t="shared" si="150"/>
        <v>231932.76108931476</v>
      </c>
      <c r="CU32" s="2">
        <f t="shared" si="150"/>
        <v>229613.43347842162</v>
      </c>
      <c r="CV32" s="2">
        <f t="shared" si="150"/>
        <v>227317.29914363741</v>
      </c>
      <c r="CW32" s="2">
        <f t="shared" si="150"/>
        <v>225044.12615220103</v>
      </c>
      <c r="CX32" s="2">
        <f t="shared" si="150"/>
        <v>222793.68489067903</v>
      </c>
      <c r="CY32" s="2">
        <f t="shared" si="150"/>
        <v>220565.74804177223</v>
      </c>
      <c r="CZ32" s="2">
        <f t="shared" si="150"/>
        <v>218360.0905613545</v>
      </c>
      <c r="DA32" s="2">
        <f t="shared" si="150"/>
        <v>216176.48965574097</v>
      </c>
      <c r="DB32" s="2">
        <f t="shared" si="150"/>
        <v>214014.72475918356</v>
      </c>
      <c r="DC32" s="2">
        <f t="shared" si="150"/>
        <v>211874.57751159172</v>
      </c>
      <c r="DD32" s="2">
        <f t="shared" si="150"/>
        <v>209755.83173647581</v>
      </c>
      <c r="DE32" s="2">
        <f t="shared" si="150"/>
        <v>207658.27341911106</v>
      </c>
      <c r="DF32" s="2">
        <f t="shared" si="150"/>
        <v>205581.69068491994</v>
      </c>
      <c r="DG32" s="2">
        <f t="shared" si="150"/>
        <v>203525.87377807073</v>
      </c>
      <c r="DH32" s="2">
        <f t="shared" si="150"/>
        <v>201490.61504029002</v>
      </c>
      <c r="DI32" s="2">
        <f t="shared" si="150"/>
        <v>199475.70888988712</v>
      </c>
      <c r="DJ32" s="2">
        <f t="shared" si="150"/>
        <v>197480.95180098823</v>
      </c>
      <c r="DK32" s="2">
        <f t="shared" si="150"/>
        <v>195506.14228297834</v>
      </c>
      <c r="DL32" s="2">
        <f t="shared" si="150"/>
        <v>193551.08086014856</v>
      </c>
      <c r="DM32" s="2">
        <f t="shared" si="150"/>
        <v>191615.57005154708</v>
      </c>
      <c r="DN32" s="2">
        <f t="shared" si="150"/>
        <v>189699.41435103162</v>
      </c>
      <c r="DO32" s="2">
        <f t="shared" si="150"/>
        <v>187802.4202075213</v>
      </c>
      <c r="DP32" s="2">
        <f t="shared" si="150"/>
        <v>185924.39600544609</v>
      </c>
      <c r="DQ32" s="2">
        <f t="shared" si="150"/>
        <v>184065.15204539162</v>
      </c>
      <c r="DR32" s="2">
        <f t="shared" si="150"/>
        <v>182224.5005249377</v>
      </c>
      <c r="DS32" s="2">
        <f t="shared" si="150"/>
        <v>180402.25551968833</v>
      </c>
      <c r="DT32" s="2">
        <f t="shared" si="150"/>
        <v>178598.23296449144</v>
      </c>
      <c r="DU32" s="2">
        <f t="shared" si="150"/>
        <v>176812.25063484654</v>
      </c>
      <c r="DV32" s="2">
        <f t="shared" si="150"/>
        <v>175044.12812849807</v>
      </c>
      <c r="DW32" s="2">
        <f t="shared" si="150"/>
        <v>173293.68684721307</v>
      </c>
      <c r="DX32" s="2">
        <f t="shared" si="150"/>
        <v>171560.74997874093</v>
      </c>
      <c r="DY32" s="2">
        <f t="shared" si="150"/>
        <v>169845.14247895352</v>
      </c>
      <c r="DZ32" s="2">
        <f t="shared" si="150"/>
        <v>168146.691054164</v>
      </c>
      <c r="EA32" s="2">
        <f t="shared" si="150"/>
        <v>166465.22414362236</v>
      </c>
      <c r="EB32" s="2">
        <f t="shared" si="150"/>
        <v>164800.57190218614</v>
      </c>
      <c r="EC32" s="2">
        <f t="shared" si="150"/>
        <v>163152.56618316428</v>
      </c>
      <c r="ED32" s="2">
        <f t="shared" si="150"/>
        <v>161521.04052133264</v>
      </c>
      <c r="EE32" s="2">
        <f t="shared" si="150"/>
        <v>159905.83011611932</v>
      </c>
      <c r="EF32" s="2">
        <f t="shared" si="150"/>
        <v>158306.77181495813</v>
      </c>
      <c r="EG32" s="2">
        <f t="shared" si="150"/>
        <v>156723.70409680856</v>
      </c>
      <c r="EH32" s="2">
        <f t="shared" si="150"/>
        <v>155156.46705584048</v>
      </c>
      <c r="EI32" s="2">
        <f t="shared" si="150"/>
        <v>153604.90238528207</v>
      </c>
      <c r="EJ32" s="2">
        <f t="shared" si="150"/>
        <v>152068.85336142924</v>
      </c>
      <c r="EK32" s="2">
        <f t="shared" si="150"/>
        <v>150548.16482781494</v>
      </c>
      <c r="EL32" s="2">
        <f t="shared" si="150"/>
        <v>149042.68317953678</v>
      </c>
      <c r="EM32" s="2">
        <f t="shared" si="150"/>
        <v>147552.25634774141</v>
      </c>
      <c r="EN32" s="2">
        <f t="shared" si="150"/>
        <v>146076.73378426398</v>
      </c>
      <c r="EO32" s="2">
        <f t="shared" si="150"/>
        <v>144615.96644642134</v>
      </c>
      <c r="EP32" s="2">
        <f t="shared" ref="EP32:GJ32" si="151">+EO32*(1+$CE$37)</f>
        <v>143169.80678195713</v>
      </c>
      <c r="EQ32" s="2">
        <f t="shared" si="151"/>
        <v>141738.10871413755</v>
      </c>
      <c r="ER32" s="2">
        <f t="shared" si="151"/>
        <v>140320.72762699617</v>
      </c>
      <c r="ES32" s="2">
        <f t="shared" si="151"/>
        <v>138917.5203507262</v>
      </c>
      <c r="ET32" s="2">
        <f t="shared" si="151"/>
        <v>137528.34514721893</v>
      </c>
      <c r="EU32" s="2">
        <f t="shared" si="151"/>
        <v>136153.06169574676</v>
      </c>
      <c r="EV32" s="2">
        <f t="shared" si="151"/>
        <v>134791.5310787893</v>
      </c>
      <c r="EW32" s="2">
        <f t="shared" si="151"/>
        <v>133443.61576800141</v>
      </c>
      <c r="EX32" s="2">
        <f t="shared" si="151"/>
        <v>132109.17961032139</v>
      </c>
      <c r="EY32" s="2">
        <f t="shared" si="151"/>
        <v>130788.08781421818</v>
      </c>
      <c r="EZ32" s="2">
        <f t="shared" si="151"/>
        <v>129480.20693607599</v>
      </c>
      <c r="FA32" s="2">
        <f t="shared" si="151"/>
        <v>128185.40486671524</v>
      </c>
      <c r="FB32" s="2">
        <f t="shared" si="151"/>
        <v>126903.55081804808</v>
      </c>
      <c r="FC32" s="2">
        <f t="shared" si="151"/>
        <v>125634.51530986759</v>
      </c>
      <c r="FD32" s="2">
        <f t="shared" si="151"/>
        <v>124378.17015676892</v>
      </c>
      <c r="FE32" s="2">
        <f t="shared" si="151"/>
        <v>123134.38845520123</v>
      </c>
      <c r="FF32" s="2">
        <f t="shared" si="151"/>
        <v>121903.04457064922</v>
      </c>
      <c r="FG32" s="2">
        <f t="shared" si="151"/>
        <v>120684.01412494273</v>
      </c>
      <c r="FH32" s="2">
        <f t="shared" si="151"/>
        <v>119477.1739836933</v>
      </c>
      <c r="FI32" s="2">
        <f t="shared" si="151"/>
        <v>118282.40224385637</v>
      </c>
      <c r="FJ32" s="2">
        <f t="shared" si="151"/>
        <v>117099.5782214178</v>
      </c>
      <c r="FK32" s="2">
        <f t="shared" si="151"/>
        <v>115928.58243920363</v>
      </c>
      <c r="FL32" s="2">
        <f t="shared" si="151"/>
        <v>114769.2966148116</v>
      </c>
      <c r="FM32" s="2">
        <f t="shared" si="151"/>
        <v>113621.60364866348</v>
      </c>
      <c r="FN32" s="2">
        <f t="shared" si="151"/>
        <v>112485.38761217686</v>
      </c>
      <c r="FO32" s="2">
        <f t="shared" si="151"/>
        <v>111360.53373605509</v>
      </c>
      <c r="FP32" s="2">
        <f t="shared" si="151"/>
        <v>110246.92839869454</v>
      </c>
      <c r="FQ32" s="2">
        <f t="shared" si="151"/>
        <v>109144.45911470758</v>
      </c>
      <c r="FR32" s="2">
        <f t="shared" si="151"/>
        <v>108053.0145235605</v>
      </c>
      <c r="FS32" s="2">
        <f t="shared" si="151"/>
        <v>106972.48437832489</v>
      </c>
      <c r="FT32" s="2">
        <f t="shared" si="151"/>
        <v>105902.75953454165</v>
      </c>
      <c r="FU32" s="2">
        <f t="shared" si="151"/>
        <v>104843.73193919624</v>
      </c>
      <c r="FV32" s="2">
        <f t="shared" si="151"/>
        <v>103795.29461980428</v>
      </c>
      <c r="FW32" s="2">
        <f t="shared" si="151"/>
        <v>102757.34167360624</v>
      </c>
      <c r="FX32" s="2">
        <f t="shared" si="151"/>
        <v>101729.76825687017</v>
      </c>
      <c r="FY32" s="2">
        <f t="shared" si="151"/>
        <v>100712.47057430146</v>
      </c>
      <c r="FZ32" s="2">
        <f t="shared" si="151"/>
        <v>99705.345868558448</v>
      </c>
      <c r="GA32" s="2">
        <f t="shared" si="151"/>
        <v>98708.292409872869</v>
      </c>
      <c r="GB32" s="2">
        <f t="shared" si="151"/>
        <v>97721.209485774132</v>
      </c>
      <c r="GC32" s="2">
        <f t="shared" si="151"/>
        <v>96743.997390916396</v>
      </c>
      <c r="GD32" s="2">
        <f t="shared" si="151"/>
        <v>95776.557417007236</v>
      </c>
      <c r="GE32" s="2">
        <f t="shared" si="151"/>
        <v>94818.791842837163</v>
      </c>
      <c r="GF32" s="2">
        <f t="shared" si="151"/>
        <v>93870.603924408788</v>
      </c>
      <c r="GG32" s="2">
        <f t="shared" si="151"/>
        <v>92931.897885164697</v>
      </c>
      <c r="GH32" s="2">
        <f t="shared" si="151"/>
        <v>92002.578906313051</v>
      </c>
      <c r="GI32" s="2">
        <f t="shared" si="151"/>
        <v>91082.553117249918</v>
      </c>
      <c r="GJ32" s="2">
        <f t="shared" si="151"/>
        <v>90171.727586077424</v>
      </c>
    </row>
    <row r="33" spans="2:83" s="4" customFormat="1" x14ac:dyDescent="0.2">
      <c r="B33" s="4" t="s">
        <v>36</v>
      </c>
      <c r="C33" s="12">
        <f t="shared" ref="C33" si="152">+C32/C34</f>
        <v>0.97255857987156114</v>
      </c>
      <c r="D33" s="12">
        <f t="shared" ref="D33:F33" si="153">+D32/D34</f>
        <v>0.68176083107937602</v>
      </c>
      <c r="E33" s="12">
        <f t="shared" si="153"/>
        <v>0.58452984598534197</v>
      </c>
      <c r="F33" s="12">
        <f t="shared" si="153"/>
        <v>0.70623460408563088</v>
      </c>
      <c r="G33" s="12"/>
      <c r="H33" s="12"/>
      <c r="I33" s="12"/>
      <c r="J33" s="12"/>
      <c r="K33" s="12">
        <f t="shared" ref="K33:N33" si="154">+K32/K34</f>
        <v>1.2479223042091785</v>
      </c>
      <c r="L33" s="12">
        <f t="shared" si="154"/>
        <v>0.63846699811252383</v>
      </c>
      <c r="M33" s="12">
        <f t="shared" si="154"/>
        <v>0.64601300384622584</v>
      </c>
      <c r="N33" s="12">
        <f t="shared" si="154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5">+R32/R34</f>
        <v>1.2354000701047909</v>
      </c>
      <c r="S33" s="12">
        <f t="shared" ref="S33" si="156">+S32/S34</f>
        <v>2.0963369432743812</v>
      </c>
      <c r="T33" s="12">
        <f>+T32/T34</f>
        <v>1.5246917147727936</v>
      </c>
      <c r="U33" s="12">
        <f t="shared" ref="U33:Z33" si="157">+U32/U34</f>
        <v>1.1955329791418789</v>
      </c>
      <c r="V33" s="12">
        <f t="shared" si="157"/>
        <v>1.2855442500262897</v>
      </c>
      <c r="W33" s="12">
        <f t="shared" si="157"/>
        <v>1.8800783518485347</v>
      </c>
      <c r="X33" s="12">
        <f t="shared" si="157"/>
        <v>1.5245739743359175</v>
      </c>
      <c r="Y33" s="12">
        <f t="shared" si="157"/>
        <v>1.2602852614896989</v>
      </c>
      <c r="Z33" s="12">
        <f t="shared" si="157"/>
        <v>1.4647405630279984</v>
      </c>
      <c r="AA33" s="12">
        <f t="shared" ref="AA33:AB33" si="158">+AA32/AA34</f>
        <v>2.1773628858750742</v>
      </c>
      <c r="AB33" s="12">
        <f t="shared" si="158"/>
        <v>1.5283831076291186</v>
      </c>
      <c r="AC33" s="12">
        <f t="shared" ref="AC33:AD33" si="159">+AC32/AC34</f>
        <v>1.3974299876043894</v>
      </c>
      <c r="AD33" s="12">
        <f t="shared" si="159"/>
        <v>0.96674815403651804</v>
      </c>
      <c r="AE33" s="12">
        <f t="shared" ref="AE33:AH33" si="160">+AE32/AE34</f>
        <v>2.3978828931549452</v>
      </c>
      <c r="AF33" s="12">
        <f t="shared" si="160"/>
        <v>1.6736020276730077</v>
      </c>
      <c r="AG33" s="12">
        <f t="shared" si="160"/>
        <v>1.5062119789860184</v>
      </c>
      <c r="AH33" s="12">
        <f t="shared" si="160"/>
        <v>1.7529053892302517</v>
      </c>
      <c r="AI33" s="12"/>
      <c r="AJ33" s="12"/>
      <c r="AN33" s="12">
        <f t="shared" ref="AN33:AO33" si="161">+AN32/AN34</f>
        <v>1.4348197733151276</v>
      </c>
      <c r="AO33" s="12">
        <f t="shared" si="161"/>
        <v>-0.33563552296933274</v>
      </c>
      <c r="AP33" s="12">
        <f t="shared" ref="AP33:AR33" si="162">+AP32/AP34</f>
        <v>0.26535096811642273</v>
      </c>
      <c r="AQ33" s="12">
        <f t="shared" si="162"/>
        <v>0.12931058200767059</v>
      </c>
      <c r="AR33" s="12">
        <f t="shared" si="162"/>
        <v>0.38599471742346592</v>
      </c>
      <c r="AS33" s="12">
        <f t="shared" ref="AS33:AT33" si="163">+AS32/AS34</f>
        <v>1.5581596209061837</v>
      </c>
      <c r="AT33" s="12">
        <f t="shared" si="163"/>
        <v>2.266599508162721</v>
      </c>
      <c r="AU33" s="12">
        <f t="shared" ref="AU33:AV33" si="164">+AU32/AU34</f>
        <v>3.9312171930029729</v>
      </c>
      <c r="AV33" s="12">
        <f t="shared" si="164"/>
        <v>6.7827685090656757</v>
      </c>
      <c r="AW33" s="12">
        <f t="shared" ref="AW33:AY33" si="165">+AW32/AW34</f>
        <v>9.0793325284866118</v>
      </c>
      <c r="AX33" s="12">
        <f t="shared" si="165"/>
        <v>15.15390737872981</v>
      </c>
      <c r="AY33" s="12">
        <f t="shared" si="165"/>
        <v>27.675373273759003</v>
      </c>
      <c r="AZ33" s="12">
        <f t="shared" ref="AZ33:BE33" si="166">+AZ32/AZ34</f>
        <v>6.3064763445557777</v>
      </c>
      <c r="BA33" s="12">
        <f t="shared" si="166"/>
        <v>5.6790982137298718</v>
      </c>
      <c r="BB33" s="12">
        <f t="shared" si="166"/>
        <v>6.4530744220284548</v>
      </c>
      <c r="BC33" s="12">
        <f t="shared" si="166"/>
        <v>9.216876236067618</v>
      </c>
      <c r="BD33" s="12">
        <f t="shared" si="166"/>
        <v>8.3063028961611227</v>
      </c>
      <c r="BE33" s="12">
        <f t="shared" si="166"/>
        <v>9.2067470826545037</v>
      </c>
      <c r="BF33" s="12">
        <f t="shared" ref="BF33:BG33" si="167">+BF32/BF34</f>
        <v>2.9764851126245446</v>
      </c>
      <c r="BG33" s="12">
        <f t="shared" si="167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8">+BL32/BL34</f>
        <v>6.0835556272062066</v>
      </c>
      <c r="BM33" s="12">
        <f t="shared" si="168"/>
        <v>7.8199803215110135</v>
      </c>
      <c r="BN33" s="12">
        <f t="shared" si="168"/>
        <v>8.5179727655085493</v>
      </c>
      <c r="BO33" s="12">
        <f t="shared" si="168"/>
        <v>9.2763075538082855</v>
      </c>
      <c r="BP33" s="12">
        <f t="shared" si="168"/>
        <v>10.100343187768683</v>
      </c>
      <c r="BQ33" s="12">
        <f t="shared" si="168"/>
        <v>10.712233065816346</v>
      </c>
      <c r="BR33" s="12">
        <f t="shared" si="168"/>
        <v>11.293229967338938</v>
      </c>
      <c r="BS33" s="12">
        <f t="shared" si="168"/>
        <v>11.904492570778126</v>
      </c>
      <c r="BT33" s="12">
        <f t="shared" si="168"/>
        <v>12.54756959536047</v>
      </c>
      <c r="BU33" s="12">
        <f t="shared" si="168"/>
        <v>13.224088532292599</v>
      </c>
      <c r="BV33" s="12">
        <f t="shared" si="168"/>
        <v>13.869897221839908</v>
      </c>
      <c r="BW33" s="12">
        <f t="shared" si="168"/>
        <v>14.531994547747843</v>
      </c>
      <c r="BX33" s="12">
        <f t="shared" si="168"/>
        <v>15.225463444488113</v>
      </c>
      <c r="BY33" s="12">
        <f t="shared" si="168"/>
        <v>15.951790974377547</v>
      </c>
      <c r="BZ33" s="12">
        <f t="shared" si="168"/>
        <v>16.712535004298537</v>
      </c>
      <c r="CA33" s="12">
        <f t="shared" si="168"/>
        <v>17.509327598167886</v>
      </c>
      <c r="CB33" s="12">
        <f t="shared" si="168"/>
        <v>18.343878573046482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L34:CB34" si="169">+BM34</f>
        <v>15150.865</v>
      </c>
      <c r="BO34" s="2">
        <f t="shared" si="169"/>
        <v>15150.865</v>
      </c>
      <c r="BP34" s="2">
        <f t="shared" si="169"/>
        <v>15150.865</v>
      </c>
      <c r="BQ34" s="2">
        <f t="shared" si="169"/>
        <v>15150.865</v>
      </c>
      <c r="BR34" s="2">
        <f t="shared" si="169"/>
        <v>15150.865</v>
      </c>
      <c r="BS34" s="2">
        <f t="shared" si="169"/>
        <v>15150.865</v>
      </c>
      <c r="BT34" s="2">
        <f t="shared" si="169"/>
        <v>15150.865</v>
      </c>
      <c r="BU34" s="2">
        <f t="shared" si="169"/>
        <v>15150.865</v>
      </c>
      <c r="BV34" s="2">
        <f t="shared" si="169"/>
        <v>15150.865</v>
      </c>
      <c r="BW34" s="2">
        <f t="shared" si="169"/>
        <v>15150.865</v>
      </c>
      <c r="BX34" s="2">
        <f t="shared" si="169"/>
        <v>15150.865</v>
      </c>
      <c r="BY34" s="2">
        <f t="shared" si="169"/>
        <v>15150.865</v>
      </c>
      <c r="BZ34" s="2">
        <f t="shared" si="169"/>
        <v>15150.865</v>
      </c>
      <c r="CA34" s="2">
        <f t="shared" si="169"/>
        <v>15150.865</v>
      </c>
      <c r="CB34" s="2">
        <f t="shared" si="169"/>
        <v>15150.865</v>
      </c>
    </row>
    <row r="36" spans="2:83" s="4" customFormat="1" x14ac:dyDescent="0.2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70">P20/L20-1</f>
        <v>0.53626121105070901</v>
      </c>
      <c r="Q36" s="9">
        <f t="shared" ref="Q36" si="171">Q20/M20-1</f>
        <v>0.36439641450950822</v>
      </c>
      <c r="R36" s="9">
        <f t="shared" ref="R36" si="172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3">W20/S20-1</f>
        <v>-5.4790431239662762E-2</v>
      </c>
      <c r="X36" s="9">
        <f t="shared" si="173"/>
        <v>-2.5103312156911084E-2</v>
      </c>
      <c r="Y36" s="9">
        <f t="shared" si="173"/>
        <v>-1.4006919080509661E-2</v>
      </c>
      <c r="Z36" s="9">
        <f t="shared" si="173"/>
        <v>-7.1883389168682088E-3</v>
      </c>
      <c r="AA36" s="9">
        <f t="shared" ref="AA36" si="174">AA20/W20-1</f>
        <v>2.0665107465387411E-2</v>
      </c>
      <c r="AB36" s="9">
        <f t="shared" ref="AB36" si="175">AB20/X20-1</f>
        <v>-4.3053270909781061E-2</v>
      </c>
      <c r="AC36" s="9">
        <f t="shared" ref="AC36" si="176">AC20/Y20-1</f>
        <v>4.8657041211780383E-2</v>
      </c>
      <c r="AD36" s="9">
        <f t="shared" ref="AD36:AH36" si="177">AD20/Z20-1</f>
        <v>6.0694093722764686E-2</v>
      </c>
      <c r="AE36" s="9">
        <f t="shared" si="177"/>
        <v>3.9514948776918191E-2</v>
      </c>
      <c r="AF36" s="9">
        <f t="shared" si="177"/>
        <v>3.6298855134265562E-2</v>
      </c>
      <c r="AG36" s="9">
        <f t="shared" si="177"/>
        <v>2.1291138650221031E-2</v>
      </c>
      <c r="AH36" s="9">
        <f t="shared" si="177"/>
        <v>2.0522279574423319E-2</v>
      </c>
      <c r="AI36" s="9"/>
      <c r="AJ36" s="9"/>
      <c r="AN36" s="9">
        <f t="shared" ref="AN36:AT36" si="178">+AN20/AM20-1</f>
        <v>0.30143462667101395</v>
      </c>
      <c r="AO36" s="9">
        <f t="shared" si="178"/>
        <v>-0.32819741951647252</v>
      </c>
      <c r="AP36" s="9">
        <f t="shared" si="178"/>
        <v>7.0669401454409808E-2</v>
      </c>
      <c r="AQ36" s="9">
        <f t="shared" si="178"/>
        <v>8.0982236154649945E-2</v>
      </c>
      <c r="AR36" s="9">
        <f t="shared" si="178"/>
        <v>0.33381665861124543</v>
      </c>
      <c r="AS36" s="9">
        <f t="shared" si="178"/>
        <v>0.68269114627370464</v>
      </c>
      <c r="AT36" s="9">
        <f t="shared" si="178"/>
        <v>0.38647620414902017</v>
      </c>
      <c r="AU36" s="9">
        <f t="shared" ref="AU36:AV36" si="179">+AU20/AT20-1</f>
        <v>0.24286823712140815</v>
      </c>
      <c r="AV36" s="9">
        <f t="shared" si="179"/>
        <v>0.56173456635841035</v>
      </c>
      <c r="AW36" s="9">
        <f t="shared" ref="AW36:BB36" si="180">+AW20/AV20-1</f>
        <v>0.14440799125123371</v>
      </c>
      <c r="AX36" s="9">
        <f t="shared" si="180"/>
        <v>0.52021908868430256</v>
      </c>
      <c r="AY36" s="9">
        <f t="shared" si="180"/>
        <v>0.65962437715599842</v>
      </c>
      <c r="AZ36" s="9">
        <f t="shared" si="180"/>
        <v>0.44581474193756976</v>
      </c>
      <c r="BA36" s="9">
        <f t="shared" si="180"/>
        <v>9.2020855163953197E-2</v>
      </c>
      <c r="BB36" s="9">
        <f t="shared" si="180"/>
        <v>6.9539523725937524E-2</v>
      </c>
      <c r="BC36" s="9">
        <f t="shared" ref="BC36:BF36" si="181">+BC20/BB20-1</f>
        <v>0.27856341803659834</v>
      </c>
      <c r="BD36" s="9">
        <f t="shared" si="181"/>
        <v>-7.7342061913013738E-2</v>
      </c>
      <c r="BE36" s="9">
        <f t="shared" si="181"/>
        <v>6.304518199398057E-2</v>
      </c>
      <c r="BF36" s="9">
        <f t="shared" si="181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2">+BI20/BH20-1</f>
        <v>0.33259384733074704</v>
      </c>
      <c r="BJ36" s="9">
        <f t="shared" si="182"/>
        <v>7.7937876041846099E-2</v>
      </c>
      <c r="BK36" s="9">
        <f t="shared" si="182"/>
        <v>-2.800460530319937E-2</v>
      </c>
      <c r="BL36" s="9">
        <f t="shared" si="182"/>
        <v>2.021994077514111E-2</v>
      </c>
      <c r="BM36" s="9">
        <f t="shared" si="182"/>
        <v>0.18183817868205532</v>
      </c>
      <c r="BN36" s="9">
        <f t="shared" si="182"/>
        <v>6.5532833889594855E-2</v>
      </c>
      <c r="BO36" s="9">
        <f t="shared" si="182"/>
        <v>6.5941156702147508E-2</v>
      </c>
      <c r="BP36" s="9">
        <f t="shared" si="182"/>
        <v>6.63550282420311E-2</v>
      </c>
      <c r="BQ36" s="9">
        <f t="shared" si="182"/>
        <v>5.3624914879700558E-2</v>
      </c>
      <c r="BR36" s="9">
        <f t="shared" si="182"/>
        <v>4.7772715357199402E-2</v>
      </c>
      <c r="BS36" s="9">
        <f t="shared" si="182"/>
        <v>4.7798090944179528E-2</v>
      </c>
      <c r="BT36" s="9">
        <f t="shared" si="182"/>
        <v>4.7823569753398854E-2</v>
      </c>
      <c r="BU36" s="9">
        <f t="shared" si="182"/>
        <v>4.7849152384963789E-2</v>
      </c>
      <c r="BV36" s="9">
        <f t="shared" si="182"/>
        <v>4.3000794555535959E-2</v>
      </c>
      <c r="BW36" s="9">
        <f t="shared" si="182"/>
        <v>4.1985443126984823E-2</v>
      </c>
      <c r="BX36" s="9">
        <f t="shared" si="182"/>
        <v>4.2023743521381052E-2</v>
      </c>
      <c r="BY36" s="9">
        <f t="shared" si="182"/>
        <v>4.2062137496592378E-2</v>
      </c>
      <c r="BZ36" s="9">
        <f t="shared" si="182"/>
        <v>4.2100622598074899E-2</v>
      </c>
      <c r="CA36" s="9">
        <f t="shared" si="182"/>
        <v>4.2139196345322594E-2</v>
      </c>
      <c r="CB36" s="9">
        <f t="shared" si="182"/>
        <v>4.2177856232462396E-2</v>
      </c>
      <c r="CD36" s="4" t="s">
        <v>93</v>
      </c>
      <c r="CE36" s="15">
        <v>7.4999999999999997E-2</v>
      </c>
    </row>
    <row r="37" spans="2:83" s="4" customFormat="1" x14ac:dyDescent="0.2">
      <c r="B37" s="8" t="s">
        <v>42</v>
      </c>
      <c r="L37" s="9"/>
      <c r="M37" s="9"/>
      <c r="N37" s="9"/>
      <c r="O37" s="9">
        <f t="shared" ref="O37:X37" si="183">+O10/K10-1</f>
        <v>0.1722751398395197</v>
      </c>
      <c r="P37" s="9">
        <f t="shared" si="183"/>
        <v>0.65520336993301576</v>
      </c>
      <c r="Q37" s="9">
        <f t="shared" si="183"/>
        <v>0.49784238019532134</v>
      </c>
      <c r="R37" s="9">
        <f t="shared" si="183"/>
        <v>0.46982302223566785</v>
      </c>
      <c r="S37" s="9">
        <f t="shared" si="183"/>
        <v>9.1940180191167231E-2</v>
      </c>
      <c r="T37" s="9">
        <f t="shared" si="183"/>
        <v>5.4904251324627618E-2</v>
      </c>
      <c r="U37" s="9">
        <f t="shared" si="183"/>
        <v>2.7672479150871787E-2</v>
      </c>
      <c r="V37" s="9">
        <f t="shared" si="183"/>
        <v>9.6686220026757308E-2</v>
      </c>
      <c r="W37" s="9">
        <f t="shared" si="183"/>
        <v>-8.1713854917071505E-2</v>
      </c>
      <c r="X37" s="9">
        <f t="shared" si="183"/>
        <v>1.510777140597197E-2</v>
      </c>
      <c r="AU37" s="9"/>
      <c r="AV37" s="9">
        <f t="shared" ref="AV37" si="184">+AV10/AU10-1</f>
        <v>53.8130081300813</v>
      </c>
      <c r="AW37" s="9">
        <f t="shared" ref="AW37:BD37" si="185">+AW10/AV10-1</f>
        <v>0.93310590329279153</v>
      </c>
      <c r="AX37" s="9">
        <f t="shared" si="185"/>
        <v>0.93194199340136574</v>
      </c>
      <c r="AY37" s="9">
        <f t="shared" si="185"/>
        <v>0.82683982683982693</v>
      </c>
      <c r="AZ37" s="9">
        <f t="shared" si="185"/>
        <v>0.71077003347971646</v>
      </c>
      <c r="BA37" s="9">
        <f t="shared" si="185"/>
        <v>0.15995272708788688</v>
      </c>
      <c r="BB37" s="9">
        <f t="shared" si="185"/>
        <v>0.11735448460215392</v>
      </c>
      <c r="BC37" s="9">
        <f t="shared" si="185"/>
        <v>0.52014393426870997</v>
      </c>
      <c r="BD37" s="9">
        <f t="shared" si="185"/>
        <v>-0.11829774059764842</v>
      </c>
      <c r="BE37" s="9">
        <f t="shared" ref="BE37:BI37" si="186">+BE10/BD10-1</f>
        <v>3.3789319678127372E-2</v>
      </c>
      <c r="BF37" s="9">
        <f t="shared" si="186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6"/>
        <v>0.39331983364905176</v>
      </c>
      <c r="BJ37" s="9">
        <f>+BJ10/BI10-1</f>
        <v>7.0405734139696641E-2</v>
      </c>
      <c r="BK37" s="9">
        <f>+BK10/BJ10-1</f>
        <v>2.0100000000000007E-2</v>
      </c>
      <c r="BL37" s="9">
        <f t="shared" ref="BL37:CB37" si="187">+BL10/BK10-1</f>
        <v>2.0100000000000007E-2</v>
      </c>
      <c r="BM37" s="9">
        <f t="shared" si="187"/>
        <v>6.6800000000000193E-2</v>
      </c>
      <c r="BN37" s="9">
        <f t="shared" si="187"/>
        <v>5.6640000000000024E-2</v>
      </c>
      <c r="BO37" s="9">
        <f t="shared" si="187"/>
        <v>5.6640000000000024E-2</v>
      </c>
      <c r="BP37" s="9">
        <f t="shared" si="187"/>
        <v>5.6640000000000246E-2</v>
      </c>
      <c r="BQ37" s="9">
        <f t="shared" si="187"/>
        <v>5.6639999999999802E-2</v>
      </c>
      <c r="BR37" s="9">
        <f t="shared" si="187"/>
        <v>4.6479999999999855E-2</v>
      </c>
      <c r="BS37" s="9">
        <f t="shared" si="187"/>
        <v>4.6480000000000299E-2</v>
      </c>
      <c r="BT37" s="9">
        <f t="shared" si="187"/>
        <v>4.6479999999999855E-2</v>
      </c>
      <c r="BU37" s="9">
        <f t="shared" si="187"/>
        <v>4.6480000000000077E-2</v>
      </c>
      <c r="BV37" s="9">
        <f t="shared" si="187"/>
        <v>3.6320000000000352E-2</v>
      </c>
      <c r="BW37" s="9">
        <f t="shared" si="187"/>
        <v>3.6319999999999908E-2</v>
      </c>
      <c r="BX37" s="9">
        <f t="shared" si="187"/>
        <v>3.632000000000013E-2</v>
      </c>
      <c r="BY37" s="9">
        <f t="shared" si="187"/>
        <v>3.6319999999999908E-2</v>
      </c>
      <c r="BZ37" s="9">
        <f t="shared" si="187"/>
        <v>3.632000000000013E-2</v>
      </c>
      <c r="CA37" s="9">
        <f t="shared" si="187"/>
        <v>3.6319999999999908E-2</v>
      </c>
      <c r="CB37" s="9">
        <f t="shared" si="187"/>
        <v>3.632000000000013E-2</v>
      </c>
      <c r="CD37" s="4" t="s">
        <v>95</v>
      </c>
      <c r="CE37" s="15">
        <v>-0.01</v>
      </c>
    </row>
    <row r="38" spans="2:83" s="4" customFormat="1" x14ac:dyDescent="0.2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8">+P19/L19-1</f>
        <v>0.26618219958046141</v>
      </c>
      <c r="Q38" s="9">
        <f t="shared" si="188"/>
        <v>0.32912739434478566</v>
      </c>
      <c r="R38" s="9">
        <f t="shared" si="188"/>
        <v>0.25623754209911342</v>
      </c>
      <c r="S38" s="9">
        <f t="shared" si="188"/>
        <v>0.23824630416851722</v>
      </c>
      <c r="T38" s="9">
        <f t="shared" si="188"/>
        <v>0.17277084196201398</v>
      </c>
      <c r="U38" s="9">
        <f t="shared" si="188"/>
        <v>0.12112547180601618</v>
      </c>
      <c r="V38" s="9">
        <f t="shared" si="188"/>
        <v>4.984406631285232E-2</v>
      </c>
      <c r="W38" s="9">
        <f t="shared" si="188"/>
        <v>6.4050010248001721E-2</v>
      </c>
      <c r="X38" s="9">
        <f>+X19/T19-1</f>
        <v>5.4790373845921003E-2</v>
      </c>
      <c r="Y38" s="9">
        <f t="shared" ref="Y38:Z38" si="189">+Y19/U19-1</f>
        <v>8.2075086716996593E-2</v>
      </c>
      <c r="Z38" s="9">
        <f t="shared" si="189"/>
        <v>0.16291432145090678</v>
      </c>
      <c r="AA38" s="9">
        <f t="shared" ref="AA38" si="190">+AA19/W19-1</f>
        <v>0.11321390734855052</v>
      </c>
      <c r="AB38" s="9">
        <f t="shared" ref="AB38" si="191">+AB19/X19-1</f>
        <v>0.14157937532883724</v>
      </c>
      <c r="AC38" s="9">
        <f t="shared" ref="AC38" si="192">+AC19/Y19-1</f>
        <v>0.1414227124876255</v>
      </c>
      <c r="AD38" s="9">
        <f t="shared" ref="AD38:AE38" si="193">+AD19/Z19-1</f>
        <v>0.11911804248453883</v>
      </c>
      <c r="AE38" s="9">
        <f t="shared" si="193"/>
        <v>0.13942120517368162</v>
      </c>
      <c r="AF38" s="9">
        <f t="shared" ref="AF38" si="194">+AF19/AB19-1</f>
        <v>0.1100000000000001</v>
      </c>
      <c r="AG38" s="9">
        <f t="shared" ref="AG38" si="195">+AG19/AC19-1</f>
        <v>5.0000000000000044E-2</v>
      </c>
      <c r="AH38" s="9">
        <f t="shared" ref="AH38" si="196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7">+BH19/BG19-1</f>
        <v>0.16152167807997242</v>
      </c>
      <c r="BI38" s="9">
        <f t="shared" si="197"/>
        <v>0.27259708376729663</v>
      </c>
      <c r="BJ38" s="9">
        <f t="shared" si="197"/>
        <v>0.14181951041286078</v>
      </c>
      <c r="BK38" s="9">
        <f>+BK19/BJ19-1</f>
        <v>9.0504166186691215E-2</v>
      </c>
      <c r="BL38" s="9">
        <f t="shared" ref="BL38:CB38" si="198">+BL19/BK19-1</f>
        <v>0.12874413145539898</v>
      </c>
      <c r="BM38" s="9">
        <f t="shared" si="198"/>
        <v>0.14999999999999991</v>
      </c>
      <c r="BN38" s="9">
        <f t="shared" si="198"/>
        <v>0.10000000000000009</v>
      </c>
      <c r="BO38" s="9">
        <f t="shared" si="198"/>
        <v>0.10000000000000009</v>
      </c>
      <c r="BP38" s="9">
        <f t="shared" si="198"/>
        <v>0.10000000000000009</v>
      </c>
      <c r="BQ38" s="9">
        <f t="shared" si="198"/>
        <v>5.0000000000000044E-2</v>
      </c>
      <c r="BR38" s="9">
        <f t="shared" si="198"/>
        <v>5.0000000000000044E-2</v>
      </c>
      <c r="BS38" s="9">
        <f t="shared" si="198"/>
        <v>5.0000000000000044E-2</v>
      </c>
      <c r="BT38" s="9">
        <f t="shared" si="198"/>
        <v>5.0000000000000044E-2</v>
      </c>
      <c r="BU38" s="9">
        <f t="shared" si="198"/>
        <v>5.0000000000000044E-2</v>
      </c>
      <c r="BV38" s="9">
        <f t="shared" si="198"/>
        <v>5.0000000000000044E-2</v>
      </c>
      <c r="BW38" s="9">
        <f t="shared" si="198"/>
        <v>5.0000000000000044E-2</v>
      </c>
      <c r="BX38" s="9">
        <f t="shared" si="198"/>
        <v>5.0000000000000044E-2</v>
      </c>
      <c r="BY38" s="9">
        <f t="shared" si="198"/>
        <v>5.0000000000000044E-2</v>
      </c>
      <c r="BZ38" s="9">
        <f t="shared" si="198"/>
        <v>5.0000000000000044E-2</v>
      </c>
      <c r="CA38" s="9">
        <f t="shared" si="198"/>
        <v>5.0000000000000044E-2</v>
      </c>
      <c r="CB38" s="9">
        <f t="shared" si="198"/>
        <v>5.0000000000000044E-2</v>
      </c>
      <c r="CD38" s="4" t="s">
        <v>94</v>
      </c>
      <c r="CE38" s="8">
        <f>NPV(CE36,BK32:GJ32)+Main!O5-Main!O6</f>
        <v>2528526.0037264777</v>
      </c>
    </row>
    <row r="39" spans="2:83" x14ac:dyDescent="0.2">
      <c r="B39" t="s">
        <v>31</v>
      </c>
      <c r="C39" s="5"/>
      <c r="D39" s="5"/>
      <c r="E39" s="5">
        <f t="shared" ref="E39" si="199">+E24/E20</f>
        <v>0.38338496198254013</v>
      </c>
      <c r="K39" s="5">
        <f t="shared" ref="K39" si="200">+K24/K20</f>
        <v>0.38354806739345887</v>
      </c>
      <c r="L39" s="5">
        <f t="shared" ref="L39:N39" si="201">+L24/L20</f>
        <v>0.38361943305952362</v>
      </c>
      <c r="M39" s="5">
        <f t="shared" si="201"/>
        <v>0.37999497361146017</v>
      </c>
      <c r="N39" s="5">
        <f t="shared" si="201"/>
        <v>0.38160375900336951</v>
      </c>
      <c r="O39" s="5">
        <f t="shared" ref="O39:Q39" si="202">+O24/O20</f>
        <v>0.39777815665969724</v>
      </c>
      <c r="P39" s="5">
        <f t="shared" si="202"/>
        <v>0.42506474370423292</v>
      </c>
      <c r="Q39" s="5">
        <f t="shared" si="202"/>
        <v>0.43292727853230839</v>
      </c>
      <c r="R39" s="5">
        <f t="shared" ref="R39" si="203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4">+V24/V20</f>
        <v>0.4225922392563175</v>
      </c>
      <c r="W39" s="5">
        <f t="shared" si="204"/>
        <v>0.42962254809908323</v>
      </c>
      <c r="X39" s="5">
        <f t="shared" si="204"/>
        <v>0.44261672782487665</v>
      </c>
      <c r="Y39" s="5">
        <f t="shared" ref="Y39:Z39" si="205">+Y24/Y20</f>
        <v>0.44516302553883397</v>
      </c>
      <c r="Z39" s="5">
        <f t="shared" si="205"/>
        <v>0.45170841806520817</v>
      </c>
      <c r="AA39" s="5">
        <f t="shared" ref="AA39:AD39" si="206">+AA24/AA20</f>
        <v>0.45874973865774621</v>
      </c>
      <c r="AB39" s="5">
        <f t="shared" si="206"/>
        <v>0.46578074554009236</v>
      </c>
      <c r="AC39" s="5">
        <f t="shared" si="206"/>
        <v>0.46257155181458898</v>
      </c>
      <c r="AD39" s="5">
        <f t="shared" si="206"/>
        <v>0.4622247972190035</v>
      </c>
      <c r="AE39" s="5">
        <f t="shared" ref="AE39:AG39" si="207">+AE24/AE20</f>
        <v>0.46882542236524538</v>
      </c>
      <c r="AF39" s="5">
        <f t="shared" ref="AF39:AH39" si="208">+AF24/AF20</f>
        <v>0.47</v>
      </c>
      <c r="AG39" s="5">
        <f t="shared" si="208"/>
        <v>0.47</v>
      </c>
      <c r="AH39" s="5">
        <f t="shared" si="208"/>
        <v>0.46999999999999992</v>
      </c>
      <c r="AI39" s="5"/>
      <c r="AJ39" s="5"/>
      <c r="AN39" s="5">
        <f t="shared" ref="AN39:AO39" si="209">+AN24/AN20</f>
        <v>0.27132656895903795</v>
      </c>
      <c r="AO39" s="5">
        <f t="shared" si="209"/>
        <v>0.23028155882901361</v>
      </c>
      <c r="AP39" s="5">
        <f t="shared" ref="AP39:AS39" si="210">+AP24/AP20</f>
        <v>0.27917102055033088</v>
      </c>
      <c r="AQ39" s="5">
        <f t="shared" si="210"/>
        <v>0.27517319155791847</v>
      </c>
      <c r="AR39" s="5">
        <f t="shared" si="210"/>
        <v>0.27285904094697427</v>
      </c>
      <c r="AS39" s="5">
        <f t="shared" si="210"/>
        <v>0.29021606489124974</v>
      </c>
      <c r="AT39" s="5">
        <f t="shared" ref="AT39:AV39" si="211">+AT24/AT20</f>
        <v>0.28982655966865128</v>
      </c>
      <c r="AU39" s="5">
        <f t="shared" si="211"/>
        <v>0.33966508372906773</v>
      </c>
      <c r="AV39" s="5">
        <f t="shared" si="211"/>
        <v>0.35200448107545812</v>
      </c>
      <c r="AW39" s="5">
        <f t="shared" ref="AW39:AX39" si="212">+AW24/AW20</f>
        <v>0.40139843841044165</v>
      </c>
      <c r="AX39" s="5">
        <f t="shared" si="212"/>
        <v>0.39377539287083174</v>
      </c>
      <c r="AY39" s="5">
        <f t="shared" ref="AY39:BB39" si="213">+AY24/AY20</f>
        <v>0.40478895878945764</v>
      </c>
      <c r="AZ39" s="5">
        <f t="shared" si="213"/>
        <v>0.43871239808827661</v>
      </c>
      <c r="BA39" s="5">
        <f t="shared" si="213"/>
        <v>0.37624480720847231</v>
      </c>
      <c r="BB39" s="5">
        <f t="shared" si="213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4">+BF24/BF20</f>
        <v>0.38343718820007905</v>
      </c>
      <c r="BG39" s="5">
        <f t="shared" si="214"/>
        <v>0.37817768109034722</v>
      </c>
      <c r="BH39" s="5">
        <f t="shared" si="214"/>
        <v>0.38233247727810865</v>
      </c>
      <c r="BI39" s="5">
        <f t="shared" si="214"/>
        <v>0.41779359625167778</v>
      </c>
      <c r="BJ39" s="5">
        <f t="shared" si="214"/>
        <v>0.43309630561360085</v>
      </c>
      <c r="BK39" s="5">
        <f>+BK24/BK20</f>
        <v>0.44131129577207562</v>
      </c>
      <c r="BL39" s="5">
        <f t="shared" ref="BL39:BU39" si="215">+BL24/BL20</f>
        <v>0.46206349815233932</v>
      </c>
      <c r="BM39" s="5">
        <f t="shared" si="215"/>
        <v>0.44854438338192931</v>
      </c>
      <c r="BN39" s="5">
        <f t="shared" si="215"/>
        <v>0.45140855975745009</v>
      </c>
      <c r="BO39" s="5">
        <f t="shared" si="215"/>
        <v>0.45432923675100334</v>
      </c>
      <c r="BP39" s="5">
        <f t="shared" si="215"/>
        <v>0.45730545426054175</v>
      </c>
      <c r="BQ39" s="5">
        <f t="shared" si="215"/>
        <v>0.45697068238485461</v>
      </c>
      <c r="BR39" s="5">
        <f t="shared" si="215"/>
        <v>0.45717681612790029</v>
      </c>
      <c r="BS39" s="5">
        <f t="shared" si="215"/>
        <v>0.45738102962408528</v>
      </c>
      <c r="BT39" s="5">
        <f t="shared" si="215"/>
        <v>0.457583299380595</v>
      </c>
      <c r="BU39" s="5">
        <f t="shared" si="215"/>
        <v>0.45778360188240302</v>
      </c>
      <c r="BV39" s="5">
        <f t="shared" ref="BV39:CB39" si="216">+BV24/BV20</f>
        <v>0.4584397926755906</v>
      </c>
      <c r="BW39" s="5">
        <f t="shared" si="216"/>
        <v>0.45919695422920942</v>
      </c>
      <c r="BX39" s="5">
        <f t="shared" si="216"/>
        <v>0.4599562654769131</v>
      </c>
      <c r="BY39" s="5">
        <f t="shared" si="216"/>
        <v>0.46071767793319518</v>
      </c>
      <c r="BZ39" s="5">
        <f t="shared" si="216"/>
        <v>0.46148114254667588</v>
      </c>
      <c r="CA39" s="5">
        <f t="shared" si="216"/>
        <v>0.46224660971172371</v>
      </c>
      <c r="CB39" s="5">
        <f t="shared" si="216"/>
        <v>0.46301402928039481</v>
      </c>
      <c r="CD39" s="4" t="s">
        <v>96</v>
      </c>
      <c r="CE39" s="6">
        <f>CE38/Main!O3</f>
        <v>166.88839045122288</v>
      </c>
    </row>
    <row r="40" spans="2:83" x14ac:dyDescent="0.2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7">(L19-L22)/L19</f>
        <v>0.65373089601438417</v>
      </c>
      <c r="M40" s="5">
        <f t="shared" si="217"/>
        <v>0.67224080267558528</v>
      </c>
      <c r="N40" s="5">
        <f t="shared" si="217"/>
        <v>0.66925561894288266</v>
      </c>
      <c r="O40" s="5">
        <f t="shared" si="217"/>
        <v>0.6839667533785927</v>
      </c>
      <c r="P40" s="5">
        <f t="shared" si="217"/>
        <v>0.70072776758771671</v>
      </c>
      <c r="Q40" s="5">
        <f t="shared" si="217"/>
        <v>0.69804414960539862</v>
      </c>
      <c r="R40" s="5">
        <f t="shared" si="217"/>
        <v>0.704765552333534</v>
      </c>
      <c r="S40" s="5">
        <f t="shared" si="217"/>
        <v>0.72366263578602175</v>
      </c>
      <c r="T40" s="5">
        <f t="shared" si="217"/>
        <v>0.72609858231168967</v>
      </c>
      <c r="U40" s="5">
        <f t="shared" si="217"/>
        <v>0.71490512140379514</v>
      </c>
      <c r="V40" s="5">
        <f t="shared" ref="V40:X40" si="218">(V19-V22)/V19</f>
        <v>0.70481550969355844</v>
      </c>
      <c r="W40" s="5">
        <f t="shared" si="218"/>
        <v>0.70832129442357705</v>
      </c>
      <c r="X40" s="5">
        <f t="shared" si="218"/>
        <v>0.70990577318601422</v>
      </c>
      <c r="Y40" s="5">
        <f t="shared" ref="Y40:Z40" si="219">(Y19-Y22)/Y19</f>
        <v>0.70546363079243857</v>
      </c>
      <c r="Z40" s="5">
        <f t="shared" si="219"/>
        <v>0.70937528009321504</v>
      </c>
      <c r="AA40" s="5">
        <f t="shared" ref="AA40:AD40" si="220">(AA19-AA22)/AA19</f>
        <v>0.728338452221309</v>
      </c>
      <c r="AB40" s="5">
        <f t="shared" si="220"/>
        <v>0.74617672937528801</v>
      </c>
      <c r="AC40" s="5">
        <f t="shared" si="220"/>
        <v>0.73997439392062114</v>
      </c>
      <c r="AD40" s="5">
        <f t="shared" si="220"/>
        <v>0.74030914624379307</v>
      </c>
      <c r="AE40" s="5">
        <f t="shared" ref="AE40:AG40" si="221">(AE19-AE22)/AE19</f>
        <v>0.75026575550493546</v>
      </c>
      <c r="AF40" s="5">
        <f t="shared" ref="AF40:AH40" si="222">(AF19-AF22)/AF19</f>
        <v>1</v>
      </c>
      <c r="AG40" s="5">
        <f t="shared" si="222"/>
        <v>1</v>
      </c>
      <c r="AH40" s="5">
        <f t="shared" si="222"/>
        <v>1</v>
      </c>
      <c r="AI40" s="5"/>
      <c r="AJ40" s="5"/>
      <c r="AN40" s="5">
        <f t="shared" ref="AN40:AO40" si="223">(AN19-AN22)/AN19</f>
        <v>1</v>
      </c>
      <c r="AO40" s="5">
        <f t="shared" si="223"/>
        <v>1</v>
      </c>
      <c r="AP40" s="5">
        <f t="shared" ref="AP40:AS40" si="224">(AP19-AP22)/AP19</f>
        <v>1</v>
      </c>
      <c r="AQ40" s="5">
        <f t="shared" si="224"/>
        <v>1</v>
      </c>
      <c r="AR40" s="5">
        <f t="shared" si="224"/>
        <v>1</v>
      </c>
      <c r="AS40" s="5">
        <f t="shared" si="224"/>
        <v>1</v>
      </c>
      <c r="AT40" s="5">
        <f t="shared" ref="AT40:AV40" si="225">(AT19-AT22)/AT19</f>
        <v>1</v>
      </c>
      <c r="AU40" s="5">
        <f t="shared" si="225"/>
        <v>1</v>
      </c>
      <c r="AV40" s="5">
        <f t="shared" si="225"/>
        <v>1</v>
      </c>
      <c r="AW40" s="5">
        <f t="shared" ref="AW40:AX40" si="226">(AW19-AW22)/AW19</f>
        <v>1</v>
      </c>
      <c r="AX40" s="5">
        <f t="shared" si="226"/>
        <v>1</v>
      </c>
      <c r="AY40" s="5">
        <f t="shared" ref="AY40:BB40" si="227">(AY19-AY22)/AY19</f>
        <v>1</v>
      </c>
      <c r="AZ40" s="5">
        <f t="shared" si="227"/>
        <v>1</v>
      </c>
      <c r="BA40" s="5">
        <f t="shared" si="227"/>
        <v>1</v>
      </c>
      <c r="BB40" s="5">
        <f t="shared" si="227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8">(BF19-BF22)/BF19</f>
        <v>0.60772869075173597</v>
      </c>
      <c r="BG40" s="5">
        <f t="shared" si="228"/>
        <v>0.63738091637683347</v>
      </c>
      <c r="BH40" s="5">
        <f t="shared" si="228"/>
        <v>0.66015101919357233</v>
      </c>
      <c r="BI40" s="5">
        <f t="shared" si="228"/>
        <v>0.69725977347460721</v>
      </c>
      <c r="BJ40" s="5">
        <f t="shared" si="228"/>
        <v>0.71745446633132381</v>
      </c>
      <c r="BK40" s="5">
        <f>(BK19-BK22)/BK19</f>
        <v>0.70827464788732397</v>
      </c>
      <c r="BL40" s="5">
        <f t="shared" ref="BL40:BU40" si="229">(BL19-BL22)/BL19</f>
        <v>0.7388035645582256</v>
      </c>
      <c r="BM40" s="5">
        <f t="shared" si="229"/>
        <v>0.73</v>
      </c>
      <c r="BN40" s="5">
        <f t="shared" si="229"/>
        <v>0.73000000000000009</v>
      </c>
      <c r="BO40" s="5">
        <f t="shared" si="229"/>
        <v>0.73</v>
      </c>
      <c r="BP40" s="5">
        <f t="shared" si="229"/>
        <v>0.73</v>
      </c>
      <c r="BQ40" s="5">
        <f t="shared" si="229"/>
        <v>0.73</v>
      </c>
      <c r="BR40" s="5">
        <f t="shared" si="229"/>
        <v>0.73</v>
      </c>
      <c r="BS40" s="5">
        <f t="shared" si="229"/>
        <v>0.73</v>
      </c>
      <c r="BT40" s="5">
        <f t="shared" si="229"/>
        <v>0.73</v>
      </c>
      <c r="BU40" s="5">
        <f t="shared" si="229"/>
        <v>0.73</v>
      </c>
      <c r="BV40" s="5">
        <f t="shared" ref="BV40:CB40" si="230">(BV19-BV22)/BV19</f>
        <v>0.73</v>
      </c>
      <c r="BW40" s="5">
        <f t="shared" si="230"/>
        <v>0.73000000000000009</v>
      </c>
      <c r="BX40" s="5">
        <f t="shared" si="230"/>
        <v>0.73</v>
      </c>
      <c r="BY40" s="5">
        <f t="shared" si="230"/>
        <v>0.73</v>
      </c>
      <c r="BZ40" s="5">
        <f t="shared" si="230"/>
        <v>0.73</v>
      </c>
      <c r="CA40" s="5">
        <f t="shared" si="230"/>
        <v>0.73</v>
      </c>
      <c r="CB40" s="5">
        <f t="shared" si="230"/>
        <v>0.73</v>
      </c>
      <c r="CD40" s="4" t="s">
        <v>97</v>
      </c>
      <c r="CE40" s="5">
        <f>CE39/Main!O2-1</f>
        <v>-0.29878827541502995</v>
      </c>
    </row>
    <row r="41" spans="2:83" x14ac:dyDescent="0.2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1">(L18-L21)/L18</f>
        <v>0.30343600578227509</v>
      </c>
      <c r="M41" s="5">
        <f t="shared" si="231"/>
        <v>0.29736293494379851</v>
      </c>
      <c r="N41" s="5">
        <f t="shared" si="231"/>
        <v>0.2981515085046561</v>
      </c>
      <c r="O41" s="5">
        <f t="shared" si="231"/>
        <v>0.35063441961579467</v>
      </c>
      <c r="P41" s="5">
        <f t="shared" si="231"/>
        <v>0.3609647372838215</v>
      </c>
      <c r="Q41" s="5">
        <f t="shared" si="231"/>
        <v>0.36043347720022517</v>
      </c>
      <c r="R41" s="5">
        <f t="shared" si="231"/>
        <v>0.34253184395310604</v>
      </c>
      <c r="S41" s="5">
        <f t="shared" si="231"/>
        <v>0.38418446983117716</v>
      </c>
      <c r="T41" s="5">
        <f t="shared" si="231"/>
        <v>0.36364692668190091</v>
      </c>
      <c r="U41" s="5">
        <f t="shared" si="231"/>
        <v>0.34519769552521506</v>
      </c>
      <c r="V41" s="5">
        <f t="shared" si="231"/>
        <v>0.34627526142224979</v>
      </c>
      <c r="W41" s="5">
        <f t="shared" ref="W41:X41" si="232">(W18-W21)/W18</f>
        <v>0.36957920073038136</v>
      </c>
      <c r="X41" s="5">
        <f t="shared" si="232"/>
        <v>0.36702782399329087</v>
      </c>
      <c r="Y41" s="5">
        <f t="shared" ref="Y41:Z41" si="233">(Y18-Y21)/Y18</f>
        <v>0.35402086359434837</v>
      </c>
      <c r="Z41" s="5">
        <f t="shared" si="233"/>
        <v>0.36612884020004766</v>
      </c>
      <c r="AA41" s="5">
        <f t="shared" ref="AA41:AD41" si="234">(AA18-AA21)/AA18</f>
        <v>0.39414045491301913</v>
      </c>
      <c r="AB41" s="5">
        <f t="shared" si="234"/>
        <v>0.36572675896301171</v>
      </c>
      <c r="AC41" s="5">
        <f t="shared" si="234"/>
        <v>0.35346956013254499</v>
      </c>
      <c r="AD41" s="5">
        <f t="shared" si="234"/>
        <v>0.36296063352297092</v>
      </c>
      <c r="AE41" s="5">
        <f t="shared" ref="AE41:AG41" si="235">(AE18-AE21)/AE18</f>
        <v>0.39315026541445486</v>
      </c>
      <c r="AF41" s="5">
        <f t="shared" ref="AF41:AH41" si="236">(AF18-AF21)/AF18</f>
        <v>1</v>
      </c>
      <c r="AG41" s="5">
        <f t="shared" si="236"/>
        <v>1</v>
      </c>
      <c r="AH41" s="5">
        <f t="shared" si="236"/>
        <v>1</v>
      </c>
      <c r="AI41" s="5"/>
      <c r="AJ41" s="5"/>
      <c r="AN41" s="5">
        <f t="shared" ref="AN41:AO41" si="237">(AN18-AN21)/AN18</f>
        <v>1</v>
      </c>
      <c r="AO41" s="5">
        <f t="shared" si="237"/>
        <v>1</v>
      </c>
      <c r="AP41" s="5">
        <f t="shared" ref="AP41:AS41" si="238">(AP18-AP21)/AP18</f>
        <v>1</v>
      </c>
      <c r="AQ41" s="5">
        <f t="shared" si="238"/>
        <v>1</v>
      </c>
      <c r="AR41" s="5">
        <f t="shared" si="238"/>
        <v>1</v>
      </c>
      <c r="AS41" s="5">
        <f t="shared" si="238"/>
        <v>1</v>
      </c>
      <c r="AT41" s="5">
        <f t="shared" ref="AT41:AV41" si="239">(AT18-AT21)/AT18</f>
        <v>1</v>
      </c>
      <c r="AU41" s="5">
        <f t="shared" si="239"/>
        <v>1</v>
      </c>
      <c r="AV41" s="5">
        <f t="shared" si="239"/>
        <v>1</v>
      </c>
      <c r="AW41" s="5">
        <f t="shared" ref="AW41:AX41" si="240">(AW18-AW21)/AW18</f>
        <v>1</v>
      </c>
      <c r="AX41" s="5">
        <f t="shared" si="240"/>
        <v>1</v>
      </c>
      <c r="AY41" s="5">
        <f t="shared" ref="AY41:BB41" si="241">(AY18-AY21)/AY18</f>
        <v>1</v>
      </c>
      <c r="AZ41" s="5">
        <f t="shared" si="241"/>
        <v>1</v>
      </c>
      <c r="BA41" s="5">
        <f t="shared" si="241"/>
        <v>1</v>
      </c>
      <c r="BB41" s="5">
        <f t="shared" si="241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2">(BF18-BF21)/BF18</f>
        <v>0.34396294836770025</v>
      </c>
      <c r="BG41" s="5">
        <f t="shared" si="242"/>
        <v>0.32207795851002652</v>
      </c>
      <c r="BH41" s="5">
        <f t="shared" si="242"/>
        <v>0.31466339293399231</v>
      </c>
      <c r="BI41" s="5">
        <f t="shared" si="242"/>
        <v>0.35349303276483562</v>
      </c>
      <c r="BJ41" s="5">
        <f t="shared" si="242"/>
        <v>0.36283479707399452</v>
      </c>
      <c r="BK41" s="5">
        <f>(BK18-BK21)/BK18</f>
        <v>0.36500662562691849</v>
      </c>
      <c r="BL41" s="5">
        <f t="shared" ref="BL41:BU41" si="243">(BL18-BL21)/BL18</f>
        <v>0.37180617636485724</v>
      </c>
      <c r="BM41" s="5">
        <f t="shared" si="243"/>
        <v>0.36</v>
      </c>
      <c r="BN41" s="5">
        <f t="shared" si="243"/>
        <v>0.35999999999999993</v>
      </c>
      <c r="BO41" s="5">
        <f t="shared" si="243"/>
        <v>0.35999999999999993</v>
      </c>
      <c r="BP41" s="5">
        <f t="shared" si="243"/>
        <v>0.35999999999999993</v>
      </c>
      <c r="BQ41" s="5">
        <f t="shared" si="243"/>
        <v>0.36000000000000004</v>
      </c>
      <c r="BR41" s="5">
        <f t="shared" si="243"/>
        <v>0.36000000000000004</v>
      </c>
      <c r="BS41" s="5">
        <f t="shared" si="243"/>
        <v>0.35999999999999993</v>
      </c>
      <c r="BT41" s="5">
        <f t="shared" si="243"/>
        <v>0.36000000000000004</v>
      </c>
      <c r="BU41" s="5">
        <f t="shared" si="243"/>
        <v>0.36</v>
      </c>
      <c r="BV41" s="5">
        <f t="shared" ref="BV41:CB41" si="244">(BV18-BV21)/BV18</f>
        <v>0.36</v>
      </c>
      <c r="BW41" s="5">
        <f t="shared" si="244"/>
        <v>0.36</v>
      </c>
      <c r="BX41" s="5">
        <f t="shared" si="244"/>
        <v>0.36</v>
      </c>
      <c r="BY41" s="5">
        <f t="shared" si="244"/>
        <v>0.36</v>
      </c>
      <c r="BZ41" s="5">
        <f t="shared" si="244"/>
        <v>0.35999999999999993</v>
      </c>
      <c r="CA41" s="5">
        <f t="shared" si="244"/>
        <v>0.35999999999999993</v>
      </c>
      <c r="CB41" s="5">
        <f t="shared" si="244"/>
        <v>0.36</v>
      </c>
    </row>
    <row r="42" spans="2:83" x14ac:dyDescent="0.2">
      <c r="B42" t="s">
        <v>30</v>
      </c>
      <c r="C42" s="5"/>
      <c r="D42" s="5"/>
      <c r="E42" s="5">
        <f t="shared" ref="E42" si="245">+E28/E20</f>
        <v>0.23677837228949591</v>
      </c>
      <c r="K42" s="5">
        <f t="shared" ref="K42" si="246">+K28/K20</f>
        <v>0.2784717759940753</v>
      </c>
      <c r="L42" s="5">
        <f t="shared" ref="L42:N42" si="247">+L28/L20</f>
        <v>0.22041397287054346</v>
      </c>
      <c r="M42" s="5">
        <f t="shared" si="247"/>
        <v>0.21933484124989527</v>
      </c>
      <c r="N42" s="5">
        <f t="shared" si="247"/>
        <v>0.2283687285542057</v>
      </c>
      <c r="O42" s="5">
        <f t="shared" ref="O42:Q42" si="248">+O28/O20</f>
        <v>0.30091799100853384</v>
      </c>
      <c r="P42" s="5">
        <f t="shared" si="248"/>
        <v>0.30700794784782998</v>
      </c>
      <c r="Q42" s="5">
        <f t="shared" si="248"/>
        <v>0.29626445956234498</v>
      </c>
      <c r="R42" s="5">
        <f t="shared" ref="R42" si="249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50">+V28/V20</f>
        <v>0.27615202005635303</v>
      </c>
      <c r="W42" s="5">
        <f t="shared" si="250"/>
        <v>0.30742441572630896</v>
      </c>
      <c r="X42" s="5">
        <f t="shared" si="250"/>
        <v>0.29859968788223878</v>
      </c>
      <c r="Y42" s="5">
        <f t="shared" ref="Y42:Z42" si="251">+Y28/Y20</f>
        <v>0.28115945572576012</v>
      </c>
      <c r="Z42" s="5">
        <f t="shared" si="251"/>
        <v>0.30133634271156895</v>
      </c>
      <c r="AA42" s="5">
        <f t="shared" ref="AA42:AD42" si="252">+AA28/AA20</f>
        <v>0.33763746602550698</v>
      </c>
      <c r="AB42" s="5">
        <f t="shared" si="252"/>
        <v>0.30742785362467356</v>
      </c>
      <c r="AC42" s="5">
        <f t="shared" si="252"/>
        <v>0.29555708406682446</v>
      </c>
      <c r="AD42" s="5">
        <f t="shared" si="252"/>
        <v>0.31171389444854103</v>
      </c>
      <c r="AE42" s="5">
        <f t="shared" ref="AE42:AG42" si="253">+AE28/AE20</f>
        <v>0.34458567980691873</v>
      </c>
      <c r="AF42" s="5">
        <f t="shared" ref="AF42:AH42" si="254">+AF28/AF20</f>
        <v>0.31719379826497812</v>
      </c>
      <c r="AG42" s="5">
        <f t="shared" si="254"/>
        <v>0.30646732902383006</v>
      </c>
      <c r="AH42" s="5">
        <f t="shared" si="254"/>
        <v>0.32251580902944293</v>
      </c>
      <c r="AI42" s="5"/>
      <c r="AJ42" s="5"/>
      <c r="AN42" s="5">
        <f t="shared" ref="AN42:AO42" si="255">+AN28/AN20</f>
        <v>7.7665038206188156E-2</v>
      </c>
      <c r="AO42" s="5">
        <f t="shared" si="255"/>
        <v>-6.2092112623531606E-2</v>
      </c>
      <c r="AP42" s="5">
        <f t="shared" ref="AP42:AS42" si="256">+AP28/AP20</f>
        <v>8.3594566353187051E-3</v>
      </c>
      <c r="AQ42" s="5">
        <f t="shared" si="256"/>
        <v>4.0277106492669565E-3</v>
      </c>
      <c r="AR42" s="5">
        <f t="shared" si="256"/>
        <v>4.2154849619519263E-2</v>
      </c>
      <c r="AS42" s="5">
        <f t="shared" si="256"/>
        <v>0.11844088722991888</v>
      </c>
      <c r="AT42" s="5">
        <f t="shared" ref="AT42:AV42" si="257">+AT28/AT20</f>
        <v>0.1269997411338338</v>
      </c>
      <c r="AU42" s="5">
        <f t="shared" si="257"/>
        <v>0.1836624177289011</v>
      </c>
      <c r="AV42" s="5">
        <f t="shared" si="257"/>
        <v>0.22210663892667573</v>
      </c>
      <c r="AW42" s="5">
        <f t="shared" ref="AW42:AX42" si="258">+AW28/AW20</f>
        <v>0.2736277823097541</v>
      </c>
      <c r="AX42" s="5">
        <f t="shared" si="258"/>
        <v>0.28187044844768111</v>
      </c>
      <c r="AY42" s="5">
        <f t="shared" ref="AY42:BB42" si="259">+AY28/AY20</f>
        <v>0.31215068961376086</v>
      </c>
      <c r="AZ42" s="5">
        <f t="shared" si="259"/>
        <v>0.35295959311984054</v>
      </c>
      <c r="BA42" s="5">
        <f t="shared" si="259"/>
        <v>0.28669475162366159</v>
      </c>
      <c r="BB42" s="5">
        <f t="shared" si="259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60">+BF28/BF20</f>
        <v>0.26694026619477024</v>
      </c>
      <c r="BG42" s="5">
        <f t="shared" si="260"/>
        <v>0.24572017188496928</v>
      </c>
      <c r="BH42" s="5">
        <f t="shared" si="260"/>
        <v>0.24147314354406862</v>
      </c>
      <c r="BI42" s="5">
        <f t="shared" si="260"/>
        <v>0.29782377527561593</v>
      </c>
      <c r="BJ42" s="5">
        <f t="shared" si="260"/>
        <v>0.30288744395528594</v>
      </c>
      <c r="BK42" s="5">
        <f>+BK28/BK20</f>
        <v>0.29821412265024722</v>
      </c>
      <c r="BL42" s="5">
        <f t="shared" ref="BL42:BU42" si="261">+BL28/BL20</f>
        <v>0.31510222870075566</v>
      </c>
      <c r="BM42" s="5">
        <f t="shared" si="261"/>
        <v>0.32046415187008748</v>
      </c>
      <c r="BN42" s="5">
        <f t="shared" si="261"/>
        <v>0.32759948108680048</v>
      </c>
      <c r="BO42" s="5">
        <f t="shared" si="261"/>
        <v>0.33469472388041854</v>
      </c>
      <c r="BP42" s="5">
        <f t="shared" si="261"/>
        <v>0.34174961685820315</v>
      </c>
      <c r="BQ42" s="5">
        <f t="shared" si="261"/>
        <v>0.34400589686818112</v>
      </c>
      <c r="BR42" s="5">
        <f t="shared" si="261"/>
        <v>0.34612818184226019</v>
      </c>
      <c r="BS42" s="5">
        <f t="shared" si="261"/>
        <v>0.34821868784968824</v>
      </c>
      <c r="BT42" s="5">
        <f t="shared" si="261"/>
        <v>0.35027781850265421</v>
      </c>
      <c r="BU42" s="5">
        <f t="shared" si="261"/>
        <v>0.35230597177436823</v>
      </c>
      <c r="BV42" s="5">
        <f t="shared" ref="BV42:CB42" si="262">+BV28/BV20</f>
        <v>0.35427691995450838</v>
      </c>
      <c r="BW42" s="5">
        <f t="shared" si="262"/>
        <v>0.35623221550815265</v>
      </c>
      <c r="BX42" s="5">
        <f t="shared" si="262"/>
        <v>0.3581796202305253</v>
      </c>
      <c r="BY42" s="5">
        <f t="shared" si="262"/>
        <v>0.36011912355560438</v>
      </c>
      <c r="BZ42" s="5">
        <f t="shared" si="262"/>
        <v>0.36205071446518139</v>
      </c>
      <c r="CA42" s="5">
        <f t="shared" si="262"/>
        <v>0.36397438150737965</v>
      </c>
      <c r="CB42" s="5">
        <f t="shared" si="262"/>
        <v>0.36589011281531808</v>
      </c>
    </row>
    <row r="43" spans="2:83" x14ac:dyDescent="0.2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3">L31/L30</f>
        <v>0.14358583936048724</v>
      </c>
      <c r="M43" s="5">
        <f t="shared" si="263"/>
        <v>0.14341173783968944</v>
      </c>
      <c r="N43" s="5">
        <f t="shared" si="263"/>
        <v>0.14952016643178309</v>
      </c>
      <c r="O43" s="5">
        <f t="shared" si="263"/>
        <v>0.14366121683194855</v>
      </c>
      <c r="P43" s="5">
        <f t="shared" si="263"/>
        <v>0.1564028417407447</v>
      </c>
      <c r="Q43" s="5">
        <f t="shared" si="263"/>
        <v>0.10771882309491568</v>
      </c>
      <c r="R43" s="5">
        <f t="shared" si="263"/>
        <v>0.11600997935306263</v>
      </c>
      <c r="S43" s="5">
        <f t="shared" si="263"/>
        <v>0.16030164157028201</v>
      </c>
      <c r="T43" s="5">
        <f t="shared" si="263"/>
        <v>0.17017817445834302</v>
      </c>
      <c r="U43" s="5">
        <f t="shared" si="263"/>
        <v>0.15711436746726784</v>
      </c>
      <c r="V43" s="5">
        <f t="shared" ref="V43:X43" si="264">V31/V30</f>
        <v>0.15963012531938192</v>
      </c>
      <c r="W43" s="5">
        <f t="shared" si="264"/>
        <v>0.15790360160570419</v>
      </c>
      <c r="X43" s="5">
        <f t="shared" si="264"/>
        <v>0.14875625396377987</v>
      </c>
      <c r="Y43" s="5">
        <f t="shared" ref="Y43:Z43" si="265">Y31/Y30</f>
        <v>0.12545638499098227</v>
      </c>
      <c r="Z43" s="5">
        <f t="shared" si="265"/>
        <v>0.14971479368842136</v>
      </c>
      <c r="AA43" s="5">
        <f t="shared" ref="AA43:AD43" si="266">AA31/AA30</f>
        <v>0.15889194752374575</v>
      </c>
      <c r="AB43" s="5">
        <f t="shared" si="266"/>
        <v>0.1576021099151757</v>
      </c>
      <c r="AC43" s="5">
        <f t="shared" si="266"/>
        <v>0.15870400878638111</v>
      </c>
      <c r="AD43" s="5">
        <f t="shared" si="266"/>
        <v>0.50233029381965555</v>
      </c>
      <c r="AE43" s="5">
        <f t="shared" ref="AE43:AG43" si="267">AE31/AE30</f>
        <v>0.14686267142588766</v>
      </c>
      <c r="AF43" s="5">
        <f t="shared" ref="AF43:AH43" si="268">AF31/AF30</f>
        <v>0.15</v>
      </c>
      <c r="AG43" s="5">
        <f t="shared" si="268"/>
        <v>0.15</v>
      </c>
      <c r="AH43" s="5">
        <f t="shared" si="268"/>
        <v>0.15</v>
      </c>
      <c r="AI43" s="5"/>
      <c r="AJ43" s="5"/>
      <c r="AN43" s="5">
        <f t="shared" ref="AN43:AO43" si="269">AN31/AN30</f>
        <v>0.37181044957472659</v>
      </c>
      <c r="AO43" s="5">
        <f t="shared" si="269"/>
        <v>0</v>
      </c>
      <c r="AP43" s="5">
        <f t="shared" ref="AP43:AS43" si="270">AP31/AP30</f>
        <v>0.1864406779661017</v>
      </c>
      <c r="AQ43" s="5">
        <f t="shared" si="270"/>
        <v>0.20338983050847459</v>
      </c>
      <c r="AR43" s="5">
        <f t="shared" si="270"/>
        <v>0.26354679802955666</v>
      </c>
      <c r="AS43" s="5">
        <f t="shared" si="270"/>
        <v>0.26446280991735538</v>
      </c>
      <c r="AT43" s="5">
        <f t="shared" ref="AT43:AV43" si="271">AT31/AT30</f>
        <v>0.29418026969481903</v>
      </c>
      <c r="AU43" s="5">
        <f t="shared" si="271"/>
        <v>0.30191693290734822</v>
      </c>
      <c r="AV43" s="5">
        <f t="shared" si="271"/>
        <v>0.3160836034424947</v>
      </c>
      <c r="AW43" s="5">
        <f t="shared" ref="AW43:AX43" si="272">AW31/AW30</f>
        <v>0.31750372948781702</v>
      </c>
      <c r="AX43" s="5">
        <f t="shared" si="272"/>
        <v>0.24417475728155341</v>
      </c>
      <c r="AY43" s="5">
        <f t="shared" ref="AY43:BB43" si="273">AY31/AY30</f>
        <v>0.24215757930127174</v>
      </c>
      <c r="AZ43" s="5">
        <f t="shared" si="273"/>
        <v>0.25160052364471064</v>
      </c>
      <c r="BA43" s="5">
        <f t="shared" si="273"/>
        <v>0.26154919748778788</v>
      </c>
      <c r="BB43" s="5">
        <f t="shared" si="273"/>
        <v>0.26126058747639436</v>
      </c>
      <c r="BC43" s="5">
        <f t="shared" ref="BC43:BD43" si="274">BC31/BC30</f>
        <v>0.26368337585327173</v>
      </c>
      <c r="BD43" s="5">
        <f t="shared" si="274"/>
        <v>0.25557257381216192</v>
      </c>
      <c r="BE43" s="5">
        <f t="shared" ref="BE43" si="275">BE31/BE30</f>
        <v>0.24556476150353415</v>
      </c>
      <c r="BF43" s="5">
        <f t="shared" ref="BF43:BJ43" si="276">BF31/BF30</f>
        <v>0.18342180705869443</v>
      </c>
      <c r="BG43" s="5">
        <f t="shared" si="276"/>
        <v>0.15943836804235059</v>
      </c>
      <c r="BH43" s="5">
        <f t="shared" si="276"/>
        <v>0.14428164731484103</v>
      </c>
      <c r="BI43" s="5">
        <f t="shared" si="276"/>
        <v>0.13302260844085087</v>
      </c>
      <c r="BJ43" s="5">
        <f t="shared" si="276"/>
        <v>0.16204461684424407</v>
      </c>
      <c r="BK43" s="5">
        <f>BK31/BK30</f>
        <v>0.14719174228036858</v>
      </c>
      <c r="BL43" s="5">
        <f t="shared" ref="BL43:BU43" si="277">BL31/BL30</f>
        <v>0.24091185164189982</v>
      </c>
      <c r="BM43" s="5">
        <f t="shared" si="277"/>
        <v>0.2</v>
      </c>
      <c r="BN43" s="5">
        <f t="shared" si="277"/>
        <v>0.2</v>
      </c>
      <c r="BO43" s="5">
        <f t="shared" si="277"/>
        <v>0.2</v>
      </c>
      <c r="BP43" s="5">
        <f t="shared" si="277"/>
        <v>0.2</v>
      </c>
      <c r="BQ43" s="5">
        <f t="shared" si="277"/>
        <v>0.2</v>
      </c>
      <c r="BR43" s="5">
        <f t="shared" si="277"/>
        <v>0.2</v>
      </c>
      <c r="BS43" s="5">
        <f t="shared" si="277"/>
        <v>0.2</v>
      </c>
      <c r="BT43" s="5">
        <f t="shared" si="277"/>
        <v>0.2</v>
      </c>
      <c r="BU43" s="5">
        <f t="shared" si="277"/>
        <v>0.2</v>
      </c>
      <c r="BV43" s="5">
        <f t="shared" ref="BV43:CB43" si="278">BV31/BV30</f>
        <v>0.2</v>
      </c>
      <c r="BW43" s="5">
        <f t="shared" si="278"/>
        <v>0.2</v>
      </c>
      <c r="BX43" s="5">
        <f t="shared" si="278"/>
        <v>0.2</v>
      </c>
      <c r="BY43" s="5">
        <f t="shared" si="278"/>
        <v>0.2</v>
      </c>
      <c r="BZ43" s="5">
        <f t="shared" si="278"/>
        <v>0.2</v>
      </c>
      <c r="CA43" s="5">
        <f t="shared" si="278"/>
        <v>0.20000000000000004</v>
      </c>
      <c r="CB43" s="5">
        <f t="shared" si="278"/>
        <v>0.20000000000000004</v>
      </c>
    </row>
    <row r="45" spans="2:83" s="2" customFormat="1" x14ac:dyDescent="0.2">
      <c r="B45" s="2" t="s">
        <v>109</v>
      </c>
      <c r="AP45" s="2">
        <v>10211</v>
      </c>
      <c r="AQ45" s="2">
        <v>10912</v>
      </c>
      <c r="AR45" s="2">
        <v>11695</v>
      </c>
      <c r="AS45" s="2">
        <v>14800</v>
      </c>
      <c r="AT45" s="2">
        <v>17787</v>
      </c>
    </row>
    <row r="46" spans="2:83" s="2" customFormat="1" x14ac:dyDescent="0.2"/>
    <row r="47" spans="2:83" x14ac:dyDescent="0.2">
      <c r="B47" t="s">
        <v>128</v>
      </c>
      <c r="W47" s="2">
        <f>W48-W60</f>
        <v>54340</v>
      </c>
      <c r="X47" s="2">
        <f>X48-X60</f>
        <v>56718</v>
      </c>
      <c r="AE47" s="2">
        <f>AE48-AE60</f>
        <v>44569</v>
      </c>
    </row>
    <row r="48" spans="2:83" s="2" customFormat="1" x14ac:dyDescent="0.2">
      <c r="B48" s="2" t="s">
        <v>3</v>
      </c>
      <c r="W48" s="2">
        <f>20535+30820+114095</f>
        <v>165450</v>
      </c>
      <c r="X48" s="2">
        <f>24687+31185+110461</f>
        <v>166333</v>
      </c>
      <c r="AE48" s="2">
        <f>30299+23476+87593</f>
        <v>141368</v>
      </c>
    </row>
    <row r="49" spans="2:31" s="2" customFormat="1" x14ac:dyDescent="0.2">
      <c r="B49" s="2" t="s">
        <v>115</v>
      </c>
      <c r="W49" s="2">
        <v>23752</v>
      </c>
      <c r="X49" s="2">
        <v>17936</v>
      </c>
      <c r="AE49" s="2">
        <v>29639</v>
      </c>
    </row>
    <row r="50" spans="2:31" s="2" customFormat="1" x14ac:dyDescent="0.2">
      <c r="B50" s="2" t="s">
        <v>116</v>
      </c>
      <c r="W50" s="2">
        <v>6820</v>
      </c>
      <c r="X50" s="2">
        <v>7482</v>
      </c>
      <c r="AE50" s="2">
        <v>29667</v>
      </c>
    </row>
    <row r="51" spans="2:31" s="2" customFormat="1" x14ac:dyDescent="0.2">
      <c r="B51" s="2" t="s">
        <v>117</v>
      </c>
      <c r="W51" s="2">
        <v>30428</v>
      </c>
      <c r="X51" s="2">
        <v>17963</v>
      </c>
      <c r="AE51" s="2">
        <v>6911</v>
      </c>
    </row>
    <row r="52" spans="2:31" s="2" customFormat="1" x14ac:dyDescent="0.2">
      <c r="B52" s="2" t="s">
        <v>118</v>
      </c>
      <c r="W52" s="2">
        <v>16422</v>
      </c>
      <c r="X52" s="2">
        <v>13660</v>
      </c>
      <c r="AE52" s="2">
        <v>13248</v>
      </c>
    </row>
    <row r="53" spans="2:31" s="2" customFormat="1" x14ac:dyDescent="0.2">
      <c r="B53" s="2" t="s">
        <v>119</v>
      </c>
      <c r="W53" s="2">
        <v>42951</v>
      </c>
      <c r="X53" s="2">
        <v>43398</v>
      </c>
      <c r="AE53" s="2">
        <v>46069</v>
      </c>
    </row>
    <row r="54" spans="2:31" s="2" customFormat="1" x14ac:dyDescent="0.2">
      <c r="B54" s="2" t="s">
        <v>120</v>
      </c>
      <c r="W54" s="2">
        <v>60924</v>
      </c>
      <c r="X54" s="2">
        <v>65388</v>
      </c>
      <c r="AE54" s="2">
        <v>77183</v>
      </c>
    </row>
    <row r="55" spans="2:31" s="2" customFormat="1" x14ac:dyDescent="0.2">
      <c r="B55" s="2" t="s">
        <v>121</v>
      </c>
      <c r="W55" s="2">
        <f>SUM(W48:W54)</f>
        <v>346747</v>
      </c>
      <c r="X55" s="2">
        <f>SUM(X48:X54)</f>
        <v>332160</v>
      </c>
      <c r="AE55" s="2">
        <f>SUM(AE48:AE54)</f>
        <v>344085</v>
      </c>
    </row>
    <row r="57" spans="2:31" x14ac:dyDescent="0.2">
      <c r="B57" s="2" t="s">
        <v>122</v>
      </c>
      <c r="W57" s="2">
        <v>57918</v>
      </c>
      <c r="X57" s="2">
        <v>42945</v>
      </c>
      <c r="AE57" s="2">
        <v>61910</v>
      </c>
    </row>
    <row r="58" spans="2:31" x14ac:dyDescent="0.2">
      <c r="B58" s="2" t="s">
        <v>123</v>
      </c>
      <c r="W58" s="2">
        <v>59893</v>
      </c>
      <c r="X58" s="2">
        <v>56425</v>
      </c>
      <c r="AE58" s="2">
        <v>61151</v>
      </c>
    </row>
    <row r="59" spans="2:31" x14ac:dyDescent="0.2">
      <c r="B59" s="2" t="s">
        <v>124</v>
      </c>
      <c r="W59" s="2">
        <v>7992</v>
      </c>
      <c r="X59" s="2">
        <v>8131</v>
      </c>
      <c r="AE59" s="2">
        <v>8461</v>
      </c>
    </row>
    <row r="60" spans="2:31" x14ac:dyDescent="0.2">
      <c r="B60" s="2" t="s">
        <v>4</v>
      </c>
      <c r="W60" s="2">
        <f>1743+9740+99627</f>
        <v>111110</v>
      </c>
      <c r="X60" s="2">
        <f>1996+10578+97041</f>
        <v>109615</v>
      </c>
      <c r="AE60" s="2">
        <f>1995+83956+10848</f>
        <v>96799</v>
      </c>
    </row>
    <row r="61" spans="2:31" x14ac:dyDescent="0.2">
      <c r="B61" s="2" t="s">
        <v>127</v>
      </c>
      <c r="W61" s="2">
        <v>53107</v>
      </c>
      <c r="X61" s="2">
        <v>52886</v>
      </c>
      <c r="AE61" s="2">
        <v>49006</v>
      </c>
    </row>
    <row r="62" spans="2:31" x14ac:dyDescent="0.2">
      <c r="B62" s="2" t="s">
        <v>126</v>
      </c>
      <c r="W62" s="2">
        <v>56727</v>
      </c>
      <c r="X62" s="2">
        <v>62158</v>
      </c>
      <c r="AE62" s="2">
        <v>66758</v>
      </c>
    </row>
    <row r="63" spans="2:31" x14ac:dyDescent="0.2">
      <c r="B63" s="2" t="s">
        <v>125</v>
      </c>
      <c r="W63" s="2">
        <f>SUM(W57:W62)</f>
        <v>346747</v>
      </c>
      <c r="X63" s="2">
        <f>SUM(X57:X62)</f>
        <v>332160</v>
      </c>
      <c r="AE63" s="2">
        <f>SUM(AE57:AE62)</f>
        <v>344085</v>
      </c>
    </row>
    <row r="65" spans="2:31" x14ac:dyDescent="0.2">
      <c r="B65" s="2" t="s">
        <v>129</v>
      </c>
      <c r="W65" s="2">
        <f>W32</f>
        <v>29998</v>
      </c>
      <c r="X65" s="2">
        <f>X32</f>
        <v>24160</v>
      </c>
      <c r="AE65" s="2">
        <f>AE32</f>
        <v>36330</v>
      </c>
    </row>
    <row r="66" spans="2:31" x14ac:dyDescent="0.2">
      <c r="B66" s="2" t="s">
        <v>130</v>
      </c>
      <c r="W66" s="2">
        <v>29998</v>
      </c>
      <c r="X66" s="2">
        <f>54158-W66</f>
        <v>24160</v>
      </c>
      <c r="AE66" s="2">
        <v>36330</v>
      </c>
    </row>
    <row r="67" spans="2:31" x14ac:dyDescent="0.2">
      <c r="B67" s="2" t="s">
        <v>132</v>
      </c>
      <c r="W67" s="2">
        <v>2916</v>
      </c>
      <c r="X67" s="2">
        <f>5814-W67</f>
        <v>2898</v>
      </c>
      <c r="AE67" s="2">
        <v>3080</v>
      </c>
    </row>
    <row r="68" spans="2:31" x14ac:dyDescent="0.2">
      <c r="B68" s="2" t="s">
        <v>133</v>
      </c>
      <c r="W68" s="2">
        <v>2905</v>
      </c>
      <c r="X68" s="2">
        <f>5591-W68</f>
        <v>2686</v>
      </c>
      <c r="AE68" s="2">
        <v>3286</v>
      </c>
    </row>
    <row r="69" spans="2:31" x14ac:dyDescent="0.2">
      <c r="B69" s="2" t="s">
        <v>134</v>
      </c>
      <c r="W69" s="2">
        <v>-317</v>
      </c>
      <c r="X69" s="2">
        <f>-1732-W69</f>
        <v>-1415</v>
      </c>
      <c r="AE69" s="2">
        <v>-2009</v>
      </c>
    </row>
    <row r="70" spans="2:31" x14ac:dyDescent="0.2">
      <c r="B70" s="2" t="s">
        <v>135</v>
      </c>
      <c r="W70" s="2">
        <f>4275-1807+2320-4099-6075+131+3758</f>
        <v>-1497</v>
      </c>
      <c r="X70" s="2">
        <f>9596-2548+14785-4092-20764+1757-W70</f>
        <v>231</v>
      </c>
      <c r="AE70" s="2">
        <f>3597+3166+215+939-6671-11998</f>
        <v>-10752</v>
      </c>
    </row>
    <row r="71" spans="2:31" x14ac:dyDescent="0.2">
      <c r="B71" t="s">
        <v>131</v>
      </c>
      <c r="W71" s="2">
        <f>SUM(W66:W70)</f>
        <v>34005</v>
      </c>
      <c r="X71" s="2">
        <f>SUM(X66:X70)</f>
        <v>28560</v>
      </c>
      <c r="AE71" s="2">
        <f>SUM(AE66:AE70)</f>
        <v>29935</v>
      </c>
    </row>
    <row r="73" spans="2:31" x14ac:dyDescent="0.2">
      <c r="B73" s="2" t="s">
        <v>136</v>
      </c>
      <c r="W73" s="2">
        <f>-5153+7127+509</f>
        <v>2483</v>
      </c>
      <c r="X73" s="2">
        <f>-11197+17124+1897-W73</f>
        <v>5341</v>
      </c>
      <c r="AE73" s="2">
        <f>-6124+15967+3492</f>
        <v>13335</v>
      </c>
    </row>
    <row r="74" spans="2:31" x14ac:dyDescent="0.2">
      <c r="B74" s="2" t="s">
        <v>137</v>
      </c>
      <c r="W74" s="2">
        <v>-3787</v>
      </c>
      <c r="X74" s="2">
        <f>-6703-W74</f>
        <v>-2916</v>
      </c>
      <c r="AE74" s="2">
        <v>-2940</v>
      </c>
    </row>
    <row r="75" spans="2:31" x14ac:dyDescent="0.2">
      <c r="B75" s="2" t="s">
        <v>134</v>
      </c>
      <c r="W75" s="2">
        <v>-141</v>
      </c>
      <c r="X75" s="2">
        <f>-247-W75</f>
        <v>-106</v>
      </c>
      <c r="AE75" s="2">
        <v>-603</v>
      </c>
    </row>
    <row r="76" spans="2:31" x14ac:dyDescent="0.2">
      <c r="B76" s="2" t="s">
        <v>138</v>
      </c>
      <c r="W76" s="2">
        <f>SUM(W73:W75)</f>
        <v>-1445</v>
      </c>
      <c r="X76" s="2">
        <f>SUM(X73:X75)</f>
        <v>2319</v>
      </c>
      <c r="AE76" s="2">
        <f>SUM(AE73:AE75)</f>
        <v>9792</v>
      </c>
    </row>
    <row r="78" spans="2:31" x14ac:dyDescent="0.2">
      <c r="B78" s="2" t="s">
        <v>139</v>
      </c>
      <c r="W78" s="2">
        <v>-2316</v>
      </c>
      <c r="X78" s="2">
        <f>-2734-W78</f>
        <v>-418</v>
      </c>
      <c r="AE78" s="2">
        <v>-2921</v>
      </c>
    </row>
    <row r="79" spans="2:31" x14ac:dyDescent="0.2">
      <c r="B79" s="2" t="s">
        <v>140</v>
      </c>
      <c r="W79" s="2">
        <v>-3768</v>
      </c>
      <c r="X79" s="2">
        <f>-7418-W79</f>
        <v>-3650</v>
      </c>
      <c r="AE79" s="2">
        <v>-3856</v>
      </c>
    </row>
    <row r="80" spans="2:31" x14ac:dyDescent="0.2">
      <c r="B80" s="2" t="s">
        <v>141</v>
      </c>
      <c r="W80" s="2">
        <v>-19475</v>
      </c>
      <c r="X80" s="2">
        <f>-39069-W80</f>
        <v>-19594</v>
      </c>
      <c r="AE80" s="2">
        <v>-23606</v>
      </c>
    </row>
    <row r="81" spans="2:31" x14ac:dyDescent="0.2">
      <c r="B81" s="2" t="s">
        <v>4</v>
      </c>
      <c r="W81" s="2">
        <f>-1401-8214</f>
        <v>-9615</v>
      </c>
      <c r="X81" s="2">
        <f>-3651-7960-W81</f>
        <v>-1996</v>
      </c>
      <c r="AE81" s="2">
        <f>-1009-7944</f>
        <v>-8953</v>
      </c>
    </row>
    <row r="82" spans="2:31" x14ac:dyDescent="0.2">
      <c r="B82" s="2" t="s">
        <v>134</v>
      </c>
      <c r="W82" s="2">
        <v>-389</v>
      </c>
      <c r="X82" s="2">
        <f>-455-W82</f>
        <v>-66</v>
      </c>
      <c r="AE82" s="2">
        <v>-35</v>
      </c>
    </row>
    <row r="83" spans="2:31" x14ac:dyDescent="0.2">
      <c r="B83" s="2" t="s">
        <v>142</v>
      </c>
      <c r="W83" s="2">
        <f>SUM(W78:W82)</f>
        <v>-35563</v>
      </c>
      <c r="X83" s="2">
        <f>SUM(X78:X82)</f>
        <v>-25724</v>
      </c>
      <c r="AE83" s="2">
        <f>SUM(AE78:AE82)</f>
        <v>-39371</v>
      </c>
    </row>
    <row r="84" spans="2:31" x14ac:dyDescent="0.2">
      <c r="AE84" s="2"/>
    </row>
    <row r="85" spans="2:31" x14ac:dyDescent="0.2">
      <c r="B85" s="2" t="s">
        <v>143</v>
      </c>
      <c r="W85" s="2">
        <f>W83+W76+W71</f>
        <v>-3003</v>
      </c>
      <c r="X85" s="2">
        <f>X83+X76+X71</f>
        <v>5155</v>
      </c>
      <c r="AE85" s="2">
        <f>AE83+AE76+AE71</f>
        <v>356</v>
      </c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B2" t="s">
        <v>76</v>
      </c>
      <c r="C2" t="s">
        <v>37</v>
      </c>
    </row>
    <row r="3" spans="1:3" x14ac:dyDescent="0.2">
      <c r="B3" t="s">
        <v>77</v>
      </c>
      <c r="C3" t="s">
        <v>78</v>
      </c>
    </row>
    <row r="4" spans="1:3" x14ac:dyDescent="0.2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2025-01-30T23:01:47Z</dcterms:modified>
</cp:coreProperties>
</file>