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63E10C46-6072-4BE0-8496-A629B3B7C29D}" xr6:coauthVersionLast="47" xr6:coauthVersionMax="47" xr10:uidLastSave="{00000000-0000-0000-0000-000000000000}"/>
  <bookViews>
    <workbookView xWindow="14090" yWindow="2890" windowWidth="28800" windowHeight="15370" activeTab="1" xr2:uid="{8C7D3156-1DAC-C540-96E2-F406281F63E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1" i="2" l="1"/>
  <c r="L66" i="2"/>
  <c r="L70" i="2"/>
  <c r="L67" i="2"/>
  <c r="L68" i="2"/>
  <c r="L63" i="2"/>
  <c r="L62" i="2"/>
  <c r="L57" i="2"/>
  <c r="L56" i="2"/>
  <c r="L55" i="2"/>
  <c r="L54" i="2"/>
  <c r="L53" i="2"/>
  <c r="L52" i="2"/>
  <c r="L51" i="2"/>
  <c r="L45" i="2"/>
  <c r="L48" i="2"/>
  <c r="L31" i="2"/>
  <c r="L34" i="2"/>
  <c r="K11" i="2"/>
  <c r="K6" i="2" s="1"/>
  <c r="K66" i="2"/>
  <c r="K69" i="2" s="1"/>
  <c r="K61" i="2"/>
  <c r="K64" i="2" s="1"/>
  <c r="K58" i="2"/>
  <c r="K59" i="2" s="1"/>
  <c r="K45" i="2"/>
  <c r="K48" i="2" s="1"/>
  <c r="K34" i="2"/>
  <c r="K31" i="2"/>
  <c r="M48" i="2"/>
  <c r="M31" i="2"/>
  <c r="M34" i="2"/>
  <c r="I5" i="1"/>
  <c r="N20" i="2"/>
  <c r="O20" i="2" s="1"/>
  <c r="P20" i="2" s="1"/>
  <c r="N25" i="2"/>
  <c r="O25" i="2" s="1"/>
  <c r="P25" i="2" s="1"/>
  <c r="O14" i="2"/>
  <c r="N14" i="2"/>
  <c r="R14" i="2" s="1"/>
  <c r="Q17" i="2"/>
  <c r="P17" i="2"/>
  <c r="O17" i="2"/>
  <c r="N17" i="2"/>
  <c r="R17" i="2" s="1"/>
  <c r="Q16" i="2"/>
  <c r="P16" i="2"/>
  <c r="O16" i="2"/>
  <c r="N16" i="2"/>
  <c r="R16" i="2" s="1"/>
  <c r="Q15" i="2"/>
  <c r="P15" i="2"/>
  <c r="O15" i="2"/>
  <c r="N15" i="2"/>
  <c r="R15" i="2" s="1"/>
  <c r="Q14" i="2"/>
  <c r="P14" i="2"/>
  <c r="I6" i="2"/>
  <c r="M6" i="2"/>
  <c r="N11" i="2"/>
  <c r="N12" i="2" s="1"/>
  <c r="N13" i="2" s="1"/>
  <c r="N29" i="2" s="1"/>
  <c r="M27" i="2"/>
  <c r="M18" i="2"/>
  <c r="M13" i="2"/>
  <c r="M29" i="2" s="1"/>
  <c r="I18" i="2"/>
  <c r="I13" i="2"/>
  <c r="I29" i="2" s="1"/>
  <c r="Z6" i="2"/>
  <c r="AA6" i="2" s="1"/>
  <c r="F6" i="2"/>
  <c r="G6" i="2"/>
  <c r="H6" i="2"/>
  <c r="J6" i="2"/>
  <c r="L6" i="2"/>
  <c r="N3" i="2"/>
  <c r="Z3" i="2" s="1"/>
  <c r="AA3" i="2" s="1"/>
  <c r="Z22" i="2"/>
  <c r="Z20" i="2"/>
  <c r="Z17" i="2"/>
  <c r="AA17" i="2" s="1"/>
  <c r="AB17" i="2" s="1"/>
  <c r="AC17" i="2" s="1"/>
  <c r="AD17" i="2" s="1"/>
  <c r="AE17" i="2" s="1"/>
  <c r="AF17" i="2" s="1"/>
  <c r="Z16" i="2"/>
  <c r="AA16" i="2" s="1"/>
  <c r="Z15" i="2"/>
  <c r="AA15" i="2" s="1"/>
  <c r="AB15" i="2" s="1"/>
  <c r="AC15" i="2" s="1"/>
  <c r="AD15" i="2" s="1"/>
  <c r="AE15" i="2" s="1"/>
  <c r="AF15" i="2" s="1"/>
  <c r="Z14" i="2"/>
  <c r="AA14" i="2" s="1"/>
  <c r="AB14" i="2" s="1"/>
  <c r="Z25" i="2"/>
  <c r="AA25" i="2" s="1"/>
  <c r="AB25" i="2" s="1"/>
  <c r="AC25" i="2" s="1"/>
  <c r="AD25" i="2" s="1"/>
  <c r="AE25" i="2" s="1"/>
  <c r="AF25" i="2" s="1"/>
  <c r="Y27" i="2"/>
  <c r="X27" i="2"/>
  <c r="W27" i="2"/>
  <c r="V27" i="2"/>
  <c r="W18" i="2"/>
  <c r="W13" i="2"/>
  <c r="W29" i="2" s="1"/>
  <c r="X18" i="2"/>
  <c r="X13" i="2"/>
  <c r="X29" i="2" s="1"/>
  <c r="Y18" i="2"/>
  <c r="Y13" i="2"/>
  <c r="F18" i="2"/>
  <c r="F13" i="2"/>
  <c r="F29" i="2" s="1"/>
  <c r="J27" i="2"/>
  <c r="J18" i="2"/>
  <c r="J13" i="2"/>
  <c r="J29" i="2" s="1"/>
  <c r="K27" i="2"/>
  <c r="K18" i="2"/>
  <c r="G18" i="2"/>
  <c r="G13" i="2"/>
  <c r="G19" i="2" s="1"/>
  <c r="G21" i="2" s="1"/>
  <c r="G23" i="2" s="1"/>
  <c r="G24" i="2" s="1"/>
  <c r="K13" i="2"/>
  <c r="K29" i="2" s="1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L27" i="2"/>
  <c r="H18" i="2"/>
  <c r="L18" i="2"/>
  <c r="H13" i="2"/>
  <c r="H29" i="2" s="1"/>
  <c r="L13" i="2"/>
  <c r="L29" i="2" s="1"/>
  <c r="I4" i="1"/>
  <c r="I7" i="1" s="1"/>
  <c r="L39" i="2" l="1"/>
  <c r="L69" i="2"/>
  <c r="L61" i="2"/>
  <c r="L64" i="2" s="1"/>
  <c r="L58" i="2"/>
  <c r="L59" i="2"/>
  <c r="K71" i="2"/>
  <c r="K39" i="2"/>
  <c r="M39" i="2"/>
  <c r="G29" i="2"/>
  <c r="O11" i="2"/>
  <c r="P11" i="2" s="1"/>
  <c r="P12" i="2" s="1"/>
  <c r="O18" i="2"/>
  <c r="P18" i="2"/>
  <c r="N27" i="2"/>
  <c r="Q18" i="2"/>
  <c r="Q20" i="2"/>
  <c r="R20" i="2" s="1"/>
  <c r="Z11" i="2"/>
  <c r="Z27" i="2" s="1"/>
  <c r="AB3" i="2"/>
  <c r="AC3" i="2" s="1"/>
  <c r="AD3" i="2" s="1"/>
  <c r="AE3" i="2" s="1"/>
  <c r="AF3" i="2" s="1"/>
  <c r="Q25" i="2"/>
  <c r="R18" i="2"/>
  <c r="N18" i="2"/>
  <c r="N19" i="2" s="1"/>
  <c r="N21" i="2" s="1"/>
  <c r="I19" i="2"/>
  <c r="I21" i="2" s="1"/>
  <c r="I23" i="2" s="1"/>
  <c r="I24" i="2" s="1"/>
  <c r="M19" i="2"/>
  <c r="M21" i="2" s="1"/>
  <c r="M23" i="2" s="1"/>
  <c r="M24" i="2" s="1"/>
  <c r="AA11" i="2"/>
  <c r="AA18" i="2"/>
  <c r="AB16" i="2"/>
  <c r="AC16" i="2" s="1"/>
  <c r="AD16" i="2" s="1"/>
  <c r="AE16" i="2" s="1"/>
  <c r="AF16" i="2" s="1"/>
  <c r="AC14" i="2"/>
  <c r="AB6" i="2"/>
  <c r="AC6" i="2" s="1"/>
  <c r="AD6" i="2" s="1"/>
  <c r="AE6" i="2" s="1"/>
  <c r="AF6" i="2" s="1"/>
  <c r="AF11" i="2" s="1"/>
  <c r="Y19" i="2"/>
  <c r="Y21" i="2" s="1"/>
  <c r="Y23" i="2" s="1"/>
  <c r="Y24" i="2" s="1"/>
  <c r="Y29" i="2"/>
  <c r="J19" i="2"/>
  <c r="J21" i="2" s="1"/>
  <c r="J23" i="2" s="1"/>
  <c r="J24" i="2" s="1"/>
  <c r="Z18" i="2"/>
  <c r="K19" i="2"/>
  <c r="K21" i="2" s="1"/>
  <c r="K23" i="2" s="1"/>
  <c r="W19" i="2"/>
  <c r="W21" i="2" s="1"/>
  <c r="W23" i="2" s="1"/>
  <c r="W24" i="2" s="1"/>
  <c r="X19" i="2"/>
  <c r="X21" i="2" s="1"/>
  <c r="X23" i="2" s="1"/>
  <c r="X24" i="2" s="1"/>
  <c r="F19" i="2"/>
  <c r="F21" i="2" s="1"/>
  <c r="F23" i="2" s="1"/>
  <c r="F24" i="2" s="1"/>
  <c r="H19" i="2"/>
  <c r="H21" i="2" s="1"/>
  <c r="H23" i="2" s="1"/>
  <c r="H24" i="2" s="1"/>
  <c r="L19" i="2"/>
  <c r="L21" i="2" s="1"/>
  <c r="L23" i="2" s="1"/>
  <c r="L24" i="2" l="1"/>
  <c r="L50" i="2"/>
  <c r="Z13" i="2"/>
  <c r="Z29" i="2" s="1"/>
  <c r="K24" i="2"/>
  <c r="K50" i="2"/>
  <c r="O12" i="2"/>
  <c r="O13" i="2"/>
  <c r="O19" i="2" s="1"/>
  <c r="O21" i="2" s="1"/>
  <c r="O22" i="2" s="1"/>
  <c r="O23" i="2" s="1"/>
  <c r="O24" i="2" s="1"/>
  <c r="P13" i="2"/>
  <c r="P29" i="2" s="1"/>
  <c r="P27" i="2"/>
  <c r="Q11" i="2"/>
  <c r="Q12" i="2" s="1"/>
  <c r="O27" i="2"/>
  <c r="N22" i="2"/>
  <c r="N23" i="2" s="1"/>
  <c r="N24" i="2" s="1"/>
  <c r="R25" i="2"/>
  <c r="Z19" i="2"/>
  <c r="Z21" i="2" s="1"/>
  <c r="Z23" i="2" s="1"/>
  <c r="Z24" i="2" s="1"/>
  <c r="R11" i="2"/>
  <c r="Q27" i="2"/>
  <c r="Q13" i="2"/>
  <c r="Z12" i="2"/>
  <c r="AB18" i="2"/>
  <c r="AF13" i="2"/>
  <c r="AF29" i="2" s="1"/>
  <c r="AE11" i="2"/>
  <c r="AF27" i="2" s="1"/>
  <c r="AC11" i="2"/>
  <c r="AA13" i="2"/>
  <c r="AA29" i="2" s="1"/>
  <c r="AA27" i="2"/>
  <c r="AD11" i="2"/>
  <c r="AB11" i="2"/>
  <c r="AC18" i="2"/>
  <c r="AD14" i="2"/>
  <c r="AF12" i="2" l="1"/>
  <c r="P19" i="2"/>
  <c r="P21" i="2" s="1"/>
  <c r="P22" i="2" s="1"/>
  <c r="P23" i="2" s="1"/>
  <c r="P24" i="2" s="1"/>
  <c r="O29" i="2"/>
  <c r="Q19" i="2"/>
  <c r="Q21" i="2" s="1"/>
  <c r="Q29" i="2"/>
  <c r="R27" i="2"/>
  <c r="R12" i="2"/>
  <c r="R13" i="2" s="1"/>
  <c r="AA19" i="2"/>
  <c r="AA21" i="2" s="1"/>
  <c r="AA22" i="2" s="1"/>
  <c r="AA23" i="2" s="1"/>
  <c r="AB13" i="2"/>
  <c r="AB12" i="2" s="1"/>
  <c r="AB27" i="2"/>
  <c r="AD13" i="2"/>
  <c r="AD29" i="2" s="1"/>
  <c r="AD27" i="2"/>
  <c r="AA12" i="2"/>
  <c r="AC13" i="2"/>
  <c r="AC29" i="2" s="1"/>
  <c r="AC27" i="2"/>
  <c r="AC12" i="2"/>
  <c r="AE13" i="2"/>
  <c r="AE29" i="2" s="1"/>
  <c r="AE27" i="2"/>
  <c r="AE12" i="2"/>
  <c r="AD18" i="2"/>
  <c r="AE14" i="2"/>
  <c r="AA24" i="2" l="1"/>
  <c r="R19" i="2"/>
  <c r="R21" i="2" s="1"/>
  <c r="R29" i="2"/>
  <c r="Q22" i="2"/>
  <c r="Q23" i="2" s="1"/>
  <c r="Q24" i="2" s="1"/>
  <c r="AD12" i="2"/>
  <c r="AD19" i="2"/>
  <c r="AD21" i="2" s="1"/>
  <c r="AD22" i="2" s="1"/>
  <c r="AD23" i="2" s="1"/>
  <c r="AD24" i="2" s="1"/>
  <c r="AC19" i="2"/>
  <c r="AC21" i="2" s="1"/>
  <c r="AB29" i="2"/>
  <c r="AB19" i="2"/>
  <c r="AB21" i="2" s="1"/>
  <c r="AE18" i="2"/>
  <c r="AE19" i="2" s="1"/>
  <c r="AE21" i="2" s="1"/>
  <c r="AF14" i="2"/>
  <c r="AF18" i="2" s="1"/>
  <c r="AF19" i="2" s="1"/>
  <c r="AF21" i="2" s="1"/>
  <c r="R22" i="2" l="1"/>
  <c r="R23" i="2" s="1"/>
  <c r="R24" i="2" s="1"/>
  <c r="AB22" i="2"/>
  <c r="AB23" i="2"/>
  <c r="AF22" i="2"/>
  <c r="AF23" i="2" s="1"/>
  <c r="AE22" i="2"/>
  <c r="AE23" i="2" s="1"/>
  <c r="AE24" i="2" s="1"/>
  <c r="AC22" i="2"/>
  <c r="AC23" i="2" s="1"/>
  <c r="AC24" i="2" s="1"/>
  <c r="AF24" i="2" l="1"/>
  <c r="AG23" i="2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X23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DO23" i="2" s="1"/>
  <c r="AB24" i="2"/>
  <c r="AH7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tc={5A3E4DD6-C190-A348-A48C-40A2E0D88118}</author>
    <author>tc={E0BF3D14-A59E-48D7-8804-F493FD47CAB3}</author>
  </authors>
  <commentList>
    <comment ref="M11" authorId="0" shapeId="0" xr:uid="{5A3E4DD6-C190-A348-A48C-40A2E0D88118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370-375m</t>
      </text>
    </comment>
    <comment ref="Z11" authorId="1" shapeId="0" xr:uid="{E0BF3D14-A59E-48D7-8804-F493FD47CAB3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1.460-1.465B</t>
      </text>
    </comment>
  </commentList>
</comments>
</file>

<file path=xl/sharedStrings.xml><?xml version="1.0" encoding="utf-8"?>
<sst xmlns="http://schemas.openxmlformats.org/spreadsheetml/2006/main" count="93" uniqueCount="83">
  <si>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</si>
  <si>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</si>
  <si>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</si>
  <si>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</si>
  <si>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</si>
  <si>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</si>
  <si>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</si>
  <si>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</si>
  <si>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</si>
  <si>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</si>
  <si>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</si>
  <si>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</si>
  <si>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</si>
  <si>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</si>
  <si>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</si>
  <si>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</si>
  <si>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</si>
  <si>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</si>
  <si>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Marketing</t>
  </si>
  <si>
    <t>Operations &amp; Support</t>
  </si>
  <si>
    <t>TD</t>
  </si>
  <si>
    <t>G&amp;A</t>
  </si>
  <si>
    <t>Operating Expenses</t>
  </si>
  <si>
    <t>Operating Income</t>
  </si>
  <si>
    <t>Other Income</t>
  </si>
  <si>
    <t>Pretax Income</t>
  </si>
  <si>
    <t>Net Income</t>
  </si>
  <si>
    <t>Taxes</t>
  </si>
  <si>
    <t>EPS</t>
  </si>
  <si>
    <t>CFFO</t>
  </si>
  <si>
    <t>Revenue y/y</t>
  </si>
  <si>
    <t>CapEx</t>
  </si>
  <si>
    <t>FCF</t>
  </si>
  <si>
    <t>Subscribers</t>
  </si>
  <si>
    <t>Net Orders</t>
  </si>
  <si>
    <t>AOV</t>
  </si>
  <si>
    <t>Q122</t>
  </si>
  <si>
    <t>Q222</t>
  </si>
  <si>
    <t>Q322</t>
  </si>
  <si>
    <t>Q422</t>
  </si>
  <si>
    <t>Gross Margin</t>
  </si>
  <si>
    <t>EBITDA</t>
  </si>
  <si>
    <t>ARPU</t>
  </si>
  <si>
    <t>Q125</t>
  </si>
  <si>
    <t>Q225</t>
  </si>
  <si>
    <t>Q325</t>
  </si>
  <si>
    <t>Q425</t>
  </si>
  <si>
    <t>Discount</t>
  </si>
  <si>
    <t>Terminal</t>
  </si>
  <si>
    <t>NPV</t>
  </si>
  <si>
    <t>L+SE</t>
  </si>
  <si>
    <t>SE</t>
  </si>
  <si>
    <t>AP</t>
  </si>
  <si>
    <t>AL</t>
  </si>
  <si>
    <t>DR</t>
  </si>
  <si>
    <t>Lease</t>
  </si>
  <si>
    <t>OLTL</t>
  </si>
  <si>
    <t>Assets</t>
  </si>
  <si>
    <t>Inventory</t>
  </si>
  <si>
    <t>Prepaids</t>
  </si>
  <si>
    <t>Goodwill</t>
  </si>
  <si>
    <t>PP&amp;E</t>
  </si>
  <si>
    <t>DTA</t>
  </si>
  <si>
    <t>OLTA</t>
  </si>
  <si>
    <t>Earnout</t>
  </si>
  <si>
    <t>Model NI</t>
  </si>
  <si>
    <t>Reported NI</t>
  </si>
  <si>
    <t>SBC</t>
  </si>
  <si>
    <t>D&amp;A</t>
  </si>
  <si>
    <t>WC</t>
  </si>
  <si>
    <t>Other</t>
  </si>
  <si>
    <t>Impairment</t>
  </si>
  <si>
    <t>Accretion</t>
  </si>
  <si>
    <t>CFFI</t>
  </si>
  <si>
    <t>Software</t>
  </si>
  <si>
    <t>Investments</t>
  </si>
  <si>
    <t>CFFF</t>
  </si>
  <si>
    <t>Buybacks</t>
  </si>
  <si>
    <t>ESOP</t>
  </si>
  <si>
    <t>FX</t>
  </si>
  <si>
    <t>CIC</t>
  </si>
  <si>
    <t>Online</t>
  </si>
  <si>
    <t>Wholesale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</si>
</sst>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"/>
  </numFmts>
  <fonts count="6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2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0" fontId="5" fillId="0" borderId="0" xfId="1" applyFont="1"/>
    <xf numFmtId="0" fontId="3" fillId="0" borderId="0" xfId="0" applyFont="1"/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9" fontId="3" fillId="0" borderId="0" xfId="0" applyNumberFormat="1" applyFont="1"/>
    <xf numFmtId="9" fontId="2" fillId="0" borderId="0" xfId="0" applyNumberFormat="1" applyFont="1"/>
    <xf numFmtId="0" fontId="1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7CD16F1-3D42-4151-AA75-05431C12FD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43658</xdr:colOff>
      <xdr:row>0</xdr:row>
      <xdr:rowOff>0</xdr:rowOff>
    </xdr:from>
    <xdr:to>
      <xdr:col>13</xdr:col>
      <xdr:colOff>43658</xdr:colOff>
      <xdr:row>80</xdr:row>
      <xdr:rowOff>126999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C2C1D5B-6274-2E3D-185B-6D0A6FFAAA72}"/>
            </a:ext>
          </a:extLst>
        </xdr:cNvPr>
        <xdr:cNvCxnSpPr/>
      </xdr:nvCxnSpPr>
      <xdr:spPr>
        <a:xfrm>
          <a:off x="8431611" y="0"/>
          <a:ext cx="0" cy="575270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39688</xdr:colOff>
      <xdr:row>0</xdr:row>
      <xdr:rowOff>55563</xdr:rowOff>
    </xdr:from>
    <xdr:to>
      <xdr:col>25</xdr:col>
      <xdr:colOff>39688</xdr:colOff>
      <xdr:row>85</xdr:row>
      <xdr:rowOff>71438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5629CD8-D3B3-2BB4-B79A-17CB4DDD3C58}"/>
            </a:ext>
          </a:extLst>
        </xdr:cNvPr>
        <xdr:cNvCxnSpPr/>
      </xdr:nvCxnSpPr>
      <xdr:spPr>
        <a:xfrm>
          <a:off x="13073063" y="55563"/>
          <a:ext cx="0" cy="6350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D0116FB-70B3-F949-9774-5970B644D79B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1" dT="2024-09-06T17:00:30.77" personId="{FD0116FB-70B3-F949-9774-5970B644D79B}" id="{5A3E4DD6-C190-A348-A48C-40A2E0D88118}">
    <text>Q224: 370-375m</text>
  </threadedComment>
  <threadedComment ref="Z11" dT="2024-12-05T21:26:54.64" personId="{FD0116FB-70B3-F949-9774-5970B644D79B}" id="{E0BF3D14-A59E-48D7-8804-F493FD47CAB3}">
    <text>Q3 guidance: 1.460-1.465B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A3823-48B2-A542-9020-C8A457289847}">
  <dimension ref="H2:J7"/>
  <sheetViews>
    <sheetView zoomScale="130" zoomScaleNormal="130" workbookViewId="0">
      <selection activeCell="I3" sqref="I3"/>
    </sheetView>
  </sheetViews>
  <sheetFormatPr defaultColWidth="10.83203125" defaultRowHeight="12.5" x14ac:dyDescent="0.25"/>
  <cols>
    <col min="1" max="8" width="10.83203125" style="1"/>
    <col min="9" max="9" width="8.08203125" style="1" customWidth="1"/>
    <col min="10" max="10" width="6.83203125" style="1" customWidth="1"/>
    <col min="11" max="16384" width="10.83203125" style="1"/>
  </cols>
  <sheetData>
    <row r="2" spans="8:10" x14ac:dyDescent="0.25">
      <c r="H2" s="1" t="s">
        <v>0</v>
      </c>
      <c r="I2" s="2">
        <v>38.9</v>
      </c>
    </row>
    <row r="3" spans="8:10" x14ac:dyDescent="0.25">
      <c r="H3" s="1" t="s">
        <v>1</v>
      </c>
      <c r="I3" s="3">
        <v>235.06953899999999</v>
      </c>
      <c r="J3" s="15" t="s">
        <v>14</v>
      </c>
    </row>
    <row r="4" spans="8:10" x14ac:dyDescent="0.25">
      <c r="H4" s="1" t="s">
        <v>2</v>
      </c>
      <c r="I4" s="3">
        <f>+I2*I3</f>
        <v>9144.2050670999997</v>
      </c>
    </row>
    <row r="5" spans="8:10" x14ac:dyDescent="0.25">
      <c r="H5" s="1" t="s">
        <v>3</v>
      </c>
      <c r="I5" s="3">
        <f>165.518+88.553</f>
        <v>254.071</v>
      </c>
      <c r="J5" s="15" t="s">
        <v>14</v>
      </c>
    </row>
    <row r="6" spans="8:10" x14ac:dyDescent="0.25">
      <c r="H6" s="1" t="s">
        <v>4</v>
      </c>
      <c r="I6" s="3">
        <v>0</v>
      </c>
      <c r="J6" s="15" t="s">
        <v>14</v>
      </c>
    </row>
    <row r="7" spans="8:10" x14ac:dyDescent="0.25">
      <c r="H7" s="1" t="s">
        <v>5</v>
      </c>
      <c r="I7" s="3">
        <f>+I4-I5+I6</f>
        <v>8890.1340670999998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DBEF-A602-DE45-8F11-1D484D54BC6E}">
  <dimension ref="A1:DO78"/>
  <sheetViews>
    <sheetView tabSelected="1" zoomScale="160" zoomScaleNormal="160" workbookViewId="0">
      <pane xSplit="2" ySplit="2" topLeftCell="C53" activePane="bottomRight" state="frozen"/>
      <selection pane="topRight" activeCell="C1" sqref="C1"/>
      <selection pane="bottomLeft" activeCell="A3" sqref="A3"/>
      <selection pane="bottomRight" activeCell="L63" sqref="L63"/>
    </sheetView>
  </sheetViews>
  <sheetFormatPr defaultColWidth="10.83203125" defaultRowHeight="12.5" x14ac:dyDescent="0.25"/>
  <cols>
    <col min="1" max="1" width="5.08203125" style="1" bestFit="1" customWidth="1"/>
    <col min="2" max="2" width="18.08203125" style="1" bestFit="1" customWidth="1"/>
    <col min="3" max="18" width="7.83203125" style="4" customWidth="1"/>
    <col min="19" max="20" width="8.58203125" style="1" customWidth="1"/>
    <col min="21" max="26" width="8" style="1" customWidth="1"/>
    <col min="27" max="32" width="7.5" style="1" customWidth="1"/>
    <col min="33" max="37" width="9.08203125" style="1" customWidth="1"/>
    <col min="38" max="16384" width="10.83203125" style="1"/>
  </cols>
  <sheetData>
    <row r="1" spans="1:38" x14ac:dyDescent="0.25">
      <c r="A1" s="9" t="s">
        <v>7</v>
      </c>
    </row>
    <row r="2" spans="1:38" x14ac:dyDescent="0.25">
      <c r="C2" s="4" t="s">
        <v>36</v>
      </c>
      <c r="D2" s="4" t="s">
        <v>37</v>
      </c>
      <c r="E2" s="4" t="s">
        <v>38</v>
      </c>
      <c r="F2" s="4" t="s">
        <v>39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6</v>
      </c>
      <c r="M2" s="4" t="s">
        <v>14</v>
      </c>
      <c r="N2" s="4" t="s">
        <v>15</v>
      </c>
      <c r="O2" s="15" t="s">
        <v>43</v>
      </c>
      <c r="P2" s="15" t="s">
        <v>44</v>
      </c>
      <c r="Q2" s="15" t="s">
        <v>45</v>
      </c>
      <c r="R2" s="15" t="s">
        <v>46</v>
      </c>
      <c r="U2" s="1">
        <v>2019</v>
      </c>
      <c r="V2" s="1">
        <v>2020</v>
      </c>
      <c r="W2" s="1">
        <f>+V2+1</f>
        <v>2021</v>
      </c>
      <c r="X2" s="1">
        <f t="shared" ref="X2:AL2" si="0">+W2+1</f>
        <v>2022</v>
      </c>
      <c r="Y2" s="1">
        <f t="shared" si="0"/>
        <v>2023</v>
      </c>
      <c r="Z2" s="1">
        <f t="shared" si="0"/>
        <v>2024</v>
      </c>
      <c r="AA2" s="1">
        <f t="shared" si="0"/>
        <v>2025</v>
      </c>
      <c r="AB2" s="1">
        <f t="shared" si="0"/>
        <v>2026</v>
      </c>
      <c r="AC2" s="1">
        <f t="shared" si="0"/>
        <v>2027</v>
      </c>
      <c r="AD2" s="1">
        <f t="shared" si="0"/>
        <v>2028</v>
      </c>
      <c r="AE2" s="1">
        <f t="shared" si="0"/>
        <v>2029</v>
      </c>
      <c r="AF2" s="1">
        <f t="shared" si="0"/>
        <v>2030</v>
      </c>
      <c r="AG2" s="1">
        <f t="shared" si="0"/>
        <v>2031</v>
      </c>
      <c r="AH2" s="1">
        <f t="shared" si="0"/>
        <v>2032</v>
      </c>
      <c r="AI2" s="1">
        <f t="shared" si="0"/>
        <v>2033</v>
      </c>
      <c r="AJ2" s="1">
        <f t="shared" si="0"/>
        <v>2034</v>
      </c>
      <c r="AK2" s="1">
        <f t="shared" si="0"/>
        <v>2035</v>
      </c>
      <c r="AL2" s="1">
        <f t="shared" si="0"/>
        <v>2036</v>
      </c>
    </row>
    <row r="3" spans="1:38" x14ac:dyDescent="0.25">
      <c r="B3" s="1" t="s">
        <v>33</v>
      </c>
      <c r="D3" s="5"/>
      <c r="E3" s="5"/>
      <c r="F3" s="5">
        <v>1040</v>
      </c>
      <c r="G3" s="5">
        <v>1209</v>
      </c>
      <c r="H3" s="5">
        <v>1300</v>
      </c>
      <c r="I3" s="5">
        <v>1426</v>
      </c>
      <c r="J3" s="5">
        <v>1537</v>
      </c>
      <c r="K3" s="5">
        <v>1709</v>
      </c>
      <c r="L3" s="5">
        <v>1864</v>
      </c>
      <c r="M3" s="5">
        <v>2047</v>
      </c>
      <c r="N3" s="5">
        <f>+M3+100</f>
        <v>2147</v>
      </c>
      <c r="O3" s="5"/>
      <c r="P3" s="5"/>
      <c r="Q3" s="5"/>
      <c r="R3" s="5"/>
      <c r="Z3" s="3">
        <f>+N3</f>
        <v>2147</v>
      </c>
      <c r="AA3" s="3">
        <f>+Z3*1.3</f>
        <v>2791.1</v>
      </c>
      <c r="AB3" s="3">
        <f t="shared" ref="AB3:AF3" si="1">+AA3+500</f>
        <v>3291.1</v>
      </c>
      <c r="AC3" s="3">
        <f t="shared" si="1"/>
        <v>3791.1</v>
      </c>
      <c r="AD3" s="3">
        <f t="shared" si="1"/>
        <v>4291.1000000000004</v>
      </c>
      <c r="AE3" s="3">
        <f t="shared" si="1"/>
        <v>4791.1000000000004</v>
      </c>
      <c r="AF3" s="3">
        <f t="shared" si="1"/>
        <v>5291.1</v>
      </c>
      <c r="AG3" s="3"/>
      <c r="AH3" s="3"/>
      <c r="AI3" s="3"/>
      <c r="AJ3" s="3"/>
    </row>
    <row r="4" spans="1:38" x14ac:dyDescent="0.25">
      <c r="B4" s="1" t="s">
        <v>34</v>
      </c>
      <c r="D4" s="5"/>
      <c r="E4" s="5"/>
      <c r="F4" s="5">
        <v>1855</v>
      </c>
      <c r="G4" s="5">
        <v>2047</v>
      </c>
      <c r="H4" s="5">
        <v>2109</v>
      </c>
      <c r="I4" s="5">
        <v>2222</v>
      </c>
      <c r="J4" s="5">
        <v>2298</v>
      </c>
      <c r="K4" s="5">
        <v>2461</v>
      </c>
      <c r="L4" s="5">
        <v>2527</v>
      </c>
      <c r="M4" s="4">
        <v>2664</v>
      </c>
    </row>
    <row r="5" spans="1:38" x14ac:dyDescent="0.25">
      <c r="B5" s="1" t="s">
        <v>35</v>
      </c>
      <c r="F5" s="4">
        <v>87</v>
      </c>
      <c r="G5" s="5">
        <v>90</v>
      </c>
      <c r="H5" s="4">
        <v>95</v>
      </c>
      <c r="I5" s="4">
        <v>99</v>
      </c>
      <c r="J5" s="4">
        <v>103</v>
      </c>
      <c r="K5" s="4">
        <v>109</v>
      </c>
      <c r="L5" s="4">
        <v>121</v>
      </c>
      <c r="M5" s="4">
        <v>147</v>
      </c>
    </row>
    <row r="6" spans="1:38" x14ac:dyDescent="0.25">
      <c r="B6" s="1" t="s">
        <v>42</v>
      </c>
      <c r="F6" s="6">
        <f t="shared" ref="F6:M6" si="2">F11/F3*1000</f>
        <v>160.77211538461538</v>
      </c>
      <c r="G6" s="6">
        <f t="shared" si="2"/>
        <v>157.79156327543424</v>
      </c>
      <c r="H6" s="6">
        <f t="shared" si="2"/>
        <v>159.93230769230772</v>
      </c>
      <c r="I6" s="6">
        <f t="shared" si="2"/>
        <v>158.97545582047687</v>
      </c>
      <c r="J6" s="6">
        <f t="shared" si="2"/>
        <v>160.45478204294079</v>
      </c>
      <c r="K6" s="6">
        <f t="shared" si="2"/>
        <v>162.7682855471036</v>
      </c>
      <c r="L6" s="6">
        <f t="shared" si="2"/>
        <v>169.33905579399141</v>
      </c>
      <c r="M6" s="6">
        <f t="shared" si="2"/>
        <v>196.16805080605764</v>
      </c>
      <c r="Z6" s="1">
        <f>160*4</f>
        <v>640</v>
      </c>
      <c r="AA6" s="2">
        <f>+Z6*1.1</f>
        <v>704</v>
      </c>
      <c r="AB6" s="2">
        <f t="shared" ref="AB6:AF6" si="3">+AA6*1.03</f>
        <v>725.12</v>
      </c>
      <c r="AC6" s="2">
        <f t="shared" si="3"/>
        <v>746.87360000000001</v>
      </c>
      <c r="AD6" s="2">
        <f t="shared" si="3"/>
        <v>769.279808</v>
      </c>
      <c r="AE6" s="2">
        <f t="shared" si="3"/>
        <v>792.35820223999997</v>
      </c>
      <c r="AF6" s="2">
        <f t="shared" si="3"/>
        <v>816.12894830719995</v>
      </c>
      <c r="AG6" s="2"/>
    </row>
    <row r="7" spans="1:38" x14ac:dyDescent="0.25">
      <c r="G7" s="5"/>
    </row>
    <row r="8" spans="1:38" x14ac:dyDescent="0.25">
      <c r="B8" s="17" t="s">
        <v>81</v>
      </c>
      <c r="G8" s="5">
        <v>184.17500000000001</v>
      </c>
      <c r="K8" s="5">
        <v>267.76100000000002</v>
      </c>
    </row>
    <row r="9" spans="1:38" x14ac:dyDescent="0.25">
      <c r="B9" s="17" t="s">
        <v>82</v>
      </c>
      <c r="G9" s="5">
        <v>6.5949999999999998</v>
      </c>
      <c r="K9" s="5">
        <v>10.41</v>
      </c>
    </row>
    <row r="10" spans="1:38" x14ac:dyDescent="0.25">
      <c r="G10" s="5"/>
    </row>
    <row r="11" spans="1:38" s="7" customFormat="1" ht="13" x14ac:dyDescent="0.3">
      <c r="B11" s="7" t="s">
        <v>8</v>
      </c>
      <c r="C11" s="8"/>
      <c r="D11" s="8"/>
      <c r="E11" s="8"/>
      <c r="F11" s="8">
        <v>167.203</v>
      </c>
      <c r="G11" s="8">
        <v>190.77</v>
      </c>
      <c r="H11" s="8">
        <v>207.91200000000001</v>
      </c>
      <c r="I11" s="8">
        <v>226.69900000000001</v>
      </c>
      <c r="J11" s="8">
        <v>246.619</v>
      </c>
      <c r="K11" s="8">
        <f>+K9+K8</f>
        <v>278.17100000000005</v>
      </c>
      <c r="L11" s="8">
        <v>315.64800000000002</v>
      </c>
      <c r="M11" s="8">
        <v>401.55599999999998</v>
      </c>
      <c r="N11" s="8">
        <f>+M11+75</f>
        <v>476.55599999999998</v>
      </c>
      <c r="O11" s="8">
        <f>+N11+50</f>
        <v>526.55600000000004</v>
      </c>
      <c r="P11" s="8">
        <f t="shared" ref="P11:R11" si="4">+O11+50</f>
        <v>576.55600000000004</v>
      </c>
      <c r="Q11" s="8">
        <f t="shared" si="4"/>
        <v>626.55600000000004</v>
      </c>
      <c r="R11" s="8">
        <f t="shared" si="4"/>
        <v>676.55600000000004</v>
      </c>
      <c r="U11" s="7">
        <v>82.558000000000007</v>
      </c>
      <c r="V11" s="7">
        <v>148.75700000000001</v>
      </c>
      <c r="W11" s="7">
        <v>271.87799999999999</v>
      </c>
      <c r="X11" s="7">
        <v>526.91600000000005</v>
      </c>
      <c r="Y11" s="7">
        <v>872</v>
      </c>
      <c r="Z11" s="7">
        <f>SUM(K11:N11)</f>
        <v>1471.931</v>
      </c>
      <c r="AA11" s="7">
        <f>+AA3*AA6/1000</f>
        <v>1964.9343999999999</v>
      </c>
      <c r="AB11" s="7">
        <f t="shared" ref="AB11:AF11" si="5">+AB3*AB6/1000</f>
        <v>2386.4424319999998</v>
      </c>
      <c r="AC11" s="7">
        <f t="shared" si="5"/>
        <v>2831.4725049600002</v>
      </c>
      <c r="AD11" s="7">
        <f t="shared" si="5"/>
        <v>3301.0565841088001</v>
      </c>
      <c r="AE11" s="7">
        <f t="shared" si="5"/>
        <v>3796.2673827520643</v>
      </c>
      <c r="AF11" s="7">
        <f t="shared" si="5"/>
        <v>4318.2198783882259</v>
      </c>
    </row>
    <row r="12" spans="1:38" s="3" customFormat="1" x14ac:dyDescent="0.25">
      <c r="B12" s="3" t="s">
        <v>16</v>
      </c>
      <c r="C12" s="5"/>
      <c r="D12" s="5"/>
      <c r="E12" s="5"/>
      <c r="F12" s="5">
        <v>34.866</v>
      </c>
      <c r="G12" s="5">
        <v>37.344999999999999</v>
      </c>
      <c r="H12" s="5">
        <v>37.753999999999998</v>
      </c>
      <c r="I12" s="5">
        <v>39.390999999999998</v>
      </c>
      <c r="J12" s="5">
        <v>42.561</v>
      </c>
      <c r="K12" s="5">
        <v>49.076000000000001</v>
      </c>
      <c r="L12" s="5">
        <v>59.034999999999997</v>
      </c>
      <c r="M12" s="5">
        <v>83.67</v>
      </c>
      <c r="N12" s="5">
        <f>+N11*0.2</f>
        <v>95.311199999999999</v>
      </c>
      <c r="O12" s="5">
        <f>+O11*0.2</f>
        <v>105.31120000000001</v>
      </c>
      <c r="P12" s="5">
        <f>+P11*0.2</f>
        <v>115.31120000000001</v>
      </c>
      <c r="Q12" s="5">
        <f>+Q11*0.2</f>
        <v>125.31120000000001</v>
      </c>
      <c r="R12" s="5">
        <f>+R11*0.2</f>
        <v>135.31120000000001</v>
      </c>
      <c r="W12" s="3">
        <v>67.384</v>
      </c>
      <c r="X12" s="3">
        <v>118.194</v>
      </c>
      <c r="Y12" s="3">
        <v>157.05099999999999</v>
      </c>
      <c r="Z12" s="3">
        <f t="shared" ref="Z12:AF12" si="6">+Z11-Z13</f>
        <v>294.38619999999992</v>
      </c>
      <c r="AA12" s="3">
        <f t="shared" si="6"/>
        <v>432.28556800000001</v>
      </c>
      <c r="AB12" s="3">
        <f t="shared" si="6"/>
        <v>596.61060799999996</v>
      </c>
      <c r="AC12" s="3">
        <f t="shared" si="6"/>
        <v>792.81230138880005</v>
      </c>
      <c r="AD12" s="3">
        <f t="shared" si="6"/>
        <v>990.31697523264029</v>
      </c>
      <c r="AE12" s="3">
        <f t="shared" si="6"/>
        <v>1138.8802148256195</v>
      </c>
      <c r="AF12" s="3">
        <f t="shared" si="6"/>
        <v>1295.465963516468</v>
      </c>
    </row>
    <row r="13" spans="1:38" s="3" customFormat="1" x14ac:dyDescent="0.25">
      <c r="B13" s="3" t="s">
        <v>17</v>
      </c>
      <c r="C13" s="5"/>
      <c r="D13" s="5"/>
      <c r="E13" s="5"/>
      <c r="F13" s="5">
        <f t="shared" ref="F13:N13" si="7">+F11-F12</f>
        <v>132.33699999999999</v>
      </c>
      <c r="G13" s="5">
        <f t="shared" si="7"/>
        <v>153.42500000000001</v>
      </c>
      <c r="H13" s="5">
        <f t="shared" si="7"/>
        <v>170.15800000000002</v>
      </c>
      <c r="I13" s="5">
        <f t="shared" si="7"/>
        <v>187.30800000000002</v>
      </c>
      <c r="J13" s="5">
        <f t="shared" si="7"/>
        <v>204.05799999999999</v>
      </c>
      <c r="K13" s="5">
        <f t="shared" si="7"/>
        <v>229.09500000000006</v>
      </c>
      <c r="L13" s="5">
        <f t="shared" si="7"/>
        <v>256.61300000000006</v>
      </c>
      <c r="M13" s="5">
        <f t="shared" si="7"/>
        <v>317.88599999999997</v>
      </c>
      <c r="N13" s="5">
        <f t="shared" si="7"/>
        <v>381.2448</v>
      </c>
      <c r="O13" s="5">
        <f t="shared" ref="O13:R13" si="8">+O11-O12</f>
        <v>421.24480000000005</v>
      </c>
      <c r="P13" s="5">
        <f t="shared" si="8"/>
        <v>461.24480000000005</v>
      </c>
      <c r="Q13" s="5">
        <f t="shared" si="8"/>
        <v>501.24480000000005</v>
      </c>
      <c r="R13" s="5">
        <f t="shared" si="8"/>
        <v>541.24480000000005</v>
      </c>
      <c r="W13" s="3">
        <f>+W11-W12</f>
        <v>204.49399999999997</v>
      </c>
      <c r="X13" s="3">
        <f>+X11-X12</f>
        <v>408.72200000000004</v>
      </c>
      <c r="Y13" s="3">
        <f>+Y11-Y12</f>
        <v>714.94900000000007</v>
      </c>
      <c r="Z13" s="3">
        <f>+Z11*0.8</f>
        <v>1177.5448000000001</v>
      </c>
      <c r="AA13" s="3">
        <f>+AA11*0.78</f>
        <v>1532.6488319999999</v>
      </c>
      <c r="AB13" s="3">
        <f>+AB11*0.75</f>
        <v>1789.8318239999999</v>
      </c>
      <c r="AC13" s="3">
        <f>+AC11*0.72</f>
        <v>2038.6602035712001</v>
      </c>
      <c r="AD13" s="3">
        <f>+AD11*0.7</f>
        <v>2310.7396088761598</v>
      </c>
      <c r="AE13" s="3">
        <f>+AE11*0.7</f>
        <v>2657.3871679264448</v>
      </c>
      <c r="AF13" s="3">
        <f>+AF11*0.7</f>
        <v>3022.7539148717578</v>
      </c>
    </row>
    <row r="14" spans="1:38" s="3" customFormat="1" x14ac:dyDescent="0.25">
      <c r="B14" s="3" t="s">
        <v>18</v>
      </c>
      <c r="C14" s="5"/>
      <c r="D14" s="5"/>
      <c r="E14" s="5"/>
      <c r="F14" s="5">
        <v>85.542000000000002</v>
      </c>
      <c r="G14" s="5">
        <v>97.245000000000005</v>
      </c>
      <c r="H14" s="5">
        <v>107.21899999999999</v>
      </c>
      <c r="I14" s="5">
        <v>116.07599999999999</v>
      </c>
      <c r="J14" s="5">
        <v>125.895</v>
      </c>
      <c r="K14" s="5">
        <v>130.553</v>
      </c>
      <c r="L14" s="5">
        <v>144.922</v>
      </c>
      <c r="M14" s="5">
        <v>182.28399999999999</v>
      </c>
      <c r="N14" s="5">
        <f>+J14*1.5</f>
        <v>188.8425</v>
      </c>
      <c r="O14" s="5">
        <f>+K14*1.5</f>
        <v>195.8295</v>
      </c>
      <c r="P14" s="5">
        <f t="shared" ref="P14:R14" si="9">+L14*1.3</f>
        <v>188.39860000000002</v>
      </c>
      <c r="Q14" s="5">
        <f t="shared" si="9"/>
        <v>236.9692</v>
      </c>
      <c r="R14" s="5">
        <f t="shared" si="9"/>
        <v>245.49525</v>
      </c>
      <c r="W14" s="3">
        <v>135.90199999999999</v>
      </c>
      <c r="X14" s="3">
        <v>272.58699999999999</v>
      </c>
      <c r="Y14" s="3">
        <v>446.435</v>
      </c>
      <c r="Z14" s="3">
        <f>+Y14*1.5</f>
        <v>669.65250000000003</v>
      </c>
      <c r="AA14" s="3">
        <f t="shared" ref="AA14:AF14" si="10">+Z14*1.1</f>
        <v>736.61775000000011</v>
      </c>
      <c r="AB14" s="3">
        <f t="shared" si="10"/>
        <v>810.27952500000015</v>
      </c>
      <c r="AC14" s="3">
        <f t="shared" si="10"/>
        <v>891.30747750000023</v>
      </c>
      <c r="AD14" s="3">
        <f t="shared" si="10"/>
        <v>980.4382252500003</v>
      </c>
      <c r="AE14" s="3">
        <f t="shared" si="10"/>
        <v>1078.4820477750004</v>
      </c>
      <c r="AF14" s="3">
        <f t="shared" si="10"/>
        <v>1186.3302525525005</v>
      </c>
    </row>
    <row r="15" spans="1:38" s="3" customFormat="1" x14ac:dyDescent="0.25">
      <c r="B15" s="3" t="s">
        <v>19</v>
      </c>
      <c r="C15" s="5"/>
      <c r="D15" s="5"/>
      <c r="E15" s="5"/>
      <c r="F15" s="5">
        <v>22.521000000000001</v>
      </c>
      <c r="G15" s="5">
        <v>26.181999999999999</v>
      </c>
      <c r="H15" s="5">
        <v>29.227</v>
      </c>
      <c r="I15" s="5">
        <v>31.609000000000002</v>
      </c>
      <c r="J15" s="5">
        <v>32.838999999999999</v>
      </c>
      <c r="K15" s="5">
        <v>38.747</v>
      </c>
      <c r="L15" s="5">
        <v>41.453000000000003</v>
      </c>
      <c r="M15" s="5">
        <v>47.518999999999998</v>
      </c>
      <c r="N15" s="5">
        <f>+J15*1.2</f>
        <v>39.406799999999997</v>
      </c>
      <c r="O15" s="5">
        <f t="shared" ref="O15:O17" si="11">+K15*1.2</f>
        <v>46.496400000000001</v>
      </c>
      <c r="P15" s="5">
        <f t="shared" ref="P15:P17" si="12">+L15*1.2</f>
        <v>49.743600000000001</v>
      </c>
      <c r="Q15" s="5">
        <f t="shared" ref="Q15:Q17" si="13">+M15*1.2</f>
        <v>57.022799999999997</v>
      </c>
      <c r="R15" s="5">
        <f t="shared" ref="R15:R17" si="14">+N15*1.2</f>
        <v>47.288159999999998</v>
      </c>
      <c r="W15" s="3">
        <v>47.593000000000004</v>
      </c>
      <c r="X15" s="3">
        <v>77.403000000000006</v>
      </c>
      <c r="Y15" s="3">
        <v>119.857</v>
      </c>
      <c r="Z15" s="3">
        <f>+Y15*1.4</f>
        <v>167.79979999999998</v>
      </c>
      <c r="AA15" s="3">
        <f t="shared" ref="AA15:AF15" si="15">+Z15*1.1</f>
        <v>184.57978</v>
      </c>
      <c r="AB15" s="3">
        <f t="shared" si="15"/>
        <v>203.03775800000003</v>
      </c>
      <c r="AC15" s="3">
        <f t="shared" si="15"/>
        <v>223.34153380000004</v>
      </c>
      <c r="AD15" s="3">
        <f t="shared" si="15"/>
        <v>245.67568718000007</v>
      </c>
      <c r="AE15" s="3">
        <f t="shared" si="15"/>
        <v>270.24325589800009</v>
      </c>
      <c r="AF15" s="3">
        <f t="shared" si="15"/>
        <v>297.2675814878001</v>
      </c>
    </row>
    <row r="16" spans="1:38" s="3" customFormat="1" x14ac:dyDescent="0.25">
      <c r="B16" s="3" t="s">
        <v>20</v>
      </c>
      <c r="C16" s="5"/>
      <c r="D16" s="5"/>
      <c r="E16" s="5"/>
      <c r="F16" s="5">
        <v>8.3109999999999999</v>
      </c>
      <c r="G16" s="5">
        <v>10.747999999999999</v>
      </c>
      <c r="H16" s="5">
        <v>11.804</v>
      </c>
      <c r="I16" s="5">
        <v>12.27</v>
      </c>
      <c r="J16" s="5">
        <v>13.404999999999999</v>
      </c>
      <c r="K16" s="5">
        <v>15.324</v>
      </c>
      <c r="L16" s="5">
        <v>18.654</v>
      </c>
      <c r="M16" s="5">
        <v>21.091999999999999</v>
      </c>
      <c r="N16" s="5">
        <f t="shared" ref="N16:N17" si="16">+J16*1.2</f>
        <v>16.085999999999999</v>
      </c>
      <c r="O16" s="5">
        <f t="shared" si="11"/>
        <v>18.3888</v>
      </c>
      <c r="P16" s="5">
        <f t="shared" si="12"/>
        <v>22.384799999999998</v>
      </c>
      <c r="Q16" s="5">
        <f t="shared" si="13"/>
        <v>25.310399999999998</v>
      </c>
      <c r="R16" s="5">
        <f t="shared" si="14"/>
        <v>19.303199999999997</v>
      </c>
      <c r="W16" s="3">
        <v>22.379000000000001</v>
      </c>
      <c r="X16" s="3">
        <v>29.236999999999998</v>
      </c>
      <c r="Y16" s="3">
        <v>48.226999999999997</v>
      </c>
      <c r="Z16" s="3">
        <f>+Y16*1.4</f>
        <v>67.517799999999994</v>
      </c>
      <c r="AA16" s="3">
        <f t="shared" ref="AA16:AF16" si="17">+Z16*1.1</f>
        <v>74.269580000000005</v>
      </c>
      <c r="AB16" s="3">
        <f t="shared" si="17"/>
        <v>81.696538000000018</v>
      </c>
      <c r="AC16" s="3">
        <f t="shared" si="17"/>
        <v>89.866191800000024</v>
      </c>
      <c r="AD16" s="3">
        <f t="shared" si="17"/>
        <v>98.852810980000029</v>
      </c>
      <c r="AE16" s="3">
        <f t="shared" si="17"/>
        <v>108.73809207800004</v>
      </c>
      <c r="AF16" s="3">
        <f t="shared" si="17"/>
        <v>119.61190128580004</v>
      </c>
    </row>
    <row r="17" spans="2:119" s="3" customFormat="1" x14ac:dyDescent="0.25">
      <c r="B17" s="3" t="s">
        <v>21</v>
      </c>
      <c r="C17" s="5"/>
      <c r="D17" s="5"/>
      <c r="E17" s="5"/>
      <c r="F17" s="5">
        <v>27.568000000000001</v>
      </c>
      <c r="G17" s="5">
        <v>30.513000000000002</v>
      </c>
      <c r="H17" s="5">
        <v>31.143999999999998</v>
      </c>
      <c r="I17" s="5">
        <v>35.906999999999996</v>
      </c>
      <c r="J17" s="5">
        <v>32.319000000000003</v>
      </c>
      <c r="K17" s="5">
        <v>34.567999999999998</v>
      </c>
      <c r="L17" s="5">
        <v>40.554000000000002</v>
      </c>
      <c r="M17" s="5">
        <v>44.616999999999997</v>
      </c>
      <c r="N17" s="5">
        <f t="shared" si="16"/>
        <v>38.782800000000002</v>
      </c>
      <c r="O17" s="5">
        <f t="shared" si="11"/>
        <v>41.481599999999993</v>
      </c>
      <c r="P17" s="5">
        <f t="shared" si="12"/>
        <v>48.6648</v>
      </c>
      <c r="Q17" s="5">
        <f t="shared" si="13"/>
        <v>53.540399999999998</v>
      </c>
      <c r="R17" s="5">
        <f t="shared" si="14"/>
        <v>46.539360000000002</v>
      </c>
      <c r="W17" s="3">
        <v>113.66200000000001</v>
      </c>
      <c r="X17" s="3">
        <v>98.191999999999993</v>
      </c>
      <c r="Y17" s="3">
        <v>129.88300000000001</v>
      </c>
      <c r="Z17" s="3">
        <f>+Y17*1.4</f>
        <v>181.83619999999999</v>
      </c>
      <c r="AA17" s="3">
        <f t="shared" ref="AA17:AF17" si="18">+Z17*1.1</f>
        <v>200.01982000000001</v>
      </c>
      <c r="AB17" s="3">
        <f t="shared" si="18"/>
        <v>220.02180200000004</v>
      </c>
      <c r="AC17" s="3">
        <f t="shared" si="18"/>
        <v>242.02398220000006</v>
      </c>
      <c r="AD17" s="3">
        <f t="shared" si="18"/>
        <v>266.22638042000011</v>
      </c>
      <c r="AE17" s="3">
        <f t="shared" si="18"/>
        <v>292.84901846200017</v>
      </c>
      <c r="AF17" s="3">
        <f t="shared" si="18"/>
        <v>322.13392030820023</v>
      </c>
    </row>
    <row r="18" spans="2:119" s="3" customFormat="1" x14ac:dyDescent="0.25">
      <c r="B18" s="3" t="s">
        <v>22</v>
      </c>
      <c r="C18" s="5"/>
      <c r="D18" s="5"/>
      <c r="E18" s="5"/>
      <c r="F18" s="5">
        <f>SUM(F14:F17)</f>
        <v>143.94200000000001</v>
      </c>
      <c r="G18" s="5">
        <f>SUM(G14:G17)</f>
        <v>164.68800000000002</v>
      </c>
      <c r="H18" s="5">
        <f>SUM(H14:H17)</f>
        <v>179.39400000000001</v>
      </c>
      <c r="I18" s="5">
        <f>SUM(I14:I17)</f>
        <v>195.86200000000002</v>
      </c>
      <c r="J18" s="5">
        <f t="shared" ref="J18" si="19">SUM(J14:J17)</f>
        <v>204.45799999999997</v>
      </c>
      <c r="K18" s="5">
        <f>SUM(K14:K17)</f>
        <v>219.19200000000001</v>
      </c>
      <c r="L18" s="5">
        <f>SUM(L14:L17)</f>
        <v>245.583</v>
      </c>
      <c r="M18" s="5">
        <f>SUM(M14:M17)</f>
        <v>295.512</v>
      </c>
      <c r="N18" s="5">
        <f t="shared" ref="N18:R18" si="20">SUM(N14:N17)</f>
        <v>283.11810000000003</v>
      </c>
      <c r="O18" s="5">
        <f t="shared" si="20"/>
        <v>302.19630000000001</v>
      </c>
      <c r="P18" s="5">
        <f t="shared" si="20"/>
        <v>309.1918</v>
      </c>
      <c r="Q18" s="5">
        <f t="shared" si="20"/>
        <v>372.84280000000001</v>
      </c>
      <c r="R18" s="5">
        <f t="shared" si="20"/>
        <v>358.62597</v>
      </c>
      <c r="W18" s="3">
        <f>SUM(W14:W17)</f>
        <v>319.536</v>
      </c>
      <c r="X18" s="3">
        <f>SUM(X14:X17)</f>
        <v>477.41900000000004</v>
      </c>
      <c r="Y18" s="3">
        <f>SUM(Y14:Y17)</f>
        <v>744.40200000000004</v>
      </c>
      <c r="Z18" s="3">
        <f t="shared" ref="Z18" si="21">SUM(Z14:Z17)</f>
        <v>1086.8063</v>
      </c>
      <c r="AA18" s="3">
        <f t="shared" ref="AA18" si="22">SUM(AA14:AA17)</f>
        <v>1195.4869300000003</v>
      </c>
      <c r="AB18" s="3">
        <f t="shared" ref="AB18" si="23">SUM(AB14:AB17)</f>
        <v>1315.0356230000002</v>
      </c>
      <c r="AC18" s="3">
        <f t="shared" ref="AC18" si="24">SUM(AC14:AC17)</f>
        <v>1446.5391853000003</v>
      </c>
      <c r="AD18" s="3">
        <f t="shared" ref="AD18" si="25">SUM(AD14:AD17)</f>
        <v>1591.1931038300004</v>
      </c>
      <c r="AE18" s="3">
        <f t="shared" ref="AE18" si="26">SUM(AE14:AE17)</f>
        <v>1750.3124142130009</v>
      </c>
      <c r="AF18" s="3">
        <f t="shared" ref="AF18" si="27">SUM(AF14:AF17)</f>
        <v>1925.3436556343008</v>
      </c>
    </row>
    <row r="19" spans="2:119" s="3" customFormat="1" x14ac:dyDescent="0.25">
      <c r="B19" s="3" t="s">
        <v>23</v>
      </c>
      <c r="C19" s="5"/>
      <c r="D19" s="5"/>
      <c r="E19" s="5"/>
      <c r="F19" s="5">
        <f>F13-F18</f>
        <v>-11.605000000000018</v>
      </c>
      <c r="G19" s="5">
        <f>G13-G18</f>
        <v>-11.263000000000005</v>
      </c>
      <c r="H19" s="5">
        <f>H13-H18</f>
        <v>-9.23599999999999</v>
      </c>
      <c r="I19" s="5">
        <f>I13-I18</f>
        <v>-8.554000000000002</v>
      </c>
      <c r="J19" s="5">
        <f t="shared" ref="J19" si="28">J13-J18</f>
        <v>-0.39999999999997726</v>
      </c>
      <c r="K19" s="5">
        <f>K13-K18</f>
        <v>9.9030000000000484</v>
      </c>
      <c r="L19" s="5">
        <f>L13-L18</f>
        <v>11.030000000000058</v>
      </c>
      <c r="M19" s="5">
        <f>M13-M18</f>
        <v>22.373999999999967</v>
      </c>
      <c r="N19" s="5">
        <f t="shared" ref="N19:R19" si="29">N13-N18</f>
        <v>98.126699999999971</v>
      </c>
      <c r="O19" s="5">
        <f t="shared" si="29"/>
        <v>119.04850000000005</v>
      </c>
      <c r="P19" s="5">
        <f t="shared" si="29"/>
        <v>152.05300000000005</v>
      </c>
      <c r="Q19" s="5">
        <f t="shared" si="29"/>
        <v>128.40200000000004</v>
      </c>
      <c r="R19" s="5">
        <f t="shared" si="29"/>
        <v>182.61883000000006</v>
      </c>
      <c r="W19" s="3">
        <f>W13-W18</f>
        <v>-115.04200000000003</v>
      </c>
      <c r="X19" s="3">
        <f>X13-X18</f>
        <v>-68.697000000000003</v>
      </c>
      <c r="Y19" s="3">
        <f>Y13-Y18</f>
        <v>-29.452999999999975</v>
      </c>
      <c r="Z19" s="3">
        <f t="shared" ref="Z19" si="30">Z13-Z18</f>
        <v>90.738500000000158</v>
      </c>
      <c r="AA19" s="3">
        <f t="shared" ref="AA19" si="31">AA13-AA18</f>
        <v>337.1619019999996</v>
      </c>
      <c r="AB19" s="3">
        <f t="shared" ref="AB19" si="32">AB13-AB18</f>
        <v>474.79620099999966</v>
      </c>
      <c r="AC19" s="3">
        <f t="shared" ref="AC19" si="33">AC13-AC18</f>
        <v>592.12101827119977</v>
      </c>
      <c r="AD19" s="3">
        <f t="shared" ref="AD19" si="34">AD13-AD18</f>
        <v>719.54650504615938</v>
      </c>
      <c r="AE19" s="3">
        <f t="shared" ref="AE19" si="35">AE13-AE18</f>
        <v>907.0747537134439</v>
      </c>
      <c r="AF19" s="3">
        <f t="shared" ref="AF19" si="36">AF13-AF18</f>
        <v>1097.410259237457</v>
      </c>
    </row>
    <row r="20" spans="2:119" x14ac:dyDescent="0.25">
      <c r="B20" s="1" t="s">
        <v>24</v>
      </c>
      <c r="D20" s="5"/>
      <c r="F20" s="5">
        <v>0.57699999999999996</v>
      </c>
      <c r="G20" s="5">
        <v>1.8776999999999999</v>
      </c>
      <c r="H20" s="5">
        <v>2.2389999999999999</v>
      </c>
      <c r="I20" s="5">
        <v>2.226</v>
      </c>
      <c r="J20" s="5">
        <v>2.5960000000000001</v>
      </c>
      <c r="K20" s="5">
        <v>2.5</v>
      </c>
      <c r="L20" s="5">
        <v>2.3940000000000001</v>
      </c>
      <c r="M20" s="5">
        <v>1.2190000000000001</v>
      </c>
      <c r="N20" s="5">
        <f>+M20</f>
        <v>1.2190000000000001</v>
      </c>
      <c r="O20" s="5">
        <f>+N20</f>
        <v>1.2190000000000001</v>
      </c>
      <c r="P20" s="5">
        <f>+O20</f>
        <v>1.2190000000000001</v>
      </c>
      <c r="Q20" s="5">
        <f>+P20</f>
        <v>1.2190000000000001</v>
      </c>
      <c r="R20" s="5">
        <f>+Q20</f>
        <v>1.2190000000000001</v>
      </c>
      <c r="W20" s="3">
        <v>4.2469999999999999</v>
      </c>
      <c r="X20" s="3">
        <v>2.988</v>
      </c>
      <c r="Y20" s="3">
        <v>7.8819999999999997</v>
      </c>
      <c r="Z20" s="3">
        <f>+Y20</f>
        <v>7.8819999999999997</v>
      </c>
    </row>
    <row r="21" spans="2:119" x14ac:dyDescent="0.25">
      <c r="B21" s="1" t="s">
        <v>25</v>
      </c>
      <c r="C21" s="5"/>
      <c r="D21" s="5"/>
      <c r="F21" s="5">
        <f t="shared" ref="F21:R21" si="37">+F19+F20</f>
        <v>-11.028000000000018</v>
      </c>
      <c r="G21" s="5">
        <f t="shared" si="37"/>
        <v>-9.3853000000000044</v>
      </c>
      <c r="H21" s="5">
        <f t="shared" si="37"/>
        <v>-6.9969999999999901</v>
      </c>
      <c r="I21" s="5">
        <f t="shared" si="37"/>
        <v>-6.3280000000000021</v>
      </c>
      <c r="J21" s="5">
        <f t="shared" si="37"/>
        <v>2.1960000000000228</v>
      </c>
      <c r="K21" s="5">
        <f t="shared" si="37"/>
        <v>12.403000000000048</v>
      </c>
      <c r="L21" s="5">
        <f t="shared" si="37"/>
        <v>13.424000000000058</v>
      </c>
      <c r="M21" s="5">
        <f t="shared" si="37"/>
        <v>23.592999999999968</v>
      </c>
      <c r="N21" s="5">
        <f t="shared" si="37"/>
        <v>99.345699999999965</v>
      </c>
      <c r="O21" s="5">
        <f t="shared" si="37"/>
        <v>120.26750000000004</v>
      </c>
      <c r="P21" s="5">
        <f t="shared" si="37"/>
        <v>153.27200000000005</v>
      </c>
      <c r="Q21" s="5">
        <f t="shared" si="37"/>
        <v>129.62100000000004</v>
      </c>
      <c r="R21" s="5">
        <f t="shared" si="37"/>
        <v>183.83783000000005</v>
      </c>
      <c r="W21" s="3">
        <f>+W19+W20</f>
        <v>-110.79500000000003</v>
      </c>
      <c r="X21" s="3">
        <f>+X19+X20</f>
        <v>-65.709000000000003</v>
      </c>
      <c r="Y21" s="3">
        <f>+Y19+Y20</f>
        <v>-21.570999999999977</v>
      </c>
      <c r="Z21" s="3">
        <f>+Z19+Z20</f>
        <v>98.620500000000163</v>
      </c>
      <c r="AA21" s="3">
        <f t="shared" ref="AA21:AF21" si="38">+AA19+AA20</f>
        <v>337.1619019999996</v>
      </c>
      <c r="AB21" s="3">
        <f t="shared" si="38"/>
        <v>474.79620099999966</v>
      </c>
      <c r="AC21" s="3">
        <f t="shared" si="38"/>
        <v>592.12101827119977</v>
      </c>
      <c r="AD21" s="3">
        <f t="shared" si="38"/>
        <v>719.54650504615938</v>
      </c>
      <c r="AE21" s="3">
        <f t="shared" si="38"/>
        <v>907.0747537134439</v>
      </c>
      <c r="AF21" s="3">
        <f t="shared" si="38"/>
        <v>1097.410259237457</v>
      </c>
    </row>
    <row r="22" spans="2:119" x14ac:dyDescent="0.25">
      <c r="B22" s="1" t="s">
        <v>27</v>
      </c>
      <c r="C22" s="5"/>
      <c r="D22" s="5"/>
      <c r="E22" s="5"/>
      <c r="F22" s="5">
        <v>0.121</v>
      </c>
      <c r="G22" s="5">
        <v>0.38600000000000001</v>
      </c>
      <c r="H22" s="5">
        <v>1.2999999999999999E-2</v>
      </c>
      <c r="I22" s="5">
        <v>0.65100000000000002</v>
      </c>
      <c r="J22" s="5">
        <v>-0.95099999999999996</v>
      </c>
      <c r="K22" s="5">
        <v>1.2749999999999999</v>
      </c>
      <c r="L22" s="5">
        <v>-0.127</v>
      </c>
      <c r="M22" s="4">
        <v>0</v>
      </c>
      <c r="N22" s="5">
        <f>+N21*0.1</f>
        <v>9.9345699999999972</v>
      </c>
      <c r="O22" s="5">
        <f>+O21*0.1</f>
        <v>12.026750000000005</v>
      </c>
      <c r="P22" s="5">
        <f>+P21*0.1</f>
        <v>15.327200000000005</v>
      </c>
      <c r="Q22" s="5">
        <f>+Q21*0.1</f>
        <v>12.962100000000005</v>
      </c>
      <c r="R22" s="5">
        <f>+R21*0.1</f>
        <v>18.383783000000005</v>
      </c>
      <c r="W22" s="3">
        <v>-3.1360000000000001</v>
      </c>
      <c r="X22" s="3">
        <v>3.1E-2</v>
      </c>
      <c r="Y22" s="3">
        <v>1.9750000000000001</v>
      </c>
      <c r="Z22" s="3">
        <f>+Y22</f>
        <v>1.9750000000000001</v>
      </c>
      <c r="AA22" s="3">
        <f t="shared" ref="AA22:AF22" si="39">+AA21*0.2</f>
        <v>67.432380399999928</v>
      </c>
      <c r="AB22" s="3">
        <f t="shared" si="39"/>
        <v>94.95924019999994</v>
      </c>
      <c r="AC22" s="3">
        <f t="shared" si="39"/>
        <v>118.42420365423996</v>
      </c>
      <c r="AD22" s="3">
        <f t="shared" si="39"/>
        <v>143.90930100923188</v>
      </c>
      <c r="AE22" s="3">
        <f t="shared" si="39"/>
        <v>181.4149507426888</v>
      </c>
      <c r="AF22" s="3">
        <f t="shared" si="39"/>
        <v>219.48205184749142</v>
      </c>
    </row>
    <row r="23" spans="2:119" x14ac:dyDescent="0.25">
      <c r="B23" s="1" t="s">
        <v>26</v>
      </c>
      <c r="C23" s="5"/>
      <c r="D23" s="5"/>
      <c r="F23" s="5">
        <f t="shared" ref="F23:R23" si="40">+F21+F22</f>
        <v>-10.907000000000018</v>
      </c>
      <c r="G23" s="5">
        <f t="shared" si="40"/>
        <v>-8.9993000000000052</v>
      </c>
      <c r="H23" s="5">
        <f t="shared" si="40"/>
        <v>-6.9839999999999902</v>
      </c>
      <c r="I23" s="5">
        <f t="shared" si="40"/>
        <v>-5.6770000000000023</v>
      </c>
      <c r="J23" s="5">
        <f t="shared" si="40"/>
        <v>1.2450000000000228</v>
      </c>
      <c r="K23" s="5">
        <f t="shared" si="40"/>
        <v>13.678000000000049</v>
      </c>
      <c r="L23" s="5">
        <f t="shared" si="40"/>
        <v>13.297000000000057</v>
      </c>
      <c r="M23" s="5">
        <f t="shared" si="40"/>
        <v>23.592999999999968</v>
      </c>
      <c r="N23" s="5">
        <f t="shared" si="40"/>
        <v>109.28026999999996</v>
      </c>
      <c r="O23" s="5">
        <f t="shared" si="40"/>
        <v>132.29425000000003</v>
      </c>
      <c r="P23" s="5">
        <f t="shared" si="40"/>
        <v>168.59920000000005</v>
      </c>
      <c r="Q23" s="5">
        <f t="shared" si="40"/>
        <v>142.58310000000003</v>
      </c>
      <c r="R23" s="5">
        <f t="shared" si="40"/>
        <v>202.22161300000005</v>
      </c>
      <c r="W23" s="3">
        <f>+W21-W22</f>
        <v>-107.65900000000003</v>
      </c>
      <c r="X23" s="3">
        <f>+X21-X22</f>
        <v>-65.740000000000009</v>
      </c>
      <c r="Y23" s="3">
        <f>+Y21-Y22</f>
        <v>-23.545999999999978</v>
      </c>
      <c r="Z23" s="3">
        <f>+Z21-Z22</f>
        <v>96.645500000000169</v>
      </c>
      <c r="AA23" s="3">
        <f t="shared" ref="AA23:AF23" si="41">+AA21-AA22</f>
        <v>269.72952159999966</v>
      </c>
      <c r="AB23" s="3">
        <f t="shared" si="41"/>
        <v>379.8369607999997</v>
      </c>
      <c r="AC23" s="3">
        <f t="shared" si="41"/>
        <v>473.69681461695984</v>
      </c>
      <c r="AD23" s="3">
        <f t="shared" si="41"/>
        <v>575.63720403692753</v>
      </c>
      <c r="AE23" s="3">
        <f t="shared" si="41"/>
        <v>725.65980297075509</v>
      </c>
      <c r="AF23" s="3">
        <f t="shared" si="41"/>
        <v>877.92820738996556</v>
      </c>
      <c r="AG23" s="3">
        <f>+AF23*(1+$AH$74)</f>
        <v>869.14892531606586</v>
      </c>
      <c r="AH23" s="3">
        <f t="shared" ref="AH23:CS23" si="42">+AG23*(1+$AH$74)</f>
        <v>860.45743606290523</v>
      </c>
      <c r="AI23" s="3">
        <f t="shared" si="42"/>
        <v>851.85286170227619</v>
      </c>
      <c r="AJ23" s="3">
        <f t="shared" si="42"/>
        <v>843.33433308525343</v>
      </c>
      <c r="AK23" s="3">
        <f t="shared" si="42"/>
        <v>834.90098975440094</v>
      </c>
      <c r="AL23" s="3">
        <f t="shared" si="42"/>
        <v>826.55197985685697</v>
      </c>
      <c r="AM23" s="3">
        <f t="shared" si="42"/>
        <v>818.28646005828841</v>
      </c>
      <c r="AN23" s="3">
        <f t="shared" si="42"/>
        <v>810.10359545770552</v>
      </c>
      <c r="AO23" s="3">
        <f t="shared" si="42"/>
        <v>802.00255950312851</v>
      </c>
      <c r="AP23" s="3">
        <f t="shared" si="42"/>
        <v>793.98253390809725</v>
      </c>
      <c r="AQ23" s="3">
        <f t="shared" si="42"/>
        <v>786.04270856901633</v>
      </c>
      <c r="AR23" s="3">
        <f t="shared" si="42"/>
        <v>778.18228148332616</v>
      </c>
      <c r="AS23" s="3">
        <f t="shared" si="42"/>
        <v>770.40045866849289</v>
      </c>
      <c r="AT23" s="3">
        <f t="shared" si="42"/>
        <v>762.69645408180793</v>
      </c>
      <c r="AU23" s="3">
        <f t="shared" si="42"/>
        <v>755.06948954098982</v>
      </c>
      <c r="AV23" s="3">
        <f t="shared" si="42"/>
        <v>747.51879464557987</v>
      </c>
      <c r="AW23" s="3">
        <f t="shared" si="42"/>
        <v>740.0436066991241</v>
      </c>
      <c r="AX23" s="3">
        <f t="shared" si="42"/>
        <v>732.64317063213286</v>
      </c>
      <c r="AY23" s="3">
        <f t="shared" si="42"/>
        <v>725.31673892581148</v>
      </c>
      <c r="AZ23" s="3">
        <f t="shared" si="42"/>
        <v>718.06357153655335</v>
      </c>
      <c r="BA23" s="3">
        <f t="shared" si="42"/>
        <v>710.88293582118786</v>
      </c>
      <c r="BB23" s="3">
        <f t="shared" si="42"/>
        <v>703.77410646297596</v>
      </c>
      <c r="BC23" s="3">
        <f t="shared" si="42"/>
        <v>696.73636539834615</v>
      </c>
      <c r="BD23" s="3">
        <f t="shared" si="42"/>
        <v>689.76900174436264</v>
      </c>
      <c r="BE23" s="3">
        <f t="shared" si="42"/>
        <v>682.87131172691898</v>
      </c>
      <c r="BF23" s="3">
        <f t="shared" si="42"/>
        <v>676.04259860964976</v>
      </c>
      <c r="BG23" s="3">
        <f t="shared" si="42"/>
        <v>669.28217262355327</v>
      </c>
      <c r="BH23" s="3">
        <f t="shared" si="42"/>
        <v>662.58935089731767</v>
      </c>
      <c r="BI23" s="3">
        <f t="shared" si="42"/>
        <v>655.96345738834452</v>
      </c>
      <c r="BJ23" s="3">
        <f t="shared" si="42"/>
        <v>649.40382281446102</v>
      </c>
      <c r="BK23" s="3">
        <f t="shared" si="42"/>
        <v>642.90978458631639</v>
      </c>
      <c r="BL23" s="3">
        <f t="shared" si="42"/>
        <v>636.48068674045317</v>
      </c>
      <c r="BM23" s="3">
        <f t="shared" si="42"/>
        <v>630.11587987304858</v>
      </c>
      <c r="BN23" s="3">
        <f t="shared" si="42"/>
        <v>623.81472107431807</v>
      </c>
      <c r="BO23" s="3">
        <f t="shared" si="42"/>
        <v>617.57657386357494</v>
      </c>
      <c r="BP23" s="3">
        <f t="shared" si="42"/>
        <v>611.4008081249392</v>
      </c>
      <c r="BQ23" s="3">
        <f t="shared" si="42"/>
        <v>605.28680004368982</v>
      </c>
      <c r="BR23" s="3">
        <f t="shared" si="42"/>
        <v>599.23393204325293</v>
      </c>
      <c r="BS23" s="3">
        <f t="shared" si="42"/>
        <v>593.24159272282043</v>
      </c>
      <c r="BT23" s="3">
        <f t="shared" si="42"/>
        <v>587.30917679559218</v>
      </c>
      <c r="BU23" s="3">
        <f t="shared" si="42"/>
        <v>581.4360850276363</v>
      </c>
      <c r="BV23" s="3">
        <f t="shared" si="42"/>
        <v>575.62172417735997</v>
      </c>
      <c r="BW23" s="3">
        <f t="shared" si="42"/>
        <v>569.86550693558638</v>
      </c>
      <c r="BX23" s="3">
        <f t="shared" si="42"/>
        <v>564.16685186623056</v>
      </c>
      <c r="BY23" s="3">
        <f t="shared" si="42"/>
        <v>558.52518334756826</v>
      </c>
      <c r="BZ23" s="3">
        <f t="shared" si="42"/>
        <v>552.93993151409256</v>
      </c>
      <c r="CA23" s="3">
        <f t="shared" si="42"/>
        <v>547.41053219895161</v>
      </c>
      <c r="CB23" s="3">
        <f t="shared" si="42"/>
        <v>541.93642687696206</v>
      </c>
      <c r="CC23" s="3">
        <f t="shared" si="42"/>
        <v>536.51706260819242</v>
      </c>
      <c r="CD23" s="3">
        <f t="shared" si="42"/>
        <v>531.15189198211044</v>
      </c>
      <c r="CE23" s="3">
        <f t="shared" si="42"/>
        <v>525.84037306228936</v>
      </c>
      <c r="CF23" s="3">
        <f t="shared" si="42"/>
        <v>520.58196933166641</v>
      </c>
      <c r="CG23" s="3">
        <f t="shared" si="42"/>
        <v>515.37614963834972</v>
      </c>
      <c r="CH23" s="3">
        <f t="shared" si="42"/>
        <v>510.22238814196623</v>
      </c>
      <c r="CI23" s="3">
        <f t="shared" si="42"/>
        <v>505.12016426054657</v>
      </c>
      <c r="CJ23" s="3">
        <f t="shared" si="42"/>
        <v>500.06896261794111</v>
      </c>
      <c r="CK23" s="3">
        <f t="shared" si="42"/>
        <v>495.06827299176172</v>
      </c>
      <c r="CL23" s="3">
        <f t="shared" si="42"/>
        <v>490.1175902618441</v>
      </c>
      <c r="CM23" s="3">
        <f t="shared" si="42"/>
        <v>485.21641435922567</v>
      </c>
      <c r="CN23" s="3">
        <f t="shared" si="42"/>
        <v>480.36425021563343</v>
      </c>
      <c r="CO23" s="3">
        <f t="shared" si="42"/>
        <v>475.56060771347711</v>
      </c>
      <c r="CP23" s="3">
        <f t="shared" si="42"/>
        <v>470.80500163634235</v>
      </c>
      <c r="CQ23" s="3">
        <f t="shared" si="42"/>
        <v>466.09695161997894</v>
      </c>
      <c r="CR23" s="3">
        <f t="shared" si="42"/>
        <v>461.43598210377917</v>
      </c>
      <c r="CS23" s="3">
        <f t="shared" si="42"/>
        <v>456.82162228274137</v>
      </c>
      <c r="CT23" s="3">
        <f t="shared" ref="CT23:DO23" si="43">+CS23*(1+$AH$74)</f>
        <v>452.25340605991397</v>
      </c>
      <c r="CU23" s="3">
        <f t="shared" si="43"/>
        <v>447.73087199931484</v>
      </c>
      <c r="CV23" s="3">
        <f t="shared" si="43"/>
        <v>443.25356327932167</v>
      </c>
      <c r="CW23" s="3">
        <f t="shared" si="43"/>
        <v>438.82102764652842</v>
      </c>
      <c r="CX23" s="3">
        <f t="shared" si="43"/>
        <v>434.43281737006311</v>
      </c>
      <c r="CY23" s="3">
        <f t="shared" si="43"/>
        <v>430.08848919636245</v>
      </c>
      <c r="CZ23" s="3">
        <f t="shared" si="43"/>
        <v>425.78760430439883</v>
      </c>
      <c r="DA23" s="3">
        <f t="shared" si="43"/>
        <v>421.52972826135482</v>
      </c>
      <c r="DB23" s="3">
        <f t="shared" si="43"/>
        <v>417.31443097874126</v>
      </c>
      <c r="DC23" s="3">
        <f t="shared" si="43"/>
        <v>413.14128666895385</v>
      </c>
      <c r="DD23" s="3">
        <f t="shared" si="43"/>
        <v>409.00987380226434</v>
      </c>
      <c r="DE23" s="3">
        <f t="shared" si="43"/>
        <v>404.91977506424166</v>
      </c>
      <c r="DF23" s="3">
        <f t="shared" si="43"/>
        <v>400.87057731359926</v>
      </c>
      <c r="DG23" s="3">
        <f t="shared" si="43"/>
        <v>396.86187154046326</v>
      </c>
      <c r="DH23" s="3">
        <f t="shared" si="43"/>
        <v>392.8932528250586</v>
      </c>
      <c r="DI23" s="3">
        <f t="shared" si="43"/>
        <v>388.96432029680801</v>
      </c>
      <c r="DJ23" s="3">
        <f t="shared" si="43"/>
        <v>385.07467709383991</v>
      </c>
      <c r="DK23" s="3">
        <f t="shared" si="43"/>
        <v>381.22393032290148</v>
      </c>
      <c r="DL23" s="3">
        <f t="shared" si="43"/>
        <v>377.41169101967245</v>
      </c>
      <c r="DM23" s="3">
        <f t="shared" si="43"/>
        <v>373.63757410947574</v>
      </c>
      <c r="DN23" s="3">
        <f t="shared" si="43"/>
        <v>369.90119836838096</v>
      </c>
      <c r="DO23" s="3">
        <f t="shared" si="43"/>
        <v>366.20218638469714</v>
      </c>
    </row>
    <row r="24" spans="2:119" x14ac:dyDescent="0.25">
      <c r="B24" s="1" t="s">
        <v>28</v>
      </c>
      <c r="C24" s="6"/>
      <c r="D24" s="6"/>
      <c r="F24" s="6">
        <f t="shared" ref="F24:N24" si="44">+F23/F25</f>
        <v>-5.2910570613702017E-2</v>
      </c>
      <c r="G24" s="6">
        <f t="shared" si="44"/>
        <v>-4.3445433297580778E-2</v>
      </c>
      <c r="H24" s="6">
        <f t="shared" si="44"/>
        <v>-3.3508805957312933E-2</v>
      </c>
      <c r="I24" s="6">
        <f t="shared" si="44"/>
        <v>-2.7016006938902208E-2</v>
      </c>
      <c r="J24" s="6">
        <f t="shared" si="44"/>
        <v>5.6118782791625688E-3</v>
      </c>
      <c r="K24" s="6">
        <f t="shared" si="44"/>
        <v>5.9634315384827385E-2</v>
      </c>
      <c r="L24" s="6">
        <f t="shared" si="44"/>
        <v>5.6633108664250427E-2</v>
      </c>
      <c r="M24" s="6">
        <f t="shared" si="44"/>
        <v>0.10036604530032268</v>
      </c>
      <c r="N24" s="6">
        <f t="shared" si="44"/>
        <v>0.4648848611559151</v>
      </c>
      <c r="O24" s="6">
        <f t="shared" ref="O24:R24" si="45">+O23/O25</f>
        <v>0.5627877204455658</v>
      </c>
      <c r="P24" s="6">
        <f t="shared" si="45"/>
        <v>0.71723116792261232</v>
      </c>
      <c r="Q24" s="6">
        <f t="shared" si="45"/>
        <v>0.60655710904337989</v>
      </c>
      <c r="R24" s="6">
        <f t="shared" si="45"/>
        <v>0.86026294117163371</v>
      </c>
      <c r="W24" s="2">
        <f>+W23/W25</f>
        <v>-0.57638994586493864</v>
      </c>
      <c r="X24" s="2">
        <f>+X23/X25</f>
        <v>-0.32144165457471036</v>
      </c>
      <c r="Y24" s="2">
        <f>+Y23/Y25</f>
        <v>-0.11247477796334296</v>
      </c>
      <c r="Z24" s="2">
        <f>+Z23/Z25</f>
        <v>0.46165723068276104</v>
      </c>
      <c r="AA24" s="2">
        <f>+AA23/AA25</f>
        <v>1.288446787230048</v>
      </c>
      <c r="AB24" s="2">
        <f t="shared" ref="AB24:AF24" si="46">+AB23/AB25</f>
        <v>1.8144091492504464</v>
      </c>
      <c r="AC24" s="2">
        <f t="shared" si="46"/>
        <v>2.2627598762416308</v>
      </c>
      <c r="AD24" s="2">
        <f t="shared" si="46"/>
        <v>2.749709789836619</v>
      </c>
      <c r="AE24" s="2">
        <f t="shared" si="46"/>
        <v>3.4663393024742613</v>
      </c>
      <c r="AF24" s="2">
        <f t="shared" si="46"/>
        <v>4.1936966021380355</v>
      </c>
    </row>
    <row r="25" spans="2:119" x14ac:dyDescent="0.25">
      <c r="B25" s="1" t="s">
        <v>1</v>
      </c>
      <c r="C25" s="5"/>
      <c r="D25" s="5"/>
      <c r="E25" s="5"/>
      <c r="F25" s="5">
        <v>206.14028300000001</v>
      </c>
      <c r="G25" s="5">
        <v>207.140298</v>
      </c>
      <c r="H25" s="5">
        <v>208.42282499999999</v>
      </c>
      <c r="I25" s="5">
        <v>210.134681</v>
      </c>
      <c r="J25" s="5">
        <v>221.85085599999999</v>
      </c>
      <c r="K25" s="5">
        <v>229.36458500000001</v>
      </c>
      <c r="L25" s="5">
        <v>234.79198500000001</v>
      </c>
      <c r="M25" s="5">
        <v>235.06953899999999</v>
      </c>
      <c r="N25" s="5">
        <f>+M25</f>
        <v>235.06953899999999</v>
      </c>
      <c r="O25" s="5">
        <f t="shared" ref="O25:R25" si="47">+N25</f>
        <v>235.06953899999999</v>
      </c>
      <c r="P25" s="5">
        <f t="shared" si="47"/>
        <v>235.06953899999999</v>
      </c>
      <c r="Q25" s="5">
        <f t="shared" si="47"/>
        <v>235.06953899999999</v>
      </c>
      <c r="R25" s="5">
        <f t="shared" si="47"/>
        <v>235.06953899999999</v>
      </c>
      <c r="W25" s="3">
        <v>186.78153699999999</v>
      </c>
      <c r="X25" s="3">
        <v>204.51612</v>
      </c>
      <c r="Y25" s="3">
        <v>209.34471199999999</v>
      </c>
      <c r="Z25" s="3">
        <f>+Y25</f>
        <v>209.34471199999999</v>
      </c>
      <c r="AA25" s="3">
        <f>+Z25</f>
        <v>209.34471199999999</v>
      </c>
      <c r="AB25" s="3">
        <f t="shared" ref="AB25:AF25" si="48">+AA25</f>
        <v>209.34471199999999</v>
      </c>
      <c r="AC25" s="3">
        <f t="shared" si="48"/>
        <v>209.34471199999999</v>
      </c>
      <c r="AD25" s="3">
        <f t="shared" si="48"/>
        <v>209.34471199999999</v>
      </c>
      <c r="AE25" s="3">
        <f t="shared" si="48"/>
        <v>209.34471199999999</v>
      </c>
      <c r="AF25" s="3">
        <f t="shared" si="48"/>
        <v>209.34471199999999</v>
      </c>
    </row>
    <row r="27" spans="2:119" s="10" customFormat="1" ht="13" x14ac:dyDescent="0.3">
      <c r="B27" s="10" t="s">
        <v>30</v>
      </c>
      <c r="C27" s="11"/>
      <c r="D27" s="11"/>
      <c r="E27" s="11"/>
      <c r="F27" s="11"/>
      <c r="G27" s="11"/>
      <c r="H27" s="11"/>
      <c r="I27" s="11"/>
      <c r="J27" s="12">
        <f t="shared" ref="J27:R27" si="49">+J11/F11-1</f>
        <v>0.47496755440990879</v>
      </c>
      <c r="K27" s="12">
        <f t="shared" si="49"/>
        <v>0.45814855585259751</v>
      </c>
      <c r="L27" s="12">
        <f t="shared" si="49"/>
        <v>0.51818076878679453</v>
      </c>
      <c r="M27" s="12">
        <f t="shared" si="49"/>
        <v>0.77131791494448576</v>
      </c>
      <c r="N27" s="12">
        <f t="shared" si="49"/>
        <v>0.93235719875597578</v>
      </c>
      <c r="O27" s="12">
        <f t="shared" si="49"/>
        <v>0.89292197964561337</v>
      </c>
      <c r="P27" s="12">
        <f t="shared" si="49"/>
        <v>0.82657897404703973</v>
      </c>
      <c r="Q27" s="12">
        <f t="shared" si="49"/>
        <v>0.56032035382362633</v>
      </c>
      <c r="R27" s="12">
        <f t="shared" si="49"/>
        <v>0.41967785527828849</v>
      </c>
      <c r="V27" s="13">
        <f t="shared" ref="V27:AF27" si="50">+V11/U11-1</f>
        <v>0.80184839749024928</v>
      </c>
      <c r="W27" s="13">
        <f t="shared" si="50"/>
        <v>0.8276652527276025</v>
      </c>
      <c r="X27" s="13">
        <f t="shared" si="50"/>
        <v>0.9380604535857997</v>
      </c>
      <c r="Y27" s="13">
        <f t="shared" si="50"/>
        <v>0.65491273751413881</v>
      </c>
      <c r="Z27" s="13">
        <f t="shared" si="50"/>
        <v>0.68799426605504599</v>
      </c>
      <c r="AA27" s="13">
        <f t="shared" si="50"/>
        <v>0.33493648819136213</v>
      </c>
      <c r="AB27" s="13">
        <f t="shared" si="50"/>
        <v>0.21451506574468837</v>
      </c>
      <c r="AC27" s="13">
        <f t="shared" si="50"/>
        <v>0.18648263498526352</v>
      </c>
      <c r="AD27" s="13">
        <f t="shared" si="50"/>
        <v>0.16584447785603129</v>
      </c>
      <c r="AE27" s="13">
        <f t="shared" si="50"/>
        <v>0.15001584675258095</v>
      </c>
      <c r="AF27" s="13">
        <f t="shared" si="50"/>
        <v>0.13749097284548428</v>
      </c>
    </row>
    <row r="29" spans="2:119" x14ac:dyDescent="0.25">
      <c r="B29" s="1" t="s">
        <v>40</v>
      </c>
      <c r="F29" s="16">
        <f t="shared" ref="F29:L29" si="51">+F13/F11</f>
        <v>0.79147503334270308</v>
      </c>
      <c r="G29" s="16">
        <f t="shared" si="51"/>
        <v>0.80424070870681974</v>
      </c>
      <c r="H29" s="16">
        <f t="shared" si="51"/>
        <v>0.81841355958290052</v>
      </c>
      <c r="I29" s="16">
        <f t="shared" si="51"/>
        <v>0.82624096268620506</v>
      </c>
      <c r="J29" s="16">
        <f t="shared" si="51"/>
        <v>0.82742205588377216</v>
      </c>
      <c r="K29" s="16">
        <f t="shared" si="51"/>
        <v>0.82357614560827697</v>
      </c>
      <c r="L29" s="16">
        <f t="shared" si="51"/>
        <v>0.8129720448094081</v>
      </c>
      <c r="M29" s="16">
        <f>+M13/M11</f>
        <v>0.7916355377581209</v>
      </c>
      <c r="N29" s="16">
        <f t="shared" ref="N29:R29" si="52">+N13/N11</f>
        <v>0.8</v>
      </c>
      <c r="O29" s="16">
        <f t="shared" si="52"/>
        <v>0.8</v>
      </c>
      <c r="P29" s="16">
        <f t="shared" si="52"/>
        <v>0.8</v>
      </c>
      <c r="Q29" s="16">
        <f t="shared" si="52"/>
        <v>0.8</v>
      </c>
      <c r="R29" s="16">
        <f t="shared" si="52"/>
        <v>0.8</v>
      </c>
      <c r="W29" s="14">
        <f>+W13/W11</f>
        <v>0.7521535394551967</v>
      </c>
      <c r="X29" s="14">
        <f>+X13/X11</f>
        <v>0.77568720630992416</v>
      </c>
      <c r="Y29" s="14">
        <f>+Y13/Y11</f>
        <v>0.81989564220183497</v>
      </c>
      <c r="Z29" s="14">
        <f>+Z13/Z11</f>
        <v>0.8</v>
      </c>
      <c r="AA29" s="14">
        <f>+AA13/AA11</f>
        <v>0.78</v>
      </c>
      <c r="AB29" s="14">
        <f t="shared" ref="AB29:AF29" si="53">+AB13/AB11</f>
        <v>0.75</v>
      </c>
      <c r="AC29" s="14">
        <f t="shared" si="53"/>
        <v>0.72</v>
      </c>
      <c r="AD29" s="14">
        <f t="shared" si="53"/>
        <v>0.7</v>
      </c>
      <c r="AE29" s="14">
        <f t="shared" si="53"/>
        <v>0.7</v>
      </c>
      <c r="AF29" s="14">
        <f t="shared" si="53"/>
        <v>0.7</v>
      </c>
    </row>
    <row r="31" spans="2:119" x14ac:dyDescent="0.25">
      <c r="B31" s="17" t="s">
        <v>3</v>
      </c>
      <c r="K31" s="5">
        <f>105.237+98.355+0.856</f>
        <v>204.44799999999998</v>
      </c>
      <c r="L31" s="5">
        <f>129.295+97.997+0.856</f>
        <v>228.14799999999997</v>
      </c>
      <c r="M31" s="5">
        <f>165.518+88.553+0.856</f>
        <v>254.92699999999999</v>
      </c>
    </row>
    <row r="32" spans="2:119" x14ac:dyDescent="0.25">
      <c r="B32" s="17" t="s">
        <v>58</v>
      </c>
      <c r="K32" s="5">
        <v>29.826000000000001</v>
      </c>
      <c r="L32" s="5">
        <v>40.588000000000001</v>
      </c>
      <c r="M32" s="5">
        <v>49.11</v>
      </c>
    </row>
    <row r="33" spans="2:13" x14ac:dyDescent="0.25">
      <c r="B33" s="17" t="s">
        <v>59</v>
      </c>
      <c r="K33" s="5">
        <v>28.315999999999999</v>
      </c>
      <c r="L33" s="5">
        <v>23.038</v>
      </c>
      <c r="M33" s="5">
        <v>23.193999999999999</v>
      </c>
    </row>
    <row r="34" spans="2:13" x14ac:dyDescent="0.25">
      <c r="B34" s="17" t="s">
        <v>60</v>
      </c>
      <c r="K34" s="18">
        <f>110.881+17.863</f>
        <v>128.744</v>
      </c>
      <c r="L34" s="18">
        <f>110.881+17.133</f>
        <v>128.01400000000001</v>
      </c>
      <c r="M34" s="18">
        <f>112.728+44.818</f>
        <v>157.54599999999999</v>
      </c>
    </row>
    <row r="35" spans="2:13" x14ac:dyDescent="0.25">
      <c r="B35" s="17" t="s">
        <v>61</v>
      </c>
      <c r="K35" s="5">
        <v>45.212000000000003</v>
      </c>
      <c r="L35" s="5">
        <v>49.54</v>
      </c>
      <c r="M35" s="5">
        <v>52.143999999999998</v>
      </c>
    </row>
    <row r="36" spans="2:13" x14ac:dyDescent="0.25">
      <c r="B36" s="17" t="s">
        <v>55</v>
      </c>
      <c r="K36" s="5">
        <v>11.422000000000001</v>
      </c>
      <c r="L36" s="5">
        <v>11.034000000000001</v>
      </c>
      <c r="M36" s="5">
        <v>10.884</v>
      </c>
    </row>
    <row r="37" spans="2:13" x14ac:dyDescent="0.25">
      <c r="B37" s="17" t="s">
        <v>62</v>
      </c>
      <c r="K37" s="5">
        <v>0</v>
      </c>
      <c r="L37" s="5">
        <v>0</v>
      </c>
      <c r="M37" s="5">
        <v>54.317999999999998</v>
      </c>
    </row>
    <row r="38" spans="2:13" x14ac:dyDescent="0.25">
      <c r="B38" s="17" t="s">
        <v>63</v>
      </c>
      <c r="K38" s="5">
        <v>0.13800000000000001</v>
      </c>
      <c r="L38" s="5">
        <v>0.13800000000000001</v>
      </c>
      <c r="M38" s="5">
        <v>0.13800000000000001</v>
      </c>
    </row>
    <row r="39" spans="2:13" x14ac:dyDescent="0.25">
      <c r="B39" s="17" t="s">
        <v>57</v>
      </c>
      <c r="K39" s="5">
        <f>SUM(K31:K38)</f>
        <v>448.10599999999994</v>
      </c>
      <c r="L39" s="5">
        <f>SUM(L31:L38)</f>
        <v>480.5</v>
      </c>
      <c r="M39" s="5">
        <f>SUM(M31:M38)</f>
        <v>602.26099999999997</v>
      </c>
    </row>
    <row r="40" spans="2:13" x14ac:dyDescent="0.25">
      <c r="M40" s="5"/>
    </row>
    <row r="41" spans="2:13" x14ac:dyDescent="0.25">
      <c r="B41" s="17" t="s">
        <v>52</v>
      </c>
      <c r="K41" s="5">
        <v>43.918999999999997</v>
      </c>
      <c r="L41" s="5">
        <v>57.098999999999997</v>
      </c>
      <c r="M41" s="5">
        <v>75.444000000000003</v>
      </c>
    </row>
    <row r="42" spans="2:13" x14ac:dyDescent="0.25">
      <c r="B42" s="17" t="s">
        <v>53</v>
      </c>
      <c r="K42" s="5">
        <v>26.713999999999999</v>
      </c>
      <c r="L42" s="5">
        <v>28.948</v>
      </c>
      <c r="M42" s="5">
        <v>43.223999999999997</v>
      </c>
    </row>
    <row r="43" spans="2:13" x14ac:dyDescent="0.25">
      <c r="B43" s="17" t="s">
        <v>54</v>
      </c>
      <c r="K43" s="5">
        <v>13.734999999999999</v>
      </c>
      <c r="L43" s="5">
        <v>20.99</v>
      </c>
      <c r="M43" s="5">
        <v>32.183999999999997</v>
      </c>
    </row>
    <row r="44" spans="2:13" x14ac:dyDescent="0.25">
      <c r="B44" s="17" t="s">
        <v>64</v>
      </c>
      <c r="K44" s="5">
        <v>7.4119999999999999</v>
      </c>
      <c r="L44" s="5">
        <v>0</v>
      </c>
      <c r="M44" s="5">
        <v>0</v>
      </c>
    </row>
    <row r="45" spans="2:13" x14ac:dyDescent="0.25">
      <c r="B45" s="17" t="s">
        <v>55</v>
      </c>
      <c r="K45" s="5">
        <f>1.544+10.279</f>
        <v>11.823</v>
      </c>
      <c r="L45" s="5">
        <f>1.634+9.841</f>
        <v>11.475</v>
      </c>
      <c r="M45" s="5">
        <v>1.7929999999999999</v>
      </c>
    </row>
    <row r="46" spans="2:13" x14ac:dyDescent="0.25">
      <c r="B46" s="17" t="s">
        <v>56</v>
      </c>
      <c r="K46" s="5">
        <v>2.1000000000000001E-2</v>
      </c>
      <c r="L46" s="5">
        <v>2.1999999999999999E-2</v>
      </c>
      <c r="M46" s="5">
        <v>9.5649999999999995</v>
      </c>
    </row>
    <row r="47" spans="2:13" x14ac:dyDescent="0.25">
      <c r="B47" s="17" t="s">
        <v>51</v>
      </c>
      <c r="K47" s="5">
        <v>344.48200000000003</v>
      </c>
      <c r="L47" s="5">
        <v>361.96600000000001</v>
      </c>
      <c r="M47" s="5">
        <v>440.05099999999999</v>
      </c>
    </row>
    <row r="48" spans="2:13" x14ac:dyDescent="0.25">
      <c r="B48" s="17" t="s">
        <v>50</v>
      </c>
      <c r="K48" s="5">
        <f>SUM(K41:K47)</f>
        <v>448.10600000000005</v>
      </c>
      <c r="L48" s="5">
        <f t="shared" ref="L48" si="54">SUM(L41:L47)</f>
        <v>480.5</v>
      </c>
      <c r="M48" s="5">
        <f>SUM(M41:M47)</f>
        <v>602.26099999999997</v>
      </c>
    </row>
    <row r="50" spans="2:12" x14ac:dyDescent="0.25">
      <c r="B50" s="17" t="s">
        <v>65</v>
      </c>
      <c r="K50" s="5">
        <f>K23</f>
        <v>13.678000000000049</v>
      </c>
      <c r="L50" s="5">
        <f t="shared" ref="L50" si="55">L23</f>
        <v>13.297000000000057</v>
      </c>
    </row>
    <row r="51" spans="2:12" x14ac:dyDescent="0.25">
      <c r="B51" s="17" t="s">
        <v>66</v>
      </c>
      <c r="K51" s="5">
        <v>11.128</v>
      </c>
      <c r="L51" s="5">
        <f>24.425-K51</f>
        <v>13.297000000000001</v>
      </c>
    </row>
    <row r="52" spans="2:12" x14ac:dyDescent="0.25">
      <c r="B52" s="17" t="s">
        <v>68</v>
      </c>
      <c r="K52" s="5">
        <v>3.0009999999999999</v>
      </c>
      <c r="L52" s="5">
        <f>6.644-K52</f>
        <v>3.6430000000000002</v>
      </c>
    </row>
    <row r="53" spans="2:12" x14ac:dyDescent="0.25">
      <c r="B53" s="17" t="s">
        <v>67</v>
      </c>
      <c r="K53" s="5">
        <v>19.032</v>
      </c>
      <c r="L53" s="5">
        <f>43.074-K53</f>
        <v>24.041999999999998</v>
      </c>
    </row>
    <row r="54" spans="2:12" x14ac:dyDescent="0.25">
      <c r="B54" s="17" t="s">
        <v>72</v>
      </c>
      <c r="K54" s="5">
        <v>-1.077</v>
      </c>
      <c r="L54" s="5">
        <f>-2.281-K54</f>
        <v>-1.2040000000000002</v>
      </c>
    </row>
    <row r="55" spans="2:12" x14ac:dyDescent="0.25">
      <c r="B55" s="17" t="s">
        <v>71</v>
      </c>
      <c r="K55" s="5">
        <v>7.4999999999999997E-2</v>
      </c>
      <c r="L55" s="5">
        <f>0.114-K55</f>
        <v>3.9000000000000007E-2</v>
      </c>
    </row>
    <row r="56" spans="2:12" x14ac:dyDescent="0.25">
      <c r="B56" s="17" t="s">
        <v>55</v>
      </c>
      <c r="K56" s="5">
        <v>0.57399999999999995</v>
      </c>
      <c r="L56" s="5">
        <f>1.221-K56</f>
        <v>0.64700000000000013</v>
      </c>
    </row>
    <row r="57" spans="2:12" x14ac:dyDescent="0.25">
      <c r="B57" s="17" t="s">
        <v>70</v>
      </c>
      <c r="K57" s="5">
        <v>0.40799999999999997</v>
      </c>
      <c r="L57" s="5">
        <f>0.412-K57</f>
        <v>4.0000000000000036E-3</v>
      </c>
    </row>
    <row r="58" spans="2:12" x14ac:dyDescent="0.25">
      <c r="B58" s="17" t="s">
        <v>69</v>
      </c>
      <c r="K58" s="5">
        <f>-7.362-6.708-0.047+3.602-2.258+6.002-0.532</f>
        <v>-7.3029999999999999</v>
      </c>
      <c r="L58" s="5">
        <f>-18.124-1.43-0.47+16.156-0.24+13.257-1.1-2.825-K58</f>
        <v>12.527000000000001</v>
      </c>
    </row>
    <row r="59" spans="2:12" x14ac:dyDescent="0.25">
      <c r="B59" s="17" t="s">
        <v>29</v>
      </c>
      <c r="K59" s="5">
        <f>SUM(K51:K58)</f>
        <v>25.838000000000005</v>
      </c>
      <c r="L59" s="5">
        <f t="shared" ref="L59" si="56">SUM(L51:L58)</f>
        <v>52.994999999999997</v>
      </c>
    </row>
    <row r="61" spans="2:12" x14ac:dyDescent="0.25">
      <c r="B61" s="17" t="s">
        <v>75</v>
      </c>
      <c r="K61" s="5">
        <f>-70.7+97.7</f>
        <v>27</v>
      </c>
      <c r="L61" s="5">
        <f>-97.539+126.095-K61</f>
        <v>1.5559999999999974</v>
      </c>
    </row>
    <row r="62" spans="2:12" x14ac:dyDescent="0.25">
      <c r="B62" s="17" t="s">
        <v>74</v>
      </c>
      <c r="K62" s="5">
        <v>-3.3769999999999998</v>
      </c>
      <c r="L62" s="5">
        <f>-6.191-K62</f>
        <v>-2.8140000000000001</v>
      </c>
    </row>
    <row r="63" spans="2:12" x14ac:dyDescent="0.25">
      <c r="B63" s="17" t="s">
        <v>31</v>
      </c>
      <c r="K63" s="5">
        <v>-10.581</v>
      </c>
      <c r="L63" s="5">
        <f>-13.793-K63</f>
        <v>-3.2119999999999997</v>
      </c>
    </row>
    <row r="64" spans="2:12" x14ac:dyDescent="0.25">
      <c r="B64" s="17" t="s">
        <v>73</v>
      </c>
      <c r="K64" s="5">
        <f>SUM(K61:K63)</f>
        <v>13.042000000000002</v>
      </c>
      <c r="L64" s="5">
        <f>SUM(L61:L63)</f>
        <v>-4.4700000000000024</v>
      </c>
    </row>
    <row r="66" spans="2:34" s="3" customFormat="1" x14ac:dyDescent="0.25">
      <c r="B66" s="20" t="s">
        <v>78</v>
      </c>
      <c r="C66" s="5"/>
      <c r="D66" s="5"/>
      <c r="E66" s="5"/>
      <c r="F66" s="5"/>
      <c r="G66" s="5"/>
      <c r="H66" s="5"/>
      <c r="I66" s="5"/>
      <c r="J66" s="5"/>
      <c r="K66" s="5">
        <f>5.07-7.314</f>
        <v>-2.2439999999999998</v>
      </c>
      <c r="L66" s="5">
        <f>16.472-22.281-K66+1.622</f>
        <v>-1.9429999999999976</v>
      </c>
      <c r="M66" s="5"/>
      <c r="N66" s="5"/>
      <c r="O66" s="5"/>
      <c r="P66" s="5"/>
      <c r="Q66" s="5"/>
      <c r="R66" s="5"/>
    </row>
    <row r="67" spans="2:34" s="3" customFormat="1" x14ac:dyDescent="0.25">
      <c r="B67" s="20" t="s">
        <v>64</v>
      </c>
      <c r="C67" s="5"/>
      <c r="D67" s="5"/>
      <c r="E67" s="5"/>
      <c r="F67" s="5"/>
      <c r="G67" s="5"/>
      <c r="H67" s="5"/>
      <c r="I67" s="5"/>
      <c r="J67" s="5"/>
      <c r="K67" s="5">
        <v>0</v>
      </c>
      <c r="L67" s="5">
        <f>-3.19-K67</f>
        <v>-3.19</v>
      </c>
      <c r="M67" s="5"/>
      <c r="N67" s="5"/>
      <c r="O67" s="5"/>
      <c r="P67" s="5"/>
      <c r="Q67" s="5"/>
      <c r="R67" s="5"/>
    </row>
    <row r="68" spans="2:34" s="3" customFormat="1" x14ac:dyDescent="0.25">
      <c r="B68" s="20" t="s">
        <v>77</v>
      </c>
      <c r="C68" s="5"/>
      <c r="D68" s="5"/>
      <c r="E68" s="5"/>
      <c r="F68" s="5"/>
      <c r="G68" s="5"/>
      <c r="H68" s="5"/>
      <c r="I68" s="5"/>
      <c r="J68" s="5"/>
      <c r="K68" s="5">
        <v>-28.064</v>
      </c>
      <c r="L68" s="5">
        <f>-47.996-K68</f>
        <v>-19.932000000000002</v>
      </c>
      <c r="M68" s="5"/>
      <c r="N68" s="5"/>
      <c r="O68" s="5"/>
      <c r="P68" s="5"/>
      <c r="Q68" s="5"/>
      <c r="R68" s="5"/>
    </row>
    <row r="69" spans="2:34" s="3" customFormat="1" x14ac:dyDescent="0.25">
      <c r="B69" s="20" t="s">
        <v>76</v>
      </c>
      <c r="C69" s="5"/>
      <c r="D69" s="5"/>
      <c r="E69" s="5"/>
      <c r="F69" s="5"/>
      <c r="G69" s="5"/>
      <c r="H69" s="5"/>
      <c r="I69" s="5"/>
      <c r="J69" s="5"/>
      <c r="K69" s="5">
        <f>SUM(K66:K68)</f>
        <v>-30.308</v>
      </c>
      <c r="L69" s="5">
        <f>SUM(L66:L68)</f>
        <v>-25.064999999999998</v>
      </c>
      <c r="M69" s="5"/>
      <c r="N69" s="5"/>
      <c r="O69" s="5"/>
      <c r="P69" s="5"/>
      <c r="Q69" s="5"/>
      <c r="R69" s="5"/>
    </row>
    <row r="70" spans="2:34" s="3" customFormat="1" x14ac:dyDescent="0.25">
      <c r="B70" s="20" t="s">
        <v>79</v>
      </c>
      <c r="C70" s="5"/>
      <c r="D70" s="5"/>
      <c r="E70" s="5"/>
      <c r="F70" s="5"/>
      <c r="G70" s="5"/>
      <c r="H70" s="5"/>
      <c r="I70" s="5"/>
      <c r="J70" s="5"/>
      <c r="K70" s="5">
        <v>2E-3</v>
      </c>
      <c r="L70" s="5">
        <f>0.001-K70</f>
        <v>-1E-3</v>
      </c>
      <c r="M70" s="5"/>
      <c r="N70" s="5"/>
      <c r="O70" s="5"/>
      <c r="P70" s="5"/>
      <c r="Q70" s="5"/>
      <c r="R70" s="5"/>
    </row>
    <row r="71" spans="2:34" s="3" customFormat="1" x14ac:dyDescent="0.25">
      <c r="B71" s="20" t="s">
        <v>80</v>
      </c>
      <c r="C71" s="5"/>
      <c r="D71" s="5"/>
      <c r="E71" s="5"/>
      <c r="F71" s="5"/>
      <c r="G71" s="5"/>
      <c r="H71" s="5"/>
      <c r="I71" s="5"/>
      <c r="J71" s="5"/>
      <c r="K71" s="5">
        <f>+K70+K69+K64+K59</f>
        <v>8.5740000000000052</v>
      </c>
      <c r="L71" s="5">
        <f>+L70+L69+L64+L59</f>
        <v>23.458999999999996</v>
      </c>
      <c r="M71" s="5"/>
      <c r="N71" s="5"/>
      <c r="O71" s="5"/>
      <c r="P71" s="5"/>
      <c r="Q71" s="5"/>
      <c r="R71" s="5"/>
    </row>
    <row r="73" spans="2:34" x14ac:dyDescent="0.25">
      <c r="B73" s="1" t="s">
        <v>29</v>
      </c>
      <c r="D73" s="5"/>
      <c r="E73" s="5"/>
      <c r="F73" s="5"/>
      <c r="H73" s="5"/>
      <c r="I73" s="5"/>
      <c r="J73" s="5"/>
      <c r="K73" s="5"/>
      <c r="L73" s="5"/>
      <c r="M73" s="19"/>
      <c r="AG73" s="17" t="s">
        <v>47</v>
      </c>
      <c r="AH73" s="14">
        <v>0.09</v>
      </c>
    </row>
    <row r="74" spans="2:34" x14ac:dyDescent="0.25">
      <c r="B74" s="1" t="s">
        <v>31</v>
      </c>
      <c r="L74" s="5"/>
      <c r="M74" s="19"/>
      <c r="AG74" s="17" t="s">
        <v>48</v>
      </c>
      <c r="AH74" s="14">
        <v>-0.01</v>
      </c>
    </row>
    <row r="75" spans="2:34" x14ac:dyDescent="0.25">
      <c r="B75" s="1" t="s">
        <v>32</v>
      </c>
      <c r="L75" s="5"/>
      <c r="M75" s="5"/>
      <c r="AG75" s="17" t="s">
        <v>49</v>
      </c>
      <c r="AH75" s="3">
        <f>NPV(AH73,AA23:DO23)</f>
        <v>7517.0976121721033</v>
      </c>
    </row>
    <row r="78" spans="2:34" x14ac:dyDescent="0.25">
      <c r="B78" s="1" t="s">
        <v>41</v>
      </c>
      <c r="E78" s="4">
        <v>-6.1</v>
      </c>
      <c r="F78" s="4">
        <v>3.9</v>
      </c>
      <c r="G78" s="4">
        <v>6.1</v>
      </c>
      <c r="H78" s="4">
        <v>10.6</v>
      </c>
      <c r="I78" s="4">
        <v>12.3</v>
      </c>
      <c r="J78" s="4">
        <v>20.6</v>
      </c>
      <c r="K78" s="4">
        <v>32.299999999999997</v>
      </c>
      <c r="L78" s="4">
        <v>39.299999999999997</v>
      </c>
    </row>
  </sheetData>
  <hyperlinks>
    <hyperlink ref="A1" location="Main!A1" display="Main" xr:uid="{9B4CD693-CDBF-3A42-842C-D8D3A1E1334A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2024-09-06T16:45:14Z</dcterms:created>
  <dcterms:modified xsi:type="dcterms:W3CDTF">2025-02-03T19:13:33Z</dcterms:modified>
</cp:coreProperties>
</file>