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F2C64BA-C1D9-4643-8F14-AA305B632F6C}" xr6:coauthVersionLast="47" xr6:coauthVersionMax="47" xr10:uidLastSave="{00000000-0000-0000-0000-000000000000}"/>
  <bookViews>
    <workbookView xWindow="-30570" yWindow="6585" windowWidth="26610" windowHeight="13410" activeTab="3" xr2:uid="{98D8347A-DFA4-427C-8784-96E5573B433C}"/>
  </bookViews>
  <sheets>
    <sheet name="Semiconductors" sheetId="1" r:id="rId1"/>
    <sheet name="Quantum" sheetId="5" r:id="rId2"/>
    <sheet name="Networking" sheetId="3" r:id="rId3"/>
    <sheet name="Electronics-Computers" sheetId="2" r:id="rId4"/>
    <sheet name="FX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5" l="1"/>
  <c r="H4" i="5"/>
  <c r="E4" i="5" s="1"/>
  <c r="G4" i="5" l="1"/>
  <c r="H5" i="5" l="1"/>
  <c r="E5" i="5" s="1"/>
  <c r="F5" i="5"/>
  <c r="G5" i="5" l="1"/>
  <c r="F7" i="5"/>
  <c r="H7" i="5"/>
  <c r="E7" i="5" s="1"/>
  <c r="J5" i="1"/>
  <c r="I5" i="1"/>
  <c r="G7" i="5" l="1"/>
  <c r="F8" i="1"/>
  <c r="H8" i="1"/>
  <c r="E8" i="1" s="1"/>
  <c r="G8" i="1" s="1"/>
  <c r="F10" i="1" l="1"/>
  <c r="H10" i="1"/>
  <c r="E10" i="1" s="1"/>
  <c r="G10" i="1" l="1"/>
  <c r="F35" i="1" l="1"/>
  <c r="H35" i="1"/>
  <c r="E35" i="1" s="1"/>
  <c r="G35" i="1" l="1"/>
  <c r="F34" i="1"/>
  <c r="H34" i="1"/>
  <c r="E34" i="1" s="1"/>
  <c r="G34" i="1" l="1"/>
  <c r="F18" i="1"/>
  <c r="H18" i="1"/>
  <c r="E18" i="1" s="1"/>
  <c r="G18" i="1" l="1"/>
  <c r="F17" i="1" l="1"/>
  <c r="H17" i="1"/>
  <c r="E17" i="1" s="1"/>
  <c r="F18" i="2"/>
  <c r="H18" i="2"/>
  <c r="E18" i="2" s="1"/>
  <c r="F17" i="2"/>
  <c r="H17" i="2"/>
  <c r="E17" i="2" s="1"/>
  <c r="F6" i="1"/>
  <c r="H6" i="1"/>
  <c r="E6" i="1" s="1"/>
  <c r="G17" i="1" l="1"/>
  <c r="G18" i="2"/>
  <c r="G17" i="2"/>
  <c r="G6" i="1"/>
  <c r="F5" i="1"/>
  <c r="H5" i="1"/>
  <c r="E5" i="1" s="1"/>
  <c r="F4" i="1"/>
  <c r="H4" i="1"/>
  <c r="E4" i="1" s="1"/>
  <c r="G4" i="1" l="1"/>
  <c r="G5" i="1"/>
  <c r="F9" i="1" l="1"/>
  <c r="H9" i="1"/>
  <c r="E9" i="1" s="1"/>
  <c r="H12" i="1"/>
  <c r="E12" i="1" s="1"/>
  <c r="G9" i="1" l="1"/>
  <c r="F11" i="1" l="1"/>
  <c r="H11" i="1"/>
  <c r="E11" i="1" s="1"/>
  <c r="F12" i="1" l="1"/>
  <c r="G12" i="1" s="1"/>
  <c r="G11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<sst xmlns="http://schemas.openxmlformats.org/spreadsheetml/2006/main" count="304" uniqueCount="198">
  <si>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</si>
  <si>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</si>
  <si>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</si>
  <si>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</si>
  <si>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</si>
  <si>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</si>
  <si>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</si>
  <si>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</si>
  <si>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</si>
  <si>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</si>
  <si>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</si>
  <si>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</si>
  <si>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</si>
  <si>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</si>
  <si>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</si>
  <si>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</si>
  <si>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</si>
  <si>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</si>
  <si>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</si>
  <si>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</si>
  <si>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</si>
  <si>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</si>
  <si>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</si>
  <si>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</si>
  <si>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</si>
  <si>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</si>
  <si>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</si>
  <si>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</si>
  <si>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</si>
  <si>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</si>
  <si>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</si>
  <si>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</si>
  <si>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</si>
  <si>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</si>
  <si>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</si>
  <si>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</si>
  <si>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</si>
  <si>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</si>
  <si>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</si>
  <si>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</si>
  <si>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</si>
  <si>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</si>
  <si>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</si>
  <si>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</si>
  <si>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</si>
  <si>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</si>
  <si>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</si>
  <si>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</si>
  <si>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</si>
  <si>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</si>
  <si>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</si>
  <si>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</si>
  <si>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</si>
  <si>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</si>
  <si>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</si>
  <si>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</si>
  <si>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</si>
  <si>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</si>
  <si>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</si>
  <si>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</si>
  <si>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</si>
  <si>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</si>
  <si>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</si>
  <si>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</si>
  <si>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</si>
  <si>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</si>
  <si>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</si>
  <si>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</si>
  <si>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</si>
  <si>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</si>
  <si>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</si>
  <si>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</si>
  <si>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</si>
  <si>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</si>
  <si>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</si>
  <si>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</si>
  <si>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</si>
  <si>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</si>
  <si>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</si>
  <si>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</si>
  <si>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</si>
  <si>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</si>
  <si>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</si>
  <si>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</si>
  <si>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</si>
  <si>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</si>
  <si>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</si>
  <si>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</si>
  <si>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</si>
  <si>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</si>
  <si>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</si>
  <si>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</si>
  <si>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</si>
  <si>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</si>
  <si>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</si>
  <si>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</si>
  <si>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</si>
  <si>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</si>
  <si>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</si>
  <si>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</si>
  <si>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</si>
  <si>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</si>
  <si>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</si>
  <si>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</si>
  <si>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</si>
  <si>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</si>
  <si>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</si>
  <si>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</si>
  <si>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</si>
  <si>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</si>
  <si>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</si>
  <si>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</si>
  <si>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</si>
  <si>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</si>
  <si>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</si>
  <si>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</si>
  <si>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</si>
  <si>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</si>
  <si>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Q421</t>
  </si>
  <si>
    <t>ARM Holdings</t>
  </si>
  <si>
    <t>ARM</t>
  </si>
  <si>
    <t>Q224</t>
  </si>
  <si>
    <t>IonQ</t>
  </si>
  <si>
    <t>Rigetti</t>
  </si>
  <si>
    <t>IONQ</t>
  </si>
  <si>
    <t>QBTS</t>
  </si>
  <si>
    <t>D-Wave</t>
  </si>
  <si>
    <t>RGTI</t>
  </si>
  <si>
    <t>IBM</t>
  </si>
  <si>
    <t>Q423</t>
  </si>
  <si>
    <t>Main</t>
  </si>
  <si>
    <t>Jabil</t>
  </si>
  <si>
    <t>JBL</t>
  </si>
  <si>
    <t>Super Micro</t>
  </si>
  <si>
    <t>SMCI</t>
  </si>
  <si>
    <t>Enphase Energy</t>
  </si>
  <si>
    <t>ENPH</t>
  </si>
  <si>
    <t>Mobileye</t>
  </si>
  <si>
    <t>MBLY</t>
  </si>
  <si>
    <t>Quantinuum</t>
  </si>
  <si>
    <t>Quantum Computing Inc</t>
  </si>
  <si>
    <t>QUBT</t>
  </si>
  <si>
    <t>Multiverse Computing</t>
  </si>
  <si>
    <t>IQM Quantum Computers</t>
  </si>
  <si>
    <t>Infleqtion</t>
  </si>
  <si>
    <t>Quantum Brilliance</t>
  </si>
  <si>
    <t>Nu Quantum</t>
  </si>
  <si>
    <t>BlueQubit</t>
  </si>
  <si>
    <t>Alice &amp; Bob</t>
  </si>
  <si>
    <t>Quanscient</t>
  </si>
  <si>
    <t>Quantum Circuits</t>
  </si>
  <si>
    <t>Qblox</t>
  </si>
  <si>
    <t>Quantum Motion</t>
  </si>
  <si>
    <t>Quobly</t>
  </si>
  <si>
    <t>Quantum Machines</t>
  </si>
  <si>
    <t>BTQ</t>
  </si>
  <si>
    <t>Classiq Technologies</t>
  </si>
  <si>
    <t>Diraq</t>
  </si>
  <si>
    <t>PQShield</t>
  </si>
  <si>
    <t>Q-CTRL</t>
  </si>
  <si>
    <t>QuSecure</t>
  </si>
  <si>
    <t>GTN</t>
  </si>
  <si>
    <t>Quintessence Labs</t>
  </si>
  <si>
    <t>Xanadu</t>
  </si>
  <si>
    <t>Quibtekk</t>
  </si>
  <si>
    <t>Zapata Computing</t>
  </si>
  <si>
    <t>ZPTA</t>
  </si>
  <si>
    <t>UbiQD</t>
  </si>
  <si>
    <t>T-Rize Group</t>
  </si>
  <si>
    <t>Algorithmiq</t>
  </si>
  <si>
    <t>Fabric Cryptography</t>
  </si>
  <si>
    <t>Oxford Quantum Circuits</t>
  </si>
  <si>
    <t>planqc</t>
  </si>
  <si>
    <t>Terra Quantum</t>
  </si>
  <si>
    <t>SemiQon</t>
  </si>
  <si>
    <t>PsiQuantum</t>
  </si>
  <si>
    <t>BosonQ Psi</t>
  </si>
  <si>
    <t>Quantum Source</t>
  </si>
  <si>
    <t>Quandela</t>
  </si>
  <si>
    <t>Arctic Instruments</t>
  </si>
  <si>
    <t>QC Ware</t>
  </si>
  <si>
    <t>SeeQC</t>
  </si>
  <si>
    <t>Photonic</t>
  </si>
  <si>
    <t>QunaSys</t>
  </si>
  <si>
    <t>Oxford Ionics</t>
  </si>
  <si>
    <t>Agnostiq</t>
  </si>
  <si>
    <t>Phasecraft</t>
  </si>
  <si>
    <t>Origin Quantum</t>
  </si>
  <si>
    <t>PASQAL</t>
  </si>
  <si>
    <t>Silicon Quantum Computing</t>
  </si>
  <si>
    <t>Riverlane</t>
  </si>
  <si>
    <t>InVisage Technologies</t>
  </si>
  <si>
    <t>Cambridge Quantum Computing</t>
  </si>
  <si>
    <t>Q324</t>
  </si>
  <si>
    <t>NTD</t>
  </si>
  <si>
    <t>SealSQ</t>
  </si>
  <si>
    <t>LAES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</si>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</sst>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MCI.xlsx" TargetMode="External"/><Relationship Id="rId1" Type="http://schemas.openxmlformats.org/officeDocument/2006/relationships/externalLinkPath" Target="SMCI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NPH.xlsx" TargetMode="External"/><Relationship Id="rId1" Type="http://schemas.openxmlformats.org/officeDocument/2006/relationships/externalLinkPath" Target="ENPH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LY.xlsx" TargetMode="External"/><Relationship Id="rId1" Type="http://schemas.openxmlformats.org/officeDocument/2006/relationships/externalLinkPath" Target="MBLY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ONQ.xlsx" TargetMode="External"/><Relationship Id="rId1" Type="http://schemas.openxmlformats.org/officeDocument/2006/relationships/externalLinkPath" Target="IONQ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RGTI.xlsx" TargetMode="External"/><Relationship Id="rId1" Type="http://schemas.openxmlformats.org/officeDocument/2006/relationships/externalLinkPath" Target="RGTI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BTS.xlsx" TargetMode="External"/><Relationship Id="rId1" Type="http://schemas.openxmlformats.org/officeDocument/2006/relationships/externalLinkPath" Target="QBT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M.xlsx" TargetMode="External"/><Relationship Id="rId1" Type="http://schemas.openxmlformats.org/officeDocument/2006/relationships/externalLinkPath" Target="TS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VGO.xlsx" TargetMode="External"/><Relationship Id="rId1" Type="http://schemas.openxmlformats.org/officeDocument/2006/relationships/externalLinkPath" Target="AVG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SML.xlsx" TargetMode="External"/><Relationship Id="rId1" Type="http://schemas.openxmlformats.org/officeDocument/2006/relationships/externalLinkPath" Target="ASM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COM.xlsx" TargetMode="External"/><Relationship Id="rId1" Type="http://schemas.openxmlformats.org/officeDocument/2006/relationships/externalLinkPath" Target="QCO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U.xlsx" TargetMode="External"/><Relationship Id="rId1" Type="http://schemas.openxmlformats.org/officeDocument/2006/relationships/externalLinkPath" Target="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ly Earnings Preview"/>
    </sheetNames>
    <sheetDataSet>
      <sheetData sheetId="0">
        <row r="3">
          <cell r="K3">
            <v>24774</v>
          </cell>
        </row>
        <row r="5">
          <cell r="K5">
            <v>38487</v>
          </cell>
        </row>
        <row r="6">
          <cell r="K6">
            <v>8462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640</v>
          </cell>
        </row>
        <row r="5">
          <cell r="M5">
            <v>1670</v>
          </cell>
        </row>
        <row r="6">
          <cell r="M6">
            <v>2174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135.42215899999999</v>
          </cell>
        </row>
        <row r="5">
          <cell r="J5">
            <v>1646.404</v>
          </cell>
        </row>
        <row r="6">
          <cell r="J6">
            <v>1199.432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811.04812700000002</v>
          </cell>
        </row>
        <row r="5">
          <cell r="K5">
            <v>1203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heet1"/>
    </sheetNames>
    <sheetDataSet>
      <sheetData sheetId="0">
        <row r="3">
          <cell r="J3">
            <v>214.30505299999999</v>
          </cell>
        </row>
        <row r="5">
          <cell r="J5">
            <v>383</v>
          </cell>
        </row>
        <row r="6">
          <cell r="J6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Gates"/>
      <sheetName val="Bubbles"/>
      <sheetName val="TOPS"/>
      <sheetName val="DNA"/>
    </sheetNames>
    <sheetDataSet>
      <sheetData sheetId="0">
        <row r="3">
          <cell r="L3">
            <v>280.39580899999999</v>
          </cell>
        </row>
        <row r="5">
          <cell r="L5">
            <v>250.98</v>
          </cell>
        </row>
        <row r="6">
          <cell r="L6">
            <v>13.308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260.01482900000002</v>
          </cell>
        </row>
        <row r="5">
          <cell r="L5">
            <v>199.27</v>
          </cell>
        </row>
        <row r="6">
          <cell r="L6">
            <v>46.082999999999998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15151</v>
          </cell>
        </row>
        <row r="5">
          <cell r="O5">
            <v>141368</v>
          </cell>
        </row>
        <row r="6">
          <cell r="O6">
            <v>96799</v>
          </cell>
        </row>
      </sheetData>
      <sheetData sheetId="1">
        <row r="36">
          <cell r="CE36">
            <v>7.4999999999999997E-2</v>
          </cell>
        </row>
        <row r="37">
          <cell r="CE37">
            <v>-0.01</v>
          </cell>
        </row>
        <row r="39">
          <cell r="CE39">
            <v>166.88839045122288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25931</v>
          </cell>
        </row>
        <row r="7">
          <cell r="J7">
            <v>67370</v>
          </cell>
        </row>
        <row r="8">
          <cell r="J8">
            <v>30421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4670.5760829999999</v>
          </cell>
        </row>
        <row r="5">
          <cell r="J5">
            <v>11864</v>
          </cell>
        </row>
        <row r="6">
          <cell r="J6">
            <v>73468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393.5</v>
          </cell>
        </row>
        <row r="5">
          <cell r="L5">
            <v>6021.2000000000007</v>
          </cell>
        </row>
        <row r="6">
          <cell r="L6">
            <v>4608.2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1114</v>
          </cell>
        </row>
        <row r="5">
          <cell r="L5">
            <v>13032</v>
          </cell>
        </row>
        <row r="6">
          <cell r="L6">
            <v>14554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  <sheetName val="IP"/>
      <sheetName val="Semiconductors"/>
    </sheetNames>
    <sheetDataSet>
      <sheetData sheetId="0">
        <row r="3">
          <cell r="L3">
            <v>4267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1108.841326</v>
          </cell>
        </row>
        <row r="5">
          <cell r="J5">
            <v>9154</v>
          </cell>
        </row>
        <row r="6">
          <cell r="J6">
            <v>13258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U.xlsx" TargetMode="External"/><Relationship Id="rId13" Type="http://schemas.openxmlformats.org/officeDocument/2006/relationships/hyperlink" Target="ASML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AVGO.xlsx" TargetMode="External"/><Relationship Id="rId12" Type="http://schemas.openxmlformats.org/officeDocument/2006/relationships/hyperlink" Target="QCOM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TSM.xlsx" TargetMode="External"/><Relationship Id="rId11" Type="http://schemas.openxmlformats.org/officeDocument/2006/relationships/hyperlink" Target="MBLY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ENPH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SMCI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QUBT.xlsx" TargetMode="External"/><Relationship Id="rId2" Type="http://schemas.openxmlformats.org/officeDocument/2006/relationships/hyperlink" Target="RGTI.xlsx" TargetMode="External"/><Relationship Id="rId1" Type="http://schemas.openxmlformats.org/officeDocument/2006/relationships/hyperlink" Target="IONQ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BL.xlsx" TargetMode="External"/><Relationship Id="rId2" Type="http://schemas.openxmlformats.org/officeDocument/2006/relationships/hyperlink" Target="IONQ.xlsx" TargetMode="External"/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40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2" sqref="A12"/>
    </sheetView>
  </sheetViews>
  <sheetFormatPr defaultColWidth="8.85546875" defaultRowHeight="12.75" x14ac:dyDescent="0.2"/>
  <cols>
    <col min="1" max="1" width="2.42578125" customWidth="1"/>
    <col min="2" max="2" width="17.7109375" bestFit="1" customWidth="1"/>
    <col min="3" max="3" width="11" customWidth="1"/>
    <col min="4" max="4" width="9.140625" style="3"/>
    <col min="5" max="5" width="9.5703125" style="3" bestFit="1" customWidth="1"/>
    <col min="6" max="6" width="9.140625" style="3"/>
    <col min="7" max="7" width="9.5703125" style="3" bestFit="1" customWidth="1"/>
    <col min="8" max="9" width="9.140625" style="3"/>
    <col min="10" max="10" width="11.85546875" style="3" customWidth="1"/>
  </cols>
  <sheetData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A3" t="s">
        <v>46</v>
      </c>
      <c r="B3" s="1" t="s">
        <v>2</v>
      </c>
      <c r="C3" t="s">
        <v>3</v>
      </c>
      <c r="D3" s="4">
        <v>139.74</v>
      </c>
      <c r="E3" s="6">
        <f>+D3*H3</f>
        <v>3461918.7600000002</v>
      </c>
      <c r="F3" s="6">
        <f>+[1]Main!$K$5-[1]Main!$K$6</f>
        <v>30025</v>
      </c>
      <c r="G3" s="6">
        <f>+E3-F3</f>
        <v>3431893.7600000002</v>
      </c>
      <c r="H3" s="6">
        <f>+[1]Main!$K$3</f>
        <v>24774</v>
      </c>
      <c r="I3" s="3" t="s">
        <v>193</v>
      </c>
      <c r="J3" s="10">
        <v>45651</v>
      </c>
      <c r="K3">
        <v>1993</v>
      </c>
    </row>
    <row r="4" spans="1:11" x14ac:dyDescent="0.2">
      <c r="A4" t="s">
        <v>46</v>
      </c>
      <c r="B4" s="1" t="s">
        <v>11</v>
      </c>
      <c r="C4" t="s">
        <v>12</v>
      </c>
      <c r="D4" s="4">
        <v>206</v>
      </c>
      <c r="E4" s="6">
        <f>+D4*H4/5</f>
        <v>1068357.2</v>
      </c>
      <c r="F4" s="6">
        <f>+[2]Main!$J$7-[2]Main!$J$8</f>
        <v>36949</v>
      </c>
      <c r="G4" s="6">
        <f>+E4-F4</f>
        <v>1031408.2</v>
      </c>
      <c r="H4" s="6">
        <f>+[2]Main!$J$4</f>
        <v>25931</v>
      </c>
      <c r="I4" s="3" t="s">
        <v>193</v>
      </c>
      <c r="J4" s="10">
        <v>45652</v>
      </c>
    </row>
    <row r="5" spans="1:11" x14ac:dyDescent="0.2">
      <c r="A5" t="s">
        <v>46</v>
      </c>
      <c r="B5" s="1" t="s">
        <v>11</v>
      </c>
      <c r="C5" t="s">
        <v>22</v>
      </c>
      <c r="D5" s="4">
        <v>1085</v>
      </c>
      <c r="E5" s="6">
        <f>+D5*H5/FX!C2</f>
        <v>860928.24357405142</v>
      </c>
      <c r="F5" s="6">
        <f>+[2]Main!$J$7-[2]Main!$J$8</f>
        <v>36949</v>
      </c>
      <c r="G5" s="6">
        <f>+E5-F5</f>
        <v>823979.24357405142</v>
      </c>
      <c r="H5" s="6">
        <f>+[2]Main!$J$4</f>
        <v>25931</v>
      </c>
      <c r="I5" s="3" t="str">
        <f>+I4</f>
        <v>Q324</v>
      </c>
      <c r="J5" s="10">
        <f>+J4</f>
        <v>45652</v>
      </c>
    </row>
    <row r="6" spans="1:11" x14ac:dyDescent="0.2">
      <c r="A6" t="s">
        <v>46</v>
      </c>
      <c r="B6" s="1" t="s">
        <v>24</v>
      </c>
      <c r="C6" t="s">
        <v>26</v>
      </c>
      <c r="D6" s="4">
        <v>154</v>
      </c>
      <c r="E6" s="6">
        <f>+D6*H6</f>
        <v>719268.71678200003</v>
      </c>
      <c r="F6" s="6">
        <f>+[3]Main!$J$5-[3]Main!$J$6</f>
        <v>-61604</v>
      </c>
      <c r="G6" s="6">
        <f>+E6-F6</f>
        <v>780872.71678200003</v>
      </c>
      <c r="H6" s="6">
        <f>+[3]Main!$J$3</f>
        <v>4670.5760829999999</v>
      </c>
      <c r="I6" s="3" t="s">
        <v>121</v>
      </c>
      <c r="J6" s="10">
        <v>45581</v>
      </c>
    </row>
    <row r="7" spans="1:11" x14ac:dyDescent="0.2">
      <c r="A7" t="s">
        <v>46</v>
      </c>
      <c r="B7" t="s">
        <v>14</v>
      </c>
      <c r="C7" t="s">
        <v>23</v>
      </c>
    </row>
    <row r="8" spans="1:11" x14ac:dyDescent="0.2">
      <c r="A8" t="s">
        <v>46</v>
      </c>
      <c r="B8" s="1" t="s">
        <v>25</v>
      </c>
      <c r="C8" t="s">
        <v>25</v>
      </c>
      <c r="D8" s="3">
        <v>684.78</v>
      </c>
      <c r="E8" s="6">
        <f>+D8*H8</f>
        <v>269460.93</v>
      </c>
      <c r="F8" s="6">
        <f>+[4]Main!$L$5-[4]Main!$L$6</f>
        <v>1413.0000000000009</v>
      </c>
      <c r="G8" s="6">
        <f>+E8-F8</f>
        <v>268047.93</v>
      </c>
      <c r="H8" s="6">
        <f>+[4]Main!$L$3</f>
        <v>393.5</v>
      </c>
      <c r="I8" s="3" t="s">
        <v>121</v>
      </c>
      <c r="J8" s="10">
        <v>45581</v>
      </c>
    </row>
    <row r="9" spans="1:11" x14ac:dyDescent="0.2">
      <c r="A9" t="s">
        <v>46</v>
      </c>
      <c r="B9" s="1" t="s">
        <v>8</v>
      </c>
      <c r="C9" t="s">
        <v>8</v>
      </c>
      <c r="D9" s="4">
        <v>143</v>
      </c>
      <c r="E9" s="6">
        <f>+D9*H9</f>
        <v>231374</v>
      </c>
      <c r="F9" s="6">
        <f>+[5]Main!$M$5-[5]Main!$M$6</f>
        <v>3388</v>
      </c>
      <c r="G9" s="6">
        <f>+E9-F9</f>
        <v>227986</v>
      </c>
      <c r="H9" s="6">
        <f>+[5]Main!$M$3</f>
        <v>1618</v>
      </c>
      <c r="I9" s="3" t="s">
        <v>118</v>
      </c>
      <c r="J9" s="10">
        <v>45507</v>
      </c>
      <c r="K9">
        <v>1969</v>
      </c>
    </row>
    <row r="10" spans="1:11" x14ac:dyDescent="0.2">
      <c r="A10" t="s">
        <v>46</v>
      </c>
      <c r="B10" s="1" t="s">
        <v>29</v>
      </c>
      <c r="C10" t="s">
        <v>30</v>
      </c>
      <c r="D10" s="3">
        <v>171.54</v>
      </c>
      <c r="E10" s="6">
        <f>+D10*H10</f>
        <v>191095.56</v>
      </c>
      <c r="F10" s="6">
        <f>+[6]Main!$L$5-[6]Main!$L$6</f>
        <v>-1522</v>
      </c>
      <c r="G10" s="6">
        <f>+E10-F10</f>
        <v>192617.56</v>
      </c>
      <c r="H10" s="6">
        <f>+[6]Main!$L$3</f>
        <v>1114</v>
      </c>
      <c r="I10" s="3" t="s">
        <v>121</v>
      </c>
      <c r="J10" s="10">
        <v>45581</v>
      </c>
    </row>
    <row r="11" spans="1:11" x14ac:dyDescent="0.2">
      <c r="A11" t="s">
        <v>46</v>
      </c>
      <c r="B11" s="1" t="s">
        <v>9</v>
      </c>
      <c r="C11" t="s">
        <v>10</v>
      </c>
      <c r="D11" s="3">
        <v>170.34</v>
      </c>
      <c r="E11" s="6">
        <f>+D11*H11</f>
        <v>154595.76542208</v>
      </c>
      <c r="F11" s="6">
        <f>+[7]Main!$K$5-[7]Main!$K$6</f>
        <v>1153</v>
      </c>
      <c r="G11" s="6">
        <f>+E11-F11</f>
        <v>153442.76542208</v>
      </c>
      <c r="H11" s="6">
        <f>+[7]Main!$K$3</f>
        <v>907.57171200000005</v>
      </c>
      <c r="I11" s="3" t="s">
        <v>116</v>
      </c>
      <c r="J11" s="10">
        <v>44946</v>
      </c>
    </row>
    <row r="12" spans="1:11" x14ac:dyDescent="0.2">
      <c r="A12" t="s">
        <v>46</v>
      </c>
      <c r="B12" s="1" t="s">
        <v>6</v>
      </c>
      <c r="C12" t="s">
        <v>7</v>
      </c>
      <c r="D12" s="4">
        <v>19.91</v>
      </c>
      <c r="E12" s="6">
        <f>+D12*H12</f>
        <v>84955.97</v>
      </c>
      <c r="F12" s="6">
        <f>+[8]Main!$L$5-[8]Main!$L$6</f>
        <v>-17932</v>
      </c>
      <c r="G12" s="6">
        <f>+E12-F12</f>
        <v>102887.97</v>
      </c>
      <c r="H12" s="6">
        <f>+[8]Main!$L$3</f>
        <v>4267</v>
      </c>
      <c r="I12" s="3" t="s">
        <v>121</v>
      </c>
      <c r="J12" s="10">
        <v>45507</v>
      </c>
    </row>
    <row r="13" spans="1:11" x14ac:dyDescent="0.2">
      <c r="A13" t="s">
        <v>46</v>
      </c>
      <c r="B13" t="s">
        <v>31</v>
      </c>
      <c r="C13" t="s">
        <v>32</v>
      </c>
    </row>
    <row r="14" spans="1:11" x14ac:dyDescent="0.2">
      <c r="A14" t="s">
        <v>46</v>
      </c>
      <c r="B14" t="s">
        <v>119</v>
      </c>
      <c r="C14" t="s">
        <v>120</v>
      </c>
    </row>
    <row r="15" spans="1:11" x14ac:dyDescent="0.2">
      <c r="A15" t="s">
        <v>46</v>
      </c>
      <c r="B15" t="s">
        <v>33</v>
      </c>
      <c r="C15" t="s">
        <v>34</v>
      </c>
    </row>
    <row r="16" spans="1:11" x14ac:dyDescent="0.2">
      <c r="A16" t="s">
        <v>46</v>
      </c>
      <c r="B16" t="s">
        <v>47</v>
      </c>
      <c r="C16" t="s">
        <v>48</v>
      </c>
    </row>
    <row r="17" spans="1:10" x14ac:dyDescent="0.2">
      <c r="A17" t="s">
        <v>46</v>
      </c>
      <c r="B17" s="1" t="s">
        <v>15</v>
      </c>
      <c r="C17" t="s">
        <v>16</v>
      </c>
      <c r="D17" s="3">
        <v>89.54</v>
      </c>
      <c r="E17" s="6">
        <f>+D17*H17</f>
        <v>99285.65233004</v>
      </c>
      <c r="F17" s="6">
        <f>+[9]Main!$J$5-[9]Main!$J$6</f>
        <v>-4104</v>
      </c>
      <c r="G17" s="6">
        <f>+E17-F17</f>
        <v>103389.65233004</v>
      </c>
      <c r="H17" s="6">
        <f>+[9]Main!$J$3</f>
        <v>1108.841326</v>
      </c>
      <c r="I17" s="3" t="s">
        <v>121</v>
      </c>
      <c r="J17" s="10">
        <v>45554</v>
      </c>
    </row>
    <row r="18" spans="1:10" x14ac:dyDescent="0.2">
      <c r="A18" t="s">
        <v>46</v>
      </c>
      <c r="B18" s="1" t="s">
        <v>133</v>
      </c>
      <c r="C18" t="s">
        <v>134</v>
      </c>
      <c r="D18" s="4">
        <v>20.65</v>
      </c>
      <c r="E18" s="6">
        <f>+D18*H18</f>
        <v>13216</v>
      </c>
      <c r="F18" s="6">
        <f>+[10]Main!$M$5-[10]Main!$M$6</f>
        <v>-504</v>
      </c>
      <c r="G18" s="6">
        <f>+E18-F18</f>
        <v>13720</v>
      </c>
      <c r="H18" s="6">
        <f>+[10]Main!$M$3</f>
        <v>640</v>
      </c>
      <c r="I18" s="3" t="s">
        <v>121</v>
      </c>
      <c r="J18" s="10">
        <v>45560</v>
      </c>
    </row>
    <row r="19" spans="1:10" x14ac:dyDescent="0.2">
      <c r="A19" t="s">
        <v>46</v>
      </c>
      <c r="B19" t="s">
        <v>49</v>
      </c>
      <c r="C19" t="s">
        <v>50</v>
      </c>
    </row>
    <row r="20" spans="1:10" x14ac:dyDescent="0.2">
      <c r="A20" t="s">
        <v>46</v>
      </c>
      <c r="B20" t="s">
        <v>53</v>
      </c>
      <c r="C20" t="s">
        <v>54</v>
      </c>
    </row>
    <row r="21" spans="1:10" x14ac:dyDescent="0.2">
      <c r="A21" t="s">
        <v>46</v>
      </c>
      <c r="B21" t="s">
        <v>55</v>
      </c>
      <c r="C21" t="s">
        <v>56</v>
      </c>
    </row>
    <row r="22" spans="1:10" x14ac:dyDescent="0.2">
      <c r="A22" t="s">
        <v>46</v>
      </c>
      <c r="B22" t="s">
        <v>57</v>
      </c>
      <c r="C22" t="s">
        <v>58</v>
      </c>
    </row>
    <row r="23" spans="1:10" x14ac:dyDescent="0.2">
      <c r="A23" t="s">
        <v>46</v>
      </c>
      <c r="B23" t="s">
        <v>61</v>
      </c>
      <c r="C23" t="s">
        <v>62</v>
      </c>
    </row>
    <row r="24" spans="1:10" x14ac:dyDescent="0.2">
      <c r="A24" t="s">
        <v>46</v>
      </c>
      <c r="B24" t="s">
        <v>70</v>
      </c>
      <c r="C24" t="s">
        <v>71</v>
      </c>
    </row>
    <row r="25" spans="1:10" x14ac:dyDescent="0.2">
      <c r="A25" t="s">
        <v>46</v>
      </c>
      <c r="B25" t="s">
        <v>79</v>
      </c>
      <c r="C25" t="s">
        <v>80</v>
      </c>
    </row>
    <row r="26" spans="1:10" x14ac:dyDescent="0.2">
      <c r="A26" t="s">
        <v>46</v>
      </c>
      <c r="B26" t="s">
        <v>81</v>
      </c>
      <c r="C26" t="s">
        <v>82</v>
      </c>
    </row>
    <row r="27" spans="1:10" x14ac:dyDescent="0.2">
      <c r="A27" t="s">
        <v>46</v>
      </c>
      <c r="B27" t="s">
        <v>83</v>
      </c>
      <c r="C27" t="s">
        <v>84</v>
      </c>
    </row>
    <row r="28" spans="1:10" x14ac:dyDescent="0.2">
      <c r="A28" t="s">
        <v>46</v>
      </c>
      <c r="B28" t="s">
        <v>89</v>
      </c>
      <c r="C28" t="s">
        <v>90</v>
      </c>
    </row>
    <row r="29" spans="1:10" x14ac:dyDescent="0.2">
      <c r="A29" t="s">
        <v>46</v>
      </c>
      <c r="B29" t="s">
        <v>93</v>
      </c>
      <c r="C29" t="s">
        <v>94</v>
      </c>
    </row>
    <row r="30" spans="1:10" x14ac:dyDescent="0.2">
      <c r="A30" t="s">
        <v>46</v>
      </c>
      <c r="B30" t="s">
        <v>99</v>
      </c>
      <c r="C30" t="s">
        <v>100</v>
      </c>
    </row>
    <row r="31" spans="1:10" x14ac:dyDescent="0.2">
      <c r="A31" t="s">
        <v>46</v>
      </c>
      <c r="B31" t="s">
        <v>105</v>
      </c>
      <c r="C31" t="s">
        <v>106</v>
      </c>
    </row>
    <row r="32" spans="1:10" x14ac:dyDescent="0.2">
      <c r="A32" t="s">
        <v>46</v>
      </c>
      <c r="B32" t="s">
        <v>109</v>
      </c>
      <c r="C32" t="s">
        <v>110</v>
      </c>
    </row>
    <row r="33" spans="1:10" x14ac:dyDescent="0.2">
      <c r="A33" t="s">
        <v>46</v>
      </c>
      <c r="B33" t="s">
        <v>111</v>
      </c>
      <c r="C33" t="s">
        <v>112</v>
      </c>
    </row>
    <row r="34" spans="1:10" x14ac:dyDescent="0.2">
      <c r="B34" s="1" t="s">
        <v>135</v>
      </c>
      <c r="C34" t="s">
        <v>136</v>
      </c>
      <c r="D34" s="4">
        <v>112</v>
      </c>
      <c r="E34" s="6">
        <f>+D34*H34</f>
        <v>15167.281808</v>
      </c>
      <c r="F34" s="6">
        <f>+[11]Main!$J$5-[11]Main!$J$6</f>
        <v>446.97199999999998</v>
      </c>
      <c r="G34" s="6">
        <f>+E34-F34</f>
        <v>14720.309808</v>
      </c>
      <c r="H34" s="6">
        <f>+[11]Main!$J$3</f>
        <v>135.42215899999999</v>
      </c>
      <c r="I34" s="3" t="s">
        <v>121</v>
      </c>
      <c r="J34" s="10">
        <v>45561</v>
      </c>
    </row>
    <row r="35" spans="1:10" x14ac:dyDescent="0.2">
      <c r="B35" s="1" t="s">
        <v>137</v>
      </c>
      <c r="C35" t="s">
        <v>138</v>
      </c>
      <c r="D35" s="4">
        <v>13</v>
      </c>
      <c r="E35" s="6">
        <f>+D35*H35</f>
        <v>10543.625651</v>
      </c>
      <c r="F35" s="6">
        <f>+[12]Main!$K$5-[12]Main!$K$6</f>
        <v>1203</v>
      </c>
      <c r="G35" s="6">
        <f>+E35-F35</f>
        <v>9340.6256510000003</v>
      </c>
      <c r="H35" s="6">
        <f>+[12]Main!$K$3</f>
        <v>811.04812700000002</v>
      </c>
      <c r="I35" s="3" t="s">
        <v>121</v>
      </c>
      <c r="J35" s="10">
        <v>45561</v>
      </c>
    </row>
    <row r="38" spans="1:10" x14ac:dyDescent="0.2">
      <c r="B38" t="s">
        <v>63</v>
      </c>
    </row>
    <row r="39" spans="1:10" x14ac:dyDescent="0.2">
      <c r="B39" t="s">
        <v>107</v>
      </c>
    </row>
    <row r="40" spans="1:10" x14ac:dyDescent="0.2">
      <c r="B40" t="s">
        <v>108</v>
      </c>
    </row>
  </sheetData>
  <hyperlinks>
    <hyperlink ref="B3" r:id="rId1" xr:uid="{82B60337-F6F7-4A89-BE21-94E4E4FAE923}"/>
    <hyperlink ref="B11" r:id="rId2" xr:uid="{89BFBE39-15FE-4D88-BD35-419556A195F8}"/>
    <hyperlink ref="B12" r:id="rId3" xr:uid="{ACBF0F19-D83E-41D4-B3AD-01439A0CCE2D}"/>
    <hyperlink ref="B9" r:id="rId4" xr:uid="{0B4AADBB-7802-4155-9477-7B8867856D77}"/>
    <hyperlink ref="B4" r:id="rId5" xr:uid="{D5C26AF1-ADC4-4E03-9D8B-12F3C24C324B}"/>
    <hyperlink ref="B5" r:id="rId6" xr:uid="{DD4F0CC9-D485-4053-9B41-DE6F39511946}"/>
    <hyperlink ref="B6" r:id="rId7" xr:uid="{05815C98-BE17-4CF3-942D-C5BFAB80DA80}"/>
    <hyperlink ref="B17" r:id="rId8" xr:uid="{37FE970B-81E9-4AF7-98E1-474982CC16D7}"/>
    <hyperlink ref="B18" r:id="rId9" xr:uid="{CF0C3BE9-553F-4E6A-8F72-3B6D86F868FC}"/>
    <hyperlink ref="B34" r:id="rId10" xr:uid="{35D78F35-BD1B-401F-9830-193EF147D21A}"/>
    <hyperlink ref="B35" r:id="rId11" xr:uid="{8FC74BE2-2095-4EFE-8F49-C1E00A6EF2C6}"/>
    <hyperlink ref="B10" r:id="rId12" xr:uid="{E7CBB7C3-B2DF-42D5-A84A-8A1B7E26DDB6}"/>
    <hyperlink ref="B8" r:id="rId13" xr:uid="{3EEE25FB-8581-4AA9-ADEF-37DC0B2F3F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B36B-DEE6-4982-80A3-7EB4D6794539}">
  <dimension ref="A1:K60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8" sqref="E8"/>
    </sheetView>
  </sheetViews>
  <sheetFormatPr defaultRowHeight="12.75" x14ac:dyDescent="0.2"/>
  <cols>
    <col min="1" max="1" width="5" bestFit="1" customWidth="1"/>
    <col min="2" max="2" width="23.28515625" customWidth="1"/>
  </cols>
  <sheetData>
    <row r="1" spans="1:11" x14ac:dyDescent="0.2">
      <c r="A1" t="s">
        <v>130</v>
      </c>
    </row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B3" t="s">
        <v>139</v>
      </c>
      <c r="C3" t="s">
        <v>63</v>
      </c>
      <c r="D3" s="3"/>
      <c r="E3" s="6">
        <v>20000</v>
      </c>
      <c r="F3" s="3"/>
      <c r="G3" s="3"/>
      <c r="H3" s="3"/>
      <c r="I3" s="3"/>
      <c r="J3" s="3"/>
      <c r="K3" s="3"/>
    </row>
    <row r="4" spans="1:11" x14ac:dyDescent="0.2">
      <c r="B4" s="1" t="s">
        <v>122</v>
      </c>
      <c r="C4" t="s">
        <v>124</v>
      </c>
      <c r="D4" s="2">
        <v>51</v>
      </c>
      <c r="E4" s="13">
        <f>+D4*H4</f>
        <v>10929.557702999999</v>
      </c>
      <c r="F4" s="13">
        <f>+[13]Main!$J$5-[13]Main!$J$6</f>
        <v>383</v>
      </c>
      <c r="G4" s="13">
        <f>+E4-F4</f>
        <v>10546.557702999999</v>
      </c>
      <c r="H4" s="13">
        <f>+[13]Main!$J$3</f>
        <v>214.30505299999999</v>
      </c>
      <c r="I4" s="3" t="s">
        <v>193</v>
      </c>
      <c r="J4" s="5">
        <v>45664</v>
      </c>
    </row>
    <row r="5" spans="1:11" x14ac:dyDescent="0.2">
      <c r="B5" s="1" t="s">
        <v>123</v>
      </c>
      <c r="C5" t="s">
        <v>127</v>
      </c>
      <c r="D5">
        <v>19.47</v>
      </c>
      <c r="E5" s="13">
        <f>+D5*H5</f>
        <v>5459.3064012299992</v>
      </c>
      <c r="F5" s="13">
        <f>+[14]Main!$L$5-[14]Main!$L$6</f>
        <v>237.672</v>
      </c>
      <c r="G5" s="13">
        <f>E5-F5</f>
        <v>5221.6344012299996</v>
      </c>
      <c r="H5" s="13">
        <f>+[14]Main!$L$3</f>
        <v>280.39580899999999</v>
      </c>
      <c r="I5" s="3" t="s">
        <v>193</v>
      </c>
      <c r="J5" s="5">
        <v>45664</v>
      </c>
    </row>
    <row r="6" spans="1:11" x14ac:dyDescent="0.2">
      <c r="B6" s="1" t="s">
        <v>140</v>
      </c>
      <c r="C6" t="s">
        <v>141</v>
      </c>
      <c r="D6" s="2">
        <v>18</v>
      </c>
      <c r="E6" s="13">
        <v>2000</v>
      </c>
    </row>
    <row r="7" spans="1:11" x14ac:dyDescent="0.2">
      <c r="B7" t="s">
        <v>126</v>
      </c>
      <c r="C7" t="s">
        <v>125</v>
      </c>
      <c r="D7" s="2">
        <v>9.3000000000000007</v>
      </c>
      <c r="E7" s="13">
        <f>+D7*H7</f>
        <v>2418.1379097000004</v>
      </c>
      <c r="F7" s="13">
        <f>+[15]Main!$L$5-[15]Main!$L$6</f>
        <v>153.18700000000001</v>
      </c>
      <c r="G7" s="13">
        <f>+E7-F7</f>
        <v>2264.9509097000005</v>
      </c>
      <c r="H7" s="13">
        <f>+[15]Main!$L$3</f>
        <v>260.01482900000002</v>
      </c>
      <c r="I7" s="3" t="s">
        <v>193</v>
      </c>
      <c r="J7" s="5">
        <v>45663</v>
      </c>
    </row>
    <row r="8" spans="1:11" x14ac:dyDescent="0.2">
      <c r="B8" t="s">
        <v>195</v>
      </c>
      <c r="C8" t="s">
        <v>196</v>
      </c>
      <c r="D8" s="2">
        <v>5</v>
      </c>
    </row>
    <row r="11" spans="1:11" x14ac:dyDescent="0.2">
      <c r="B11" t="s">
        <v>163</v>
      </c>
    </row>
    <row r="12" spans="1:11" x14ac:dyDescent="0.2">
      <c r="B12" t="s">
        <v>143</v>
      </c>
    </row>
    <row r="13" spans="1:11" x14ac:dyDescent="0.2">
      <c r="B13" t="s">
        <v>142</v>
      </c>
    </row>
    <row r="14" spans="1:11" x14ac:dyDescent="0.2">
      <c r="B14" t="s">
        <v>144</v>
      </c>
    </row>
    <row r="15" spans="1:11" x14ac:dyDescent="0.2">
      <c r="B15" t="s">
        <v>145</v>
      </c>
    </row>
    <row r="16" spans="1:11" x14ac:dyDescent="0.2">
      <c r="B16" t="s">
        <v>146</v>
      </c>
    </row>
    <row r="17" spans="2:2" x14ac:dyDescent="0.2">
      <c r="B17" t="s">
        <v>147</v>
      </c>
    </row>
    <row r="18" spans="2:2" x14ac:dyDescent="0.2">
      <c r="B18" t="s">
        <v>148</v>
      </c>
    </row>
    <row r="19" spans="2:2" x14ac:dyDescent="0.2">
      <c r="B19" t="s">
        <v>149</v>
      </c>
    </row>
    <row r="20" spans="2:2" x14ac:dyDescent="0.2">
      <c r="B20" t="s">
        <v>150</v>
      </c>
    </row>
    <row r="21" spans="2:2" x14ac:dyDescent="0.2">
      <c r="B21" t="s">
        <v>151</v>
      </c>
    </row>
    <row r="22" spans="2:2" x14ac:dyDescent="0.2">
      <c r="B22" t="s">
        <v>152</v>
      </c>
    </row>
    <row r="23" spans="2:2" x14ac:dyDescent="0.2">
      <c r="B23" t="s">
        <v>153</v>
      </c>
    </row>
    <row r="24" spans="2:2" x14ac:dyDescent="0.2">
      <c r="B24" t="s">
        <v>154</v>
      </c>
    </row>
    <row r="25" spans="2:2" x14ac:dyDescent="0.2">
      <c r="B25" t="s">
        <v>155</v>
      </c>
    </row>
    <row r="26" spans="2:2" x14ac:dyDescent="0.2">
      <c r="B26" t="s">
        <v>156</v>
      </c>
    </row>
    <row r="27" spans="2:2" x14ac:dyDescent="0.2">
      <c r="B27" t="s">
        <v>157</v>
      </c>
    </row>
    <row r="28" spans="2:2" x14ac:dyDescent="0.2">
      <c r="B28" t="s">
        <v>158</v>
      </c>
    </row>
    <row r="29" spans="2:2" x14ac:dyDescent="0.2">
      <c r="B29" t="s">
        <v>159</v>
      </c>
    </row>
    <row r="30" spans="2:2" x14ac:dyDescent="0.2">
      <c r="B30" t="s">
        <v>160</v>
      </c>
    </row>
    <row r="31" spans="2:2" x14ac:dyDescent="0.2">
      <c r="B31" t="s">
        <v>161</v>
      </c>
    </row>
    <row r="32" spans="2:2" x14ac:dyDescent="0.2">
      <c r="B32" t="s">
        <v>162</v>
      </c>
    </row>
    <row r="33" spans="2:3" x14ac:dyDescent="0.2">
      <c r="B33" t="s">
        <v>164</v>
      </c>
    </row>
    <row r="34" spans="2:3" x14ac:dyDescent="0.2">
      <c r="B34" t="s">
        <v>165</v>
      </c>
      <c r="C34" t="s">
        <v>166</v>
      </c>
    </row>
    <row r="35" spans="2:3" x14ac:dyDescent="0.2">
      <c r="B35" t="s">
        <v>167</v>
      </c>
    </row>
    <row r="36" spans="2:3" x14ac:dyDescent="0.2">
      <c r="B36" t="s">
        <v>168</v>
      </c>
    </row>
    <row r="37" spans="2:3" x14ac:dyDescent="0.2">
      <c r="B37" t="s">
        <v>169</v>
      </c>
    </row>
    <row r="38" spans="2:3" x14ac:dyDescent="0.2">
      <c r="B38" t="s">
        <v>170</v>
      </c>
    </row>
    <row r="39" spans="2:3" x14ac:dyDescent="0.2">
      <c r="B39" t="s">
        <v>171</v>
      </c>
    </row>
    <row r="40" spans="2:3" x14ac:dyDescent="0.2">
      <c r="B40" t="s">
        <v>172</v>
      </c>
    </row>
    <row r="41" spans="2:3" x14ac:dyDescent="0.2">
      <c r="B41" t="s">
        <v>173</v>
      </c>
    </row>
    <row r="42" spans="2:3" x14ac:dyDescent="0.2">
      <c r="B42" t="s">
        <v>174</v>
      </c>
    </row>
    <row r="43" spans="2:3" x14ac:dyDescent="0.2">
      <c r="B43" t="s">
        <v>175</v>
      </c>
    </row>
    <row r="44" spans="2:3" x14ac:dyDescent="0.2">
      <c r="B44" t="s">
        <v>176</v>
      </c>
    </row>
    <row r="45" spans="2:3" x14ac:dyDescent="0.2">
      <c r="B45" t="s">
        <v>177</v>
      </c>
    </row>
    <row r="46" spans="2:3" x14ac:dyDescent="0.2">
      <c r="B46" t="s">
        <v>178</v>
      </c>
    </row>
    <row r="47" spans="2:3" x14ac:dyDescent="0.2">
      <c r="B47" t="s">
        <v>179</v>
      </c>
    </row>
    <row r="48" spans="2:3" x14ac:dyDescent="0.2">
      <c r="B48" t="s">
        <v>180</v>
      </c>
    </row>
    <row r="49" spans="2:2" x14ac:dyDescent="0.2">
      <c r="B49" t="s">
        <v>181</v>
      </c>
    </row>
    <row r="50" spans="2:2" x14ac:dyDescent="0.2">
      <c r="B50" t="s">
        <v>182</v>
      </c>
    </row>
    <row r="51" spans="2:2" x14ac:dyDescent="0.2">
      <c r="B51" t="s">
        <v>183</v>
      </c>
    </row>
    <row r="52" spans="2:2" x14ac:dyDescent="0.2">
      <c r="B52" t="s">
        <v>184</v>
      </c>
    </row>
    <row r="53" spans="2:2" x14ac:dyDescent="0.2">
      <c r="B53" t="s">
        <v>185</v>
      </c>
    </row>
    <row r="54" spans="2:2" x14ac:dyDescent="0.2">
      <c r="B54" t="s">
        <v>186</v>
      </c>
    </row>
    <row r="55" spans="2:2" x14ac:dyDescent="0.2">
      <c r="B55" t="s">
        <v>187</v>
      </c>
    </row>
    <row r="56" spans="2:2" x14ac:dyDescent="0.2">
      <c r="B56" t="s">
        <v>188</v>
      </c>
    </row>
    <row r="57" spans="2:2" x14ac:dyDescent="0.2">
      <c r="B57" t="s">
        <v>189</v>
      </c>
    </row>
    <row r="58" spans="2:2" x14ac:dyDescent="0.2">
      <c r="B58" t="s">
        <v>190</v>
      </c>
    </row>
    <row r="59" spans="2:2" x14ac:dyDescent="0.2">
      <c r="B59" t="s">
        <v>191</v>
      </c>
    </row>
    <row r="60" spans="2:2" x14ac:dyDescent="0.2">
      <c r="B60" t="s">
        <v>192</v>
      </c>
    </row>
  </sheetData>
  <hyperlinks>
    <hyperlink ref="B4" r:id="rId1" xr:uid="{48212D98-F0E3-4509-96A5-6BB9683E0B25}"/>
    <hyperlink ref="B5" r:id="rId2" xr:uid="{F1FD0F3E-AA09-4EA5-ABFA-C8FDF989BBD7}"/>
    <hyperlink ref="B6" r:id="rId3" xr:uid="{31AE1ADD-F109-4DDC-933D-81406D33D7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265" zoomScaleNormal="26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4" max="5" width="9.140625" style="11"/>
  </cols>
  <sheetData>
    <row r="2" spans="1:11" x14ac:dyDescent="0.2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">
      <c r="A3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">
      <c r="A4" t="s">
        <v>46</v>
      </c>
      <c r="B4" t="s">
        <v>77</v>
      </c>
      <c r="C4" t="s">
        <v>78</v>
      </c>
    </row>
    <row r="5" spans="1:11" x14ac:dyDescent="0.2">
      <c r="A5" t="s">
        <v>46</v>
      </c>
      <c r="B5" t="s">
        <v>75</v>
      </c>
      <c r="C5" t="s">
        <v>76</v>
      </c>
    </row>
    <row r="6" spans="1:11" x14ac:dyDescent="0.2">
      <c r="A6" t="s">
        <v>46</v>
      </c>
      <c r="B6" t="s">
        <v>72</v>
      </c>
      <c r="C6" t="s">
        <v>73</v>
      </c>
    </row>
    <row r="7" spans="1:11" x14ac:dyDescent="0.2">
      <c r="A7" t="s">
        <v>46</v>
      </c>
      <c r="B7" t="s">
        <v>87</v>
      </c>
      <c r="C7" t="s">
        <v>88</v>
      </c>
    </row>
    <row r="8" spans="1:11" x14ac:dyDescent="0.2">
      <c r="A8" t="s">
        <v>46</v>
      </c>
      <c r="B8" t="s">
        <v>103</v>
      </c>
      <c r="C8" t="s">
        <v>104</v>
      </c>
    </row>
    <row r="9" spans="1:11" x14ac:dyDescent="0.2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1:P29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ColWidth="8.85546875" defaultRowHeight="12.75" x14ac:dyDescent="0.2"/>
  <cols>
    <col min="1" max="1" width="5" bestFit="1" customWidth="1"/>
    <col min="2" max="2" width="15.140625" bestFit="1" customWidth="1"/>
    <col min="3" max="3" width="10.7109375" customWidth="1"/>
    <col min="4" max="4" width="9.140625" style="3"/>
    <col min="5" max="5" width="10.42578125" style="3" customWidth="1"/>
    <col min="6" max="6" width="9.28515625" style="3" customWidth="1"/>
    <col min="7" max="7" width="10" style="3" customWidth="1"/>
    <col min="8" max="8" width="9.140625" style="3"/>
    <col min="9" max="9" width="9.7109375" style="3" customWidth="1"/>
    <col min="10" max="10" width="9.42578125" bestFit="1" customWidth="1"/>
  </cols>
  <sheetData>
    <row r="1" spans="1:16" x14ac:dyDescent="0.2">
      <c r="A1" t="s">
        <v>130</v>
      </c>
    </row>
    <row r="2" spans="1:16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">
      <c r="A3" t="s">
        <v>46</v>
      </c>
      <c r="B3" s="1" t="s">
        <v>13</v>
      </c>
      <c r="C3" t="s">
        <v>17</v>
      </c>
      <c r="D3" s="4">
        <v>245</v>
      </c>
      <c r="E3" s="6">
        <f>+D3*H3</f>
        <v>3711995</v>
      </c>
      <c r="F3" s="6">
        <f>+[16]Main!$O$5-[16]Main!$O$6</f>
        <v>44569</v>
      </c>
      <c r="G3" s="6">
        <f>+E3-F3</f>
        <v>3667426</v>
      </c>
      <c r="H3" s="6">
        <f>+[16]Main!$O$3</f>
        <v>15151</v>
      </c>
      <c r="I3" s="3" t="s">
        <v>197</v>
      </c>
      <c r="J3" s="5">
        <v>45687</v>
      </c>
      <c r="K3" s="2">
        <f>[16]Model!$CE$39</f>
        <v>166.88839045122288</v>
      </c>
      <c r="L3" s="7">
        <f>+K3/D3-1</f>
        <v>-0.31882289611745762</v>
      </c>
      <c r="M3" s="8">
        <f>+[16]Model!$CE$36</f>
        <v>7.4999999999999997E-2</v>
      </c>
      <c r="N3" s="8">
        <f>+[16]Model!$CE$37</f>
        <v>-0.01</v>
      </c>
      <c r="O3" s="8">
        <v>0</v>
      </c>
      <c r="P3">
        <v>1977</v>
      </c>
    </row>
    <row r="4" spans="1:16" x14ac:dyDescent="0.2">
      <c r="A4" t="s">
        <v>46</v>
      </c>
      <c r="B4" t="s">
        <v>14</v>
      </c>
      <c r="C4" t="s">
        <v>23</v>
      </c>
    </row>
    <row r="5" spans="1:16" x14ac:dyDescent="0.2">
      <c r="A5" t="s">
        <v>46</v>
      </c>
      <c r="B5" t="s">
        <v>51</v>
      </c>
      <c r="C5" t="s">
        <v>52</v>
      </c>
    </row>
    <row r="6" spans="1:16" x14ac:dyDescent="0.2">
      <c r="A6" t="s">
        <v>46</v>
      </c>
      <c r="B6" t="s">
        <v>59</v>
      </c>
      <c r="C6" t="s">
        <v>60</v>
      </c>
    </row>
    <row r="7" spans="1:16" x14ac:dyDescent="0.2">
      <c r="A7" t="s">
        <v>46</v>
      </c>
      <c r="B7" t="s">
        <v>66</v>
      </c>
      <c r="C7" t="s">
        <v>67</v>
      </c>
    </row>
    <row r="8" spans="1:16" x14ac:dyDescent="0.2">
      <c r="A8" t="s">
        <v>46</v>
      </c>
      <c r="B8" t="s">
        <v>68</v>
      </c>
      <c r="C8" t="s">
        <v>69</v>
      </c>
    </row>
    <row r="9" spans="1:16" x14ac:dyDescent="0.2">
      <c r="A9" t="s">
        <v>46</v>
      </c>
      <c r="B9" t="s">
        <v>18</v>
      </c>
      <c r="C9" t="s">
        <v>74</v>
      </c>
    </row>
    <row r="10" spans="1:16" x14ac:dyDescent="0.2">
      <c r="A10" t="s">
        <v>46</v>
      </c>
      <c r="B10" t="s">
        <v>20</v>
      </c>
      <c r="C10" t="s">
        <v>85</v>
      </c>
    </row>
    <row r="11" spans="1:16" x14ac:dyDescent="0.2">
      <c r="A11" t="s">
        <v>46</v>
      </c>
      <c r="B11" t="s">
        <v>19</v>
      </c>
      <c r="C11" t="s">
        <v>86</v>
      </c>
    </row>
    <row r="12" spans="1:16" x14ac:dyDescent="0.2">
      <c r="A12" t="s">
        <v>46</v>
      </c>
      <c r="B12" t="s">
        <v>91</v>
      </c>
      <c r="C12" t="s">
        <v>92</v>
      </c>
    </row>
    <row r="13" spans="1:16" x14ac:dyDescent="0.2">
      <c r="A13" t="s">
        <v>46</v>
      </c>
      <c r="B13" t="s">
        <v>95</v>
      </c>
      <c r="C13" t="s">
        <v>96</v>
      </c>
    </row>
    <row r="14" spans="1:16" x14ac:dyDescent="0.2">
      <c r="A14" t="s">
        <v>46</v>
      </c>
      <c r="B14" t="s">
        <v>97</v>
      </c>
      <c r="C14" t="s">
        <v>98</v>
      </c>
    </row>
    <row r="15" spans="1:16" x14ac:dyDescent="0.2">
      <c r="A15" t="s">
        <v>46</v>
      </c>
      <c r="B15" t="s">
        <v>101</v>
      </c>
      <c r="C15" t="s">
        <v>102</v>
      </c>
    </row>
    <row r="16" spans="1:16" x14ac:dyDescent="0.2">
      <c r="B16" t="s">
        <v>21</v>
      </c>
    </row>
    <row r="17" spans="2:10" x14ac:dyDescent="0.2">
      <c r="B17" s="1" t="s">
        <v>122</v>
      </c>
      <c r="C17" t="s">
        <v>124</v>
      </c>
      <c r="D17" s="4">
        <v>39</v>
      </c>
      <c r="E17" s="6">
        <f>+D17*H17</f>
        <v>8357.8970669999999</v>
      </c>
      <c r="F17" s="6">
        <f>+[13]Main!$J$5-[13]Main!$J$6</f>
        <v>383</v>
      </c>
      <c r="G17" s="6">
        <f>+E17-F17</f>
        <v>7974.8970669999999</v>
      </c>
      <c r="H17" s="6">
        <f>+[13]Main!$J$3</f>
        <v>214.30505299999999</v>
      </c>
      <c r="I17" s="3" t="s">
        <v>129</v>
      </c>
      <c r="J17" s="5">
        <v>45534</v>
      </c>
    </row>
    <row r="18" spans="2:10" x14ac:dyDescent="0.2">
      <c r="B18" t="s">
        <v>123</v>
      </c>
      <c r="C18" t="s">
        <v>127</v>
      </c>
      <c r="D18" s="3">
        <v>0.87</v>
      </c>
      <c r="E18" s="6">
        <f>+D18*H18</f>
        <v>243.94435382999998</v>
      </c>
      <c r="F18" s="6">
        <f>+[14]Main!$L$5-[14]Main!$L$6</f>
        <v>237.672</v>
      </c>
      <c r="G18" s="6">
        <f>+E18-F18</f>
        <v>6.2723538299999859</v>
      </c>
      <c r="H18" s="6">
        <f>+[14]Main!$L$3</f>
        <v>280.39580899999999</v>
      </c>
      <c r="I18" s="3" t="s">
        <v>121</v>
      </c>
      <c r="J18" s="5">
        <v>45534</v>
      </c>
    </row>
    <row r="19" spans="2:10" x14ac:dyDescent="0.2">
      <c r="B19" t="s">
        <v>126</v>
      </c>
      <c r="C19" t="s">
        <v>125</v>
      </c>
    </row>
    <row r="20" spans="2:10" x14ac:dyDescent="0.2">
      <c r="B20" t="s">
        <v>128</v>
      </c>
      <c r="C20" t="s">
        <v>128</v>
      </c>
    </row>
    <row r="21" spans="2:10" x14ac:dyDescent="0.2">
      <c r="B21" s="1" t="s">
        <v>131</v>
      </c>
      <c r="C21" t="s">
        <v>132</v>
      </c>
      <c r="D21" s="3">
        <v>101.64</v>
      </c>
    </row>
    <row r="26" spans="2:10" x14ac:dyDescent="0.2">
      <c r="B26" s="9" t="s">
        <v>63</v>
      </c>
    </row>
    <row r="27" spans="2:10" x14ac:dyDescent="0.2">
      <c r="B27" t="s">
        <v>65</v>
      </c>
      <c r="E27" s="3">
        <v>200</v>
      </c>
    </row>
    <row r="28" spans="2:10" x14ac:dyDescent="0.2">
      <c r="B28" t="s">
        <v>64</v>
      </c>
      <c r="E28" s="3">
        <v>150</v>
      </c>
    </row>
    <row r="29" spans="2:10" x14ac:dyDescent="0.2">
      <c r="B29" t="s">
        <v>35</v>
      </c>
    </row>
  </sheetData>
  <hyperlinks>
    <hyperlink ref="B3" r:id="rId1" xr:uid="{CD056E5E-713C-45E7-82FC-EFD06739D880}"/>
    <hyperlink ref="B17" r:id="rId2" xr:uid="{E138C484-1EF3-497D-8DD8-4398C67AAB14}"/>
    <hyperlink ref="B21" r:id="rId3" xr:uid="{17EE0F28-0CA3-4454-8659-59421816F56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FDEE-60E0-4B9B-AACF-AB184FD947A1}">
  <dimension ref="B2:C2"/>
  <sheetViews>
    <sheetView zoomScale="265" zoomScaleNormal="265" workbookViewId="0">
      <selection activeCell="B3" sqref="B3"/>
    </sheetView>
  </sheetViews>
  <sheetFormatPr defaultRowHeight="12.75" x14ac:dyDescent="0.2"/>
  <cols>
    <col min="2" max="2" width="10.140625" customWidth="1"/>
  </cols>
  <sheetData>
    <row r="2" spans="2:3" x14ac:dyDescent="0.2">
      <c r="B2" t="s">
        <v>194</v>
      </c>
      <c r="C2">
        <v>32.68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Semiconductors</vt:lpstr>
      <vt:lpstr>Quantum</vt:lpstr>
      <vt:lpstr>Networking</vt:lpstr>
      <vt:lpstr>Electronics-Computers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2025-01-30T23:03:25Z</dcterms:modified>
</cp:coreProperties>
</file>